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6285"/>
  </bookViews>
  <sheets>
    <sheet name="Lead G" sheetId="13" r:id="rId1"/>
    <sheet name="Combine" sheetId="23" r:id="rId2"/>
    <sheet name="2017-2018 Investment" sheetId="6" r:id="rId3"/>
    <sheet name="2016-2017 Investment" sheetId="3" r:id="rId4"/>
    <sheet name="IRS DFIT" sheetId="29" r:id="rId5"/>
    <sheet name="CRM Rates" sheetId="18" r:id="rId6"/>
    <sheet name="20MACRs" sheetId="22" r:id="rId7"/>
  </sheets>
  <externalReferences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F10" i="13" l="1"/>
  <c r="E21" i="13"/>
  <c r="E18" i="13"/>
  <c r="E17" i="13"/>
  <c r="Q17" i="29" l="1"/>
  <c r="Q18" i="29"/>
  <c r="Q19" i="29"/>
  <c r="Q20" i="29"/>
  <c r="Q21" i="29"/>
  <c r="Q22" i="29"/>
  <c r="Q23" i="29"/>
  <c r="Q24" i="29"/>
  <c r="Q25" i="29"/>
  <c r="Q26" i="29"/>
  <c r="Q27" i="29"/>
  <c r="Q16" i="29"/>
  <c r="L31" i="29"/>
  <c r="L30" i="29"/>
  <c r="L29" i="29"/>
  <c r="M28" i="29"/>
  <c r="R16" i="29" s="1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R17" i="29" l="1"/>
  <c r="R18" i="29" l="1"/>
  <c r="B8" i="23"/>
  <c r="R19" i="29" l="1"/>
  <c r="C74" i="3"/>
  <c r="R20" i="29" l="1"/>
  <c r="R21" i="29" l="1"/>
  <c r="B19" i="23"/>
  <c r="C72" i="3"/>
  <c r="R22" i="29" l="1"/>
  <c r="R23" i="29" l="1"/>
  <c r="J35" i="13"/>
  <c r="R24" i="29" l="1"/>
  <c r="G10" i="13"/>
  <c r="J10" i="13" s="1"/>
  <c r="R25" i="29" l="1"/>
  <c r="R26" i="29" l="1"/>
  <c r="E56" i="18"/>
  <c r="C53" i="18"/>
  <c r="D41" i="18"/>
  <c r="I44" i="18"/>
  <c r="R27" i="29" l="1"/>
  <c r="I18" i="13" l="1"/>
  <c r="F18" i="13"/>
  <c r="G18" i="13" s="1"/>
  <c r="H18" i="13" s="1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C28" i="29"/>
  <c r="H16" i="29" s="1"/>
  <c r="G16" i="29" s="1"/>
  <c r="B29" i="29"/>
  <c r="B30" i="29"/>
  <c r="B31" i="29"/>
  <c r="B58" i="6"/>
  <c r="B46" i="6"/>
  <c r="B34" i="6"/>
  <c r="J18" i="13" l="1"/>
  <c r="H17" i="29"/>
  <c r="G17" i="29" l="1"/>
  <c r="H18" i="29"/>
  <c r="G18" i="29" l="1"/>
  <c r="H19" i="29"/>
  <c r="G19" i="29" l="1"/>
  <c r="H20" i="29"/>
  <c r="G20" i="29" l="1"/>
  <c r="H21" i="29"/>
  <c r="G21" i="29" l="1"/>
  <c r="H22" i="29"/>
  <c r="G22" i="29" l="1"/>
  <c r="H23" i="29"/>
  <c r="G23" i="29" l="1"/>
  <c r="H24" i="29"/>
  <c r="G24" i="29" l="1"/>
  <c r="H25" i="29"/>
  <c r="G25" i="29" l="1"/>
  <c r="H26" i="29"/>
  <c r="G26" i="29" l="1"/>
  <c r="H27" i="29"/>
  <c r="G27" i="29" s="1"/>
  <c r="B70" i="3" l="1"/>
  <c r="B58" i="3"/>
  <c r="B46" i="3"/>
  <c r="B34" i="3"/>
  <c r="B22" i="3"/>
  <c r="C65" i="3" l="1"/>
  <c r="C66" i="3"/>
  <c r="C67" i="3"/>
  <c r="C68" i="3"/>
  <c r="C69" i="3"/>
  <c r="C70" i="3"/>
  <c r="C37" i="3" l="1"/>
  <c r="C38" i="3"/>
  <c r="C39" i="3" l="1"/>
  <c r="C40" i="3" l="1"/>
  <c r="C41" i="3" l="1"/>
  <c r="C42" i="3" l="1"/>
  <c r="C43" i="3" l="1"/>
  <c r="C44" i="3" l="1"/>
  <c r="C45" i="3" l="1"/>
  <c r="C46" i="3" l="1"/>
  <c r="C47" i="3" l="1"/>
  <c r="D33" i="18"/>
  <c r="C32" i="18"/>
  <c r="C48" i="3" l="1"/>
  <c r="C49" i="3" l="1"/>
  <c r="C50" i="3" l="1"/>
  <c r="C51" i="3" l="1"/>
  <c r="C52" i="3" l="1"/>
  <c r="C53" i="3" l="1"/>
  <c r="C54" i="3" l="1"/>
  <c r="C55" i="3" l="1"/>
  <c r="C56" i="3" l="1"/>
  <c r="C57" i="3" l="1"/>
  <c r="C58" i="3" l="1"/>
  <c r="C59" i="3" l="1"/>
  <c r="C60" i="3" l="1"/>
  <c r="C61" i="3" l="1"/>
  <c r="C62" i="3" l="1"/>
  <c r="C35" i="3"/>
  <c r="C36" i="3"/>
  <c r="C23" i="6"/>
  <c r="C24" i="6" s="1"/>
  <c r="C8" i="23" l="1"/>
  <c r="D8" i="23"/>
  <c r="C25" i="6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63" i="3"/>
  <c r="C41" i="6" l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62" i="6" s="1"/>
  <c r="C64" i="3"/>
  <c r="C53" i="6" l="1"/>
  <c r="E42" i="18"/>
  <c r="E43" i="18"/>
  <c r="E41" i="18"/>
  <c r="E46" i="18" s="1"/>
  <c r="E47" i="18"/>
  <c r="D44" i="18"/>
  <c r="C44" i="18"/>
  <c r="C54" i="6" l="1"/>
  <c r="C55" i="6" s="1"/>
  <c r="C56" i="6" s="1"/>
  <c r="C57" i="6" s="1"/>
  <c r="C58" i="6" s="1"/>
  <c r="C19" i="23"/>
  <c r="D19" i="23" s="1"/>
  <c r="I32" i="13" s="1"/>
  <c r="E44" i="18"/>
  <c r="E48" i="18"/>
  <c r="E49" i="18"/>
  <c r="B62" i="18" l="1"/>
  <c r="D62" i="18" s="1"/>
  <c r="B61" i="18"/>
  <c r="C61" i="18" s="1"/>
  <c r="E61" i="18" s="1"/>
  <c r="D54" i="18"/>
  <c r="D55" i="18" s="1"/>
  <c r="C55" i="18"/>
  <c r="D18" i="18"/>
  <c r="D34" i="18"/>
  <c r="C34" i="18"/>
  <c r="E34" i="18" s="1"/>
  <c r="E35" i="18" s="1"/>
  <c r="E53" i="18"/>
  <c r="B54" i="18"/>
  <c r="B53" i="18"/>
  <c r="E33" i="18"/>
  <c r="E32" i="18"/>
  <c r="D17" i="18"/>
  <c r="E17" i="18" s="1"/>
  <c r="C16" i="18"/>
  <c r="E16" i="18" s="1"/>
  <c r="B33" i="18"/>
  <c r="B32" i="18"/>
  <c r="B17" i="18"/>
  <c r="B16" i="18"/>
  <c r="C18" i="18" l="1"/>
  <c r="E18" i="18" s="1"/>
  <c r="E62" i="18"/>
  <c r="E63" i="18" s="1"/>
  <c r="E64" i="18" s="1"/>
  <c r="C7" i="6" s="1"/>
  <c r="D63" i="18"/>
  <c r="C63" i="18"/>
  <c r="E54" i="18"/>
  <c r="E36" i="18"/>
  <c r="E37" i="18"/>
  <c r="D7" i="6" l="1"/>
  <c r="E55" i="18"/>
  <c r="E19" i="18"/>
  <c r="E20" i="18"/>
  <c r="E21" i="18"/>
  <c r="E66" i="18"/>
  <c r="E65" i="18"/>
  <c r="C6" i="6" l="1"/>
  <c r="E57" i="18"/>
  <c r="E58" i="18"/>
  <c r="C12" i="6"/>
  <c r="D11" i="6" l="1"/>
  <c r="D12" i="6" s="1"/>
  <c r="D6" i="6"/>
  <c r="C13" i="6"/>
  <c r="C14" i="6" l="1"/>
  <c r="C15" i="6" l="1"/>
  <c r="C60" i="6" s="1"/>
  <c r="B22" i="6" l="1"/>
  <c r="C7" i="3"/>
  <c r="C6" i="3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W7" i="22" s="1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W6" i="22" s="1"/>
  <c r="W5" i="22"/>
  <c r="D13" i="6" l="1"/>
  <c r="D14" i="6" s="1"/>
  <c r="D15" i="6" s="1"/>
  <c r="D16" i="6" s="1"/>
  <c r="D17" i="6" s="1"/>
  <c r="D18" i="6" s="1"/>
  <c r="D19" i="6" s="1"/>
  <c r="D20" i="6" s="1"/>
  <c r="D21" i="6" s="1"/>
  <c r="D22" i="6" s="1"/>
  <c r="E11" i="6" l="1"/>
  <c r="E12" i="6" s="1"/>
  <c r="D23" i="6"/>
  <c r="F11" i="6" l="1"/>
  <c r="E13" i="6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60" i="6" s="1"/>
  <c r="D24" i="6"/>
  <c r="F12" i="6"/>
  <c r="F13" i="6" l="1"/>
  <c r="C9" i="23"/>
  <c r="D60" i="6"/>
  <c r="E25" i="6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C10" i="23"/>
  <c r="D25" i="6"/>
  <c r="D26" i="6" s="1"/>
  <c r="D27" i="6" s="1"/>
  <c r="D28" i="6" s="1"/>
  <c r="D29" i="6" s="1"/>
  <c r="D30" i="6" s="1"/>
  <c r="D31" i="6" s="1"/>
  <c r="D32" i="6" s="1"/>
  <c r="D33" i="6" s="1"/>
  <c r="D34" i="6" s="1"/>
  <c r="G24" i="6"/>
  <c r="C6" i="23" s="1"/>
  <c r="H24" i="6"/>
  <c r="F24" i="6"/>
  <c r="F16" i="6"/>
  <c r="F14" i="6"/>
  <c r="E41" i="6" l="1"/>
  <c r="V15" i="29" s="1"/>
  <c r="D35" i="6"/>
  <c r="D36" i="6" s="1"/>
  <c r="D37" i="6" s="1"/>
  <c r="D38" i="6" s="1"/>
  <c r="D39" i="6" s="1"/>
  <c r="D40" i="6" s="1"/>
  <c r="G34" i="6"/>
  <c r="F23" i="6"/>
  <c r="F17" i="6"/>
  <c r="F15" i="6"/>
  <c r="F15" i="29" l="1"/>
  <c r="E42" i="6"/>
  <c r="V16" i="29" s="1"/>
  <c r="D41" i="6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G40" i="6"/>
  <c r="F25" i="6"/>
  <c r="F18" i="6"/>
  <c r="G18" i="6"/>
  <c r="A10" i="13"/>
  <c r="A11" i="13" s="1"/>
  <c r="A12" i="13" s="1"/>
  <c r="F16" i="29" l="1"/>
  <c r="E16" i="29"/>
  <c r="D62" i="6"/>
  <c r="D54" i="6"/>
  <c r="D55" i="6" s="1"/>
  <c r="D56" i="6" s="1"/>
  <c r="D57" i="6" s="1"/>
  <c r="D58" i="6" s="1"/>
  <c r="C20" i="23"/>
  <c r="G52" i="6"/>
  <c r="C17" i="23" s="1"/>
  <c r="E43" i="6"/>
  <c r="V17" i="29" s="1"/>
  <c r="F17" i="29" s="1"/>
  <c r="F26" i="6"/>
  <c r="F19" i="6"/>
  <c r="A13" i="13"/>
  <c r="A14" i="13" s="1"/>
  <c r="A15" i="13" s="1"/>
  <c r="E44" i="6" l="1"/>
  <c r="V18" i="29" s="1"/>
  <c r="F18" i="29" s="1"/>
  <c r="F27" i="6"/>
  <c r="F20" i="6"/>
  <c r="A16" i="13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E45" i="6" l="1"/>
  <c r="V19" i="29" s="1"/>
  <c r="F19" i="29" s="1"/>
  <c r="F28" i="6"/>
  <c r="F21" i="6"/>
  <c r="F22" i="6"/>
  <c r="F60" i="6" s="1"/>
  <c r="C11" i="23"/>
  <c r="E46" i="6" l="1"/>
  <c r="V20" i="29" s="1"/>
  <c r="F20" i="29" s="1"/>
  <c r="F29" i="6"/>
  <c r="C12" i="3"/>
  <c r="E47" i="6" l="1"/>
  <c r="V21" i="29" s="1"/>
  <c r="F21" i="29" s="1"/>
  <c r="F30" i="6"/>
  <c r="C13" i="3"/>
  <c r="E48" i="6" l="1"/>
  <c r="V22" i="29" s="1"/>
  <c r="F22" i="29" s="1"/>
  <c r="F31" i="6"/>
  <c r="C14" i="3"/>
  <c r="E49" i="6" l="1"/>
  <c r="V23" i="29" s="1"/>
  <c r="F23" i="29" s="1"/>
  <c r="F32" i="6"/>
  <c r="C15" i="3"/>
  <c r="E50" i="6" l="1"/>
  <c r="V24" i="29" s="1"/>
  <c r="F24" i="29" s="1"/>
  <c r="F33" i="6"/>
  <c r="C16" i="3"/>
  <c r="E51" i="6" l="1"/>
  <c r="V25" i="29" s="1"/>
  <c r="F25" i="29" s="1"/>
  <c r="F34" i="6"/>
  <c r="C17" i="3"/>
  <c r="E52" i="6" l="1"/>
  <c r="V26" i="29" s="1"/>
  <c r="F26" i="29" s="1"/>
  <c r="F35" i="6"/>
  <c r="C18" i="3"/>
  <c r="E62" i="6" l="1"/>
  <c r="E53" i="6"/>
  <c r="V27" i="29" s="1"/>
  <c r="F36" i="6"/>
  <c r="C19" i="3"/>
  <c r="F27" i="29" l="1"/>
  <c r="V30" i="29"/>
  <c r="E54" i="6"/>
  <c r="E55" i="6" s="1"/>
  <c r="E56" i="6" s="1"/>
  <c r="E57" i="6" s="1"/>
  <c r="E58" i="6" s="1"/>
  <c r="F37" i="6"/>
  <c r="C20" i="3"/>
  <c r="F38" i="6" l="1"/>
  <c r="C21" i="3"/>
  <c r="F39" i="6" l="1"/>
  <c r="C22" i="3"/>
  <c r="F40" i="6" l="1"/>
  <c r="D7" i="3"/>
  <c r="D6" i="3"/>
  <c r="C23" i="3"/>
  <c r="G7" i="3" l="1"/>
  <c r="F7" i="3"/>
  <c r="F41" i="6"/>
  <c r="E11" i="3"/>
  <c r="E12" i="3" s="1"/>
  <c r="E13" i="3" s="1"/>
  <c r="E14" i="3" s="1"/>
  <c r="E15" i="3" s="1"/>
  <c r="E16" i="3" s="1"/>
  <c r="E17" i="3" s="1"/>
  <c r="E18" i="3" s="1"/>
  <c r="E19" i="3" s="1"/>
  <c r="E20" i="3" s="1"/>
  <c r="D11" i="3"/>
  <c r="C24" i="3"/>
  <c r="E21" i="3" l="1"/>
  <c r="E22" i="3" s="1"/>
  <c r="F42" i="6"/>
  <c r="F11" i="3"/>
  <c r="D12" i="3"/>
  <c r="F12" i="3" s="1"/>
  <c r="C25" i="3"/>
  <c r="F43" i="6" l="1"/>
  <c r="D13" i="3"/>
  <c r="F13" i="3" s="1"/>
  <c r="C26" i="3"/>
  <c r="F44" i="6" l="1"/>
  <c r="D14" i="3"/>
  <c r="F14" i="3" s="1"/>
  <c r="C27" i="3"/>
  <c r="C28" i="3" s="1"/>
  <c r="F45" i="6" l="1"/>
  <c r="C29" i="3"/>
  <c r="F32" i="13"/>
  <c r="G32" i="13" s="1"/>
  <c r="J32" i="13" s="1"/>
  <c r="D15" i="3"/>
  <c r="F15" i="3" s="1"/>
  <c r="F46" i="6" l="1"/>
  <c r="C30" i="3"/>
  <c r="D16" i="3"/>
  <c r="F16" i="3" s="1"/>
  <c r="F47" i="6" l="1"/>
  <c r="C31" i="3"/>
  <c r="D17" i="3"/>
  <c r="F17" i="3" s="1"/>
  <c r="F48" i="6" l="1"/>
  <c r="C32" i="3"/>
  <c r="D18" i="3"/>
  <c r="F18" i="3" s="1"/>
  <c r="F49" i="6" l="1"/>
  <c r="C33" i="3"/>
  <c r="D19" i="3"/>
  <c r="F19" i="3" s="1"/>
  <c r="F50" i="6" l="1"/>
  <c r="C34" i="3"/>
  <c r="D20" i="3"/>
  <c r="F20" i="3" s="1"/>
  <c r="F51" i="6" l="1"/>
  <c r="D21" i="3"/>
  <c r="F21" i="3" s="1"/>
  <c r="F52" i="6" l="1"/>
  <c r="F62" i="6" s="1"/>
  <c r="D22" i="3"/>
  <c r="D23" i="3" l="1"/>
  <c r="G22" i="3"/>
  <c r="H22" i="3"/>
  <c r="F53" i="6"/>
  <c r="F22" i="3"/>
  <c r="F54" i="6" l="1"/>
  <c r="H10" i="13"/>
  <c r="H32" i="13"/>
  <c r="F55" i="6" l="1"/>
  <c r="F56" i="6" l="1"/>
  <c r="F58" i="6" l="1"/>
  <c r="F57" i="6"/>
  <c r="H14" i="13"/>
  <c r="D24" i="3" l="1"/>
  <c r="D25" i="3" l="1"/>
  <c r="D26" i="3"/>
  <c r="D27" i="3" l="1"/>
  <c r="D28" i="3" l="1"/>
  <c r="D29" i="3" s="1"/>
  <c r="D30" i="3" l="1"/>
  <c r="G30" i="3" l="1"/>
  <c r="D31" i="3"/>
  <c r="D32" i="3" l="1"/>
  <c r="D33" i="3" l="1"/>
  <c r="D34" i="3" l="1"/>
  <c r="D35" i="3" l="1"/>
  <c r="D36" i="3" s="1"/>
  <c r="G34" i="3"/>
  <c r="E23" i="3"/>
  <c r="F23" i="3" s="1"/>
  <c r="B9" i="23" l="1"/>
  <c r="D9" i="23" s="1"/>
  <c r="F33" i="13" s="1"/>
  <c r="G33" i="13" s="1"/>
  <c r="H33" i="13" s="1"/>
  <c r="G36" i="3"/>
  <c r="B6" i="23" s="1"/>
  <c r="D6" i="23" s="1"/>
  <c r="F13" i="13" s="1"/>
  <c r="D37" i="3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72" i="3"/>
  <c r="E24" i="3"/>
  <c r="D53" i="3" l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74" i="3"/>
  <c r="B20" i="23" s="1"/>
  <c r="D20" i="23" s="1"/>
  <c r="I33" i="13" s="1"/>
  <c r="J33" i="13" s="1"/>
  <c r="G52" i="3"/>
  <c r="G13" i="13"/>
  <c r="F15" i="13"/>
  <c r="E25" i="3"/>
  <c r="F25" i="3" s="1"/>
  <c r="F24" i="3"/>
  <c r="E26" i="3"/>
  <c r="G64" i="3" l="1"/>
  <c r="B17" i="23" s="1"/>
  <c r="D17" i="23" s="1"/>
  <c r="I13" i="13" s="1"/>
  <c r="D65" i="3"/>
  <c r="H13" i="13"/>
  <c r="H15" i="13" s="1"/>
  <c r="G15" i="13"/>
  <c r="F26" i="3"/>
  <c r="E27" i="3"/>
  <c r="D66" i="3" l="1"/>
  <c r="D67" i="3" s="1"/>
  <c r="D68" i="3" s="1"/>
  <c r="D69" i="3" s="1"/>
  <c r="D70" i="3" s="1"/>
  <c r="I15" i="13"/>
  <c r="J13" i="13"/>
  <c r="E28" i="3"/>
  <c r="F27" i="3"/>
  <c r="J15" i="13" l="1"/>
  <c r="G65" i="3"/>
  <c r="F28" i="3"/>
  <c r="E29" i="3"/>
  <c r="F29" i="3" l="1"/>
  <c r="E30" i="3"/>
  <c r="F30" i="3" l="1"/>
  <c r="E31" i="3"/>
  <c r="F31" i="3" l="1"/>
  <c r="E32" i="3"/>
  <c r="F32" i="3" l="1"/>
  <c r="E33" i="3"/>
  <c r="F33" i="3" l="1"/>
  <c r="E34" i="3"/>
  <c r="E35" i="3" s="1"/>
  <c r="E36" i="3" s="1"/>
  <c r="E37" i="3" l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B10" i="23"/>
  <c r="E72" i="3"/>
  <c r="H34" i="3"/>
  <c r="F34" i="3"/>
  <c r="E53" i="3" l="1"/>
  <c r="F35" i="3"/>
  <c r="E54" i="3" l="1"/>
  <c r="W15" i="29"/>
  <c r="J15" i="29"/>
  <c r="F37" i="3"/>
  <c r="F36" i="3"/>
  <c r="F72" i="3" s="1"/>
  <c r="H36" i="3"/>
  <c r="P15" i="29" l="1"/>
  <c r="X15" i="29"/>
  <c r="E55" i="3"/>
  <c r="W16" i="29"/>
  <c r="B11" i="23"/>
  <c r="D10" i="23"/>
  <c r="F38" i="3"/>
  <c r="O16" i="29" l="1"/>
  <c r="P16" i="29"/>
  <c r="T15" i="29"/>
  <c r="E56" i="3"/>
  <c r="W17" i="29"/>
  <c r="P17" i="29" s="1"/>
  <c r="F34" i="13"/>
  <c r="G34" i="13" s="1"/>
  <c r="D11" i="23"/>
  <c r="F39" i="3"/>
  <c r="E57" i="3" l="1"/>
  <c r="W18" i="29"/>
  <c r="P18" i="29" s="1"/>
  <c r="O17" i="29"/>
  <c r="S16" i="29"/>
  <c r="H34" i="13"/>
  <c r="G36" i="13"/>
  <c r="F40" i="3"/>
  <c r="F36" i="13"/>
  <c r="O18" i="29" l="1"/>
  <c r="O19" i="29" s="1"/>
  <c r="O20" i="29" s="1"/>
  <c r="O21" i="29" s="1"/>
  <c r="O22" i="29" s="1"/>
  <c r="O23" i="29" s="1"/>
  <c r="O24" i="29" s="1"/>
  <c r="O25" i="29" s="1"/>
  <c r="O26" i="29" s="1"/>
  <c r="O27" i="29" s="1"/>
  <c r="S17" i="29"/>
  <c r="E58" i="3"/>
  <c r="W19" i="29"/>
  <c r="P19" i="29" s="1"/>
  <c r="O28" i="29"/>
  <c r="H36" i="13"/>
  <c r="F41" i="3"/>
  <c r="E59" i="3" l="1"/>
  <c r="W20" i="29"/>
  <c r="P20" i="29" s="1"/>
  <c r="F42" i="3"/>
  <c r="E60" i="3" l="1"/>
  <c r="W21" i="29"/>
  <c r="P21" i="29" s="1"/>
  <c r="F43" i="3"/>
  <c r="E61" i="3" l="1"/>
  <c r="W22" i="29"/>
  <c r="P22" i="29" s="1"/>
  <c r="F44" i="3"/>
  <c r="E62" i="3" l="1"/>
  <c r="W23" i="29"/>
  <c r="P23" i="29" s="1"/>
  <c r="F45" i="3"/>
  <c r="E63" i="3" l="1"/>
  <c r="W24" i="29"/>
  <c r="P24" i="29" s="1"/>
  <c r="F46" i="3"/>
  <c r="E64" i="3" l="1"/>
  <c r="W25" i="29"/>
  <c r="P25" i="29" s="1"/>
  <c r="F47" i="3"/>
  <c r="E65" i="3" l="1"/>
  <c r="W26" i="29"/>
  <c r="P26" i="29" s="1"/>
  <c r="E74" i="3"/>
  <c r="H64" i="3"/>
  <c r="F48" i="3"/>
  <c r="E66" i="3" l="1"/>
  <c r="E67" i="3" s="1"/>
  <c r="E68" i="3" s="1"/>
  <c r="E69" i="3" s="1"/>
  <c r="E70" i="3" s="1"/>
  <c r="W27" i="29"/>
  <c r="F49" i="3"/>
  <c r="P27" i="29" l="1"/>
  <c r="P30" i="29" s="1"/>
  <c r="W30" i="29"/>
  <c r="F50" i="3"/>
  <c r="F51" i="3" l="1"/>
  <c r="F52" i="3" l="1"/>
  <c r="F53" i="3" l="1"/>
  <c r="F54" i="3" l="1"/>
  <c r="F55" i="3" l="1"/>
  <c r="F56" i="3" l="1"/>
  <c r="F57" i="3" l="1"/>
  <c r="F58" i="3" l="1"/>
  <c r="F59" i="3" l="1"/>
  <c r="F60" i="3" l="1"/>
  <c r="F61" i="3" l="1"/>
  <c r="F62" i="3" l="1"/>
  <c r="F63" i="3" l="1"/>
  <c r="F64" i="3" l="1"/>
  <c r="F74" i="3" s="1"/>
  <c r="F65" i="3" l="1"/>
  <c r="F66" i="3" l="1"/>
  <c r="F67" i="3" l="1"/>
  <c r="F68" i="3" l="1"/>
  <c r="F70" i="3" l="1"/>
  <c r="F69" i="3"/>
  <c r="I17" i="13" l="1"/>
  <c r="F17" i="13"/>
  <c r="G17" i="13" l="1"/>
  <c r="J17" i="13" s="1"/>
  <c r="F19" i="13"/>
  <c r="I21" i="13"/>
  <c r="G21" i="13"/>
  <c r="H21" i="13"/>
  <c r="F21" i="13"/>
  <c r="I19" i="13"/>
  <c r="F23" i="13" l="1"/>
  <c r="F25" i="13" s="1"/>
  <c r="J21" i="13"/>
  <c r="H17" i="13"/>
  <c r="H19" i="13" s="1"/>
  <c r="H23" i="13" s="1"/>
  <c r="H25" i="13" s="1"/>
  <c r="G19" i="13"/>
  <c r="G23" i="13" s="1"/>
  <c r="G25" i="13" s="1"/>
  <c r="G26" i="13" s="1"/>
  <c r="G28" i="13" s="1"/>
  <c r="J19" i="13"/>
  <c r="I23" i="13"/>
  <c r="I25" i="13" s="1"/>
  <c r="I26" i="13" s="1"/>
  <c r="I28" i="13" s="1"/>
  <c r="F26" i="13" l="1"/>
  <c r="F28" i="13" s="1"/>
  <c r="J23" i="13"/>
  <c r="H26" i="13"/>
  <c r="H28" i="13" s="1"/>
  <c r="J25" i="13" l="1"/>
  <c r="J26" i="13" l="1"/>
  <c r="J28" i="13" l="1"/>
  <c r="X18" i="29" l="1"/>
  <c r="X25" i="29"/>
  <c r="X27" i="29"/>
  <c r="X22" i="29"/>
  <c r="X26" i="29"/>
  <c r="X20" i="29"/>
  <c r="X24" i="29"/>
  <c r="X17" i="29"/>
  <c r="X21" i="29"/>
  <c r="X23" i="29"/>
  <c r="X19" i="29"/>
  <c r="X16" i="29"/>
  <c r="I16" i="29" l="1"/>
  <c r="J16" i="29" s="1"/>
  <c r="E17" i="29"/>
  <c r="X30" i="29"/>
  <c r="F30" i="29"/>
  <c r="T16" i="29" l="1"/>
  <c r="E18" i="29"/>
  <c r="I18" i="29" s="1"/>
  <c r="I17" i="29"/>
  <c r="E19" i="29" l="1"/>
  <c r="E20" i="29" s="1"/>
  <c r="J17" i="29"/>
  <c r="I19" i="29" l="1"/>
  <c r="T17" i="29"/>
  <c r="J18" i="29"/>
  <c r="E21" i="29"/>
  <c r="I20" i="29"/>
  <c r="S18" i="29" l="1"/>
  <c r="T18" i="29" s="1"/>
  <c r="J19" i="29"/>
  <c r="S19" i="29" s="1"/>
  <c r="I21" i="29"/>
  <c r="E22" i="29"/>
  <c r="T19" i="29" l="1"/>
  <c r="J20" i="29"/>
  <c r="J21" i="29" s="1"/>
  <c r="S21" i="29" s="1"/>
  <c r="I22" i="29"/>
  <c r="E23" i="29"/>
  <c r="S20" i="29" l="1"/>
  <c r="T20" i="29" s="1"/>
  <c r="T21" i="29" s="1"/>
  <c r="J22" i="29"/>
  <c r="S22" i="29" s="1"/>
  <c r="E24" i="29"/>
  <c r="I23" i="29"/>
  <c r="T22" i="29" l="1"/>
  <c r="J23" i="29"/>
  <c r="S23" i="29" s="1"/>
  <c r="I24" i="29"/>
  <c r="E25" i="29"/>
  <c r="T23" i="29" l="1"/>
  <c r="J24" i="29"/>
  <c r="S24" i="29" s="1"/>
  <c r="I25" i="29"/>
  <c r="E26" i="29"/>
  <c r="J25" i="29" l="1"/>
  <c r="S25" i="29" s="1"/>
  <c r="T24" i="29"/>
  <c r="T25" i="29" s="1"/>
  <c r="I26" i="29"/>
  <c r="E27" i="29"/>
  <c r="J26" i="29" l="1"/>
  <c r="S26" i="29" s="1"/>
  <c r="T26" i="29"/>
  <c r="I27" i="29"/>
  <c r="I28" i="29" s="1"/>
  <c r="E28" i="29"/>
  <c r="J27" i="29" l="1"/>
  <c r="S27" i="29" s="1"/>
  <c r="S28" i="29" s="1"/>
  <c r="T27" i="29" l="1"/>
  <c r="T30" i="29" s="1"/>
  <c r="B21" i="23" s="1"/>
  <c r="B22" i="23" s="1"/>
  <c r="J30" i="29"/>
  <c r="C21" i="23" s="1"/>
  <c r="D21" i="23" l="1"/>
  <c r="I34" i="13" s="1"/>
  <c r="J34" i="13" s="1"/>
  <c r="C22" i="23"/>
  <c r="D22" i="23"/>
  <c r="I36" i="13" l="1"/>
  <c r="J36" i="13"/>
</calcChain>
</file>

<file path=xl/sharedStrings.xml><?xml version="1.0" encoding="utf-8"?>
<sst xmlns="http://schemas.openxmlformats.org/spreadsheetml/2006/main" count="256" uniqueCount="155">
  <si>
    <t>Gross Plant</t>
  </si>
  <si>
    <t>Accum Dep</t>
  </si>
  <si>
    <t>Rate Base</t>
  </si>
  <si>
    <t>Total</t>
  </si>
  <si>
    <t>Depreciation Expense</t>
  </si>
  <si>
    <t>Period</t>
  </si>
  <si>
    <t>Dep Rate</t>
  </si>
  <si>
    <t>Composite</t>
  </si>
  <si>
    <t>PROFORMA</t>
  </si>
  <si>
    <t>ACTUAL</t>
  </si>
  <si>
    <t>RESTATED</t>
  </si>
  <si>
    <t>ADJUSTMENT</t>
  </si>
  <si>
    <t>ADJUSTMENT TO OPERATING REVENUES</t>
  </si>
  <si>
    <t>ADJUSTMENT TO OPERATING EXPENSES</t>
  </si>
  <si>
    <t>403 DEPRECIATION EXPENSE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</si>
  <si>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</si>
  <si>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</si>
  <si>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</si>
  <si>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</si>
  <si>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</si>
  <si>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INCOME</t>
  </si>
  <si>
    <t>INCREASE (DECREASE) FIT @</t>
  </si>
  <si>
    <t>INCREASE (DECREASE) NOI</t>
  </si>
  <si>
    <t>ADJUSTMENT TO RATE BASE</t>
  </si>
  <si>
    <t>TOTAL  ADJUSTMENT TO RATEBASE</t>
  </si>
  <si>
    <t>PLANT</t>
  </si>
  <si>
    <t>Combined</t>
  </si>
  <si>
    <t>Description</t>
  </si>
  <si>
    <t>DESCRIPTION</t>
  </si>
  <si>
    <t>RATE</t>
  </si>
  <si>
    <t xml:space="preserve">PROFORM SCH. 149 REVENUE </t>
  </si>
  <si>
    <t>GAS COST RECOVERY MECANISM (CRM)</t>
  </si>
  <si>
    <t>ACCUM DEPRECIATION, CURRENT LEVEL</t>
  </si>
  <si>
    <t xml:space="preserve"> ADJUSTED DEPRECIATION EXPENSE</t>
  </si>
  <si>
    <t xml:space="preserve">Annual </t>
  </si>
  <si>
    <t>Depr Exp</t>
  </si>
  <si>
    <t>Per Depreciation Study Adjustment</t>
  </si>
  <si>
    <t>ACCOUNT</t>
  </si>
  <si>
    <t>NUMBER</t>
  </si>
  <si>
    <t>%</t>
  </si>
  <si>
    <t>WEIGHTED AVERAGE COMPOSITE RATE</t>
  </si>
  <si>
    <t>FERC G380</t>
  </si>
  <si>
    <t>FERC G376</t>
  </si>
  <si>
    <t>Rate per Study</t>
  </si>
  <si>
    <t>DEPRECIATION EXPENSE CALCULATION</t>
  </si>
  <si>
    <t>Services</t>
  </si>
  <si>
    <t>Grand Total</t>
  </si>
  <si>
    <t>Total CRM Actual and Forecast</t>
  </si>
  <si>
    <t>WBS Description</t>
  </si>
  <si>
    <t>WBS Element</t>
  </si>
  <si>
    <t>Total Annual Depr</t>
  </si>
  <si>
    <t>Main</t>
  </si>
  <si>
    <t>Type</t>
  </si>
  <si>
    <t>ACCUMULATED DEFERRED INCOME TAXES</t>
  </si>
  <si>
    <t>Annual Depreciation Expense</t>
  </si>
  <si>
    <t>Tax Depreciation Rate</t>
  </si>
  <si>
    <t>DETERMINATION OF COMPOSITE RATE FROM PROPOSED DEPRECIATION STUDY BY PROGRAM YEAR</t>
  </si>
  <si>
    <t>2016/2017 Investment</t>
  </si>
  <si>
    <t>2016/2017 Layer</t>
  </si>
  <si>
    <t>2017/2018 Layer</t>
  </si>
  <si>
    <t>Accumulated Depreciation</t>
  </si>
  <si>
    <t>Deferred FIT</t>
  </si>
  <si>
    <t>Total Rate Base</t>
  </si>
  <si>
    <t>2017/2018 Investment</t>
  </si>
  <si>
    <t>Check</t>
  </si>
  <si>
    <t>ADFIT</t>
  </si>
  <si>
    <t>FIT</t>
  </si>
  <si>
    <t>Year</t>
  </si>
  <si>
    <t>Table</t>
  </si>
  <si>
    <t>Apply 50% Bonus</t>
  </si>
  <si>
    <t>Apply 40% Bonus</t>
  </si>
  <si>
    <t>Actuals Nov 2016 - July 2017</t>
  </si>
  <si>
    <t>Actual October 2017</t>
  </si>
  <si>
    <t>R.10015.03.04.01</t>
  </si>
  <si>
    <t>G-DIMP DUPONT PIPE REPL-MAIN WITH SERV</t>
  </si>
  <si>
    <t>R.10015.03.04.02</t>
  </si>
  <si>
    <t>G-DIMP OLDER STW REPL-MAIN WITH SERVICE</t>
  </si>
  <si>
    <t>R.10015.03.04.03</t>
  </si>
  <si>
    <t>G-DIMP OLDER STW REPL-SERVICE ONLY</t>
  </si>
  <si>
    <t>Mains</t>
  </si>
  <si>
    <t>Percent Mains</t>
  </si>
  <si>
    <t>Percent Services</t>
  </si>
  <si>
    <t>Pre Jan 1, 2018</t>
  </si>
  <si>
    <t>17 GRC rate, Jan 1, 2018</t>
  </si>
  <si>
    <t xml:space="preserve">MAINS - PLASTIC                           </t>
  </si>
  <si>
    <t>SERVICES - PLASTIC</t>
  </si>
  <si>
    <t>Actuals Nov 2017 - April 2018</t>
  </si>
  <si>
    <t>Forecast May -  October 2018</t>
  </si>
  <si>
    <t>Rate per 2007 GRC Study</t>
  </si>
  <si>
    <t>FERC G376.2</t>
  </si>
  <si>
    <t>FERC G380.2</t>
  </si>
  <si>
    <t>Rate per 2017 GRC Study</t>
  </si>
  <si>
    <t>DFIT</t>
  </si>
  <si>
    <t>Old Rates</t>
  </si>
  <si>
    <t>New Rates</t>
  </si>
  <si>
    <t>2018 (From October 2018 CRM Filing)</t>
  </si>
  <si>
    <t>Month</t>
  </si>
  <si>
    <t>FOR 2017 - 2018 PROGRAM YEAR</t>
  </si>
  <si>
    <t>FOR 2016 - 2017 PROGRAM YEAR</t>
  </si>
  <si>
    <t>WEIGHTED AVERAGE COMPOSITE RATE 2017 PY</t>
  </si>
  <si>
    <t>WEIGHTED AVERAGE COMPOSITE RATE 2018 PY</t>
  </si>
  <si>
    <t>PUGET SOUND ENERGY-GAS</t>
  </si>
  <si>
    <t>E of Rate Year</t>
  </si>
  <si>
    <t>TEST YEAR</t>
  </si>
  <si>
    <t>Average of the Monthly Averages</t>
  </si>
  <si>
    <t>month - col g</t>
  </si>
  <si>
    <t>f - sum a +1</t>
  </si>
  <si>
    <t>month - col c</t>
  </si>
  <si>
    <t>h = prior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</si>
  <si>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</si>
  <si>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f = col. a row 28</t>
  </si>
  <si>
    <t>e =</t>
  </si>
  <si>
    <t>d = prior</t>
  </si>
  <si>
    <t>c</t>
  </si>
  <si>
    <t>b</t>
  </si>
  <si>
    <t>a</t>
  </si>
  <si>
    <t>Balance</t>
  </si>
  <si>
    <t>Amount</t>
  </si>
  <si>
    <t>in Period</t>
  </si>
  <si>
    <t>to include</t>
  </si>
  <si>
    <t>Taxes</t>
  </si>
  <si>
    <t>Expense</t>
  </si>
  <si>
    <t>Ended</t>
  </si>
  <si>
    <t>Cum IRS</t>
  </si>
  <si>
    <t>IRS</t>
  </si>
  <si>
    <t>Total Days</t>
  </si>
  <si>
    <t># Days</t>
  </si>
  <si>
    <t>Deferred</t>
  </si>
  <si>
    <t>Deferred Tax</t>
  </si>
  <si>
    <t>Days in</t>
  </si>
  <si>
    <t>Row</t>
  </si>
  <si>
    <t>Accumulated</t>
  </si>
  <si>
    <t>IRS Calculation</t>
  </si>
  <si>
    <t>AMA Calculation</t>
  </si>
  <si>
    <t>DFIT arising from Depreciation Expense</t>
  </si>
  <si>
    <t>RATE YEAR JANUARY 1, 2018 to DECEMBER 31, 2018</t>
  </si>
  <si>
    <t>DETERMINATION OF RATE YEAR DEFERRED FEDERAL INCOME TAX ARISING FROM DEPRECIATION</t>
  </si>
  <si>
    <t>CRM</t>
  </si>
  <si>
    <t>PUGET SOUND ENERGY</t>
  </si>
  <si>
    <t>REF 8.01</t>
  </si>
  <si>
    <t>FOR THE TWELVE MONTHS ENDED DECEMBER 31, 2018</t>
  </si>
  <si>
    <t>October Actuals</t>
  </si>
  <si>
    <t>Filed October Forecast</t>
  </si>
  <si>
    <t>Total 2018 with</t>
  </si>
  <si>
    <t xml:space="preserve">October </t>
  </si>
  <si>
    <t>True-up</t>
  </si>
  <si>
    <t>TY</t>
  </si>
  <si>
    <t>End of RY AMA</t>
  </si>
  <si>
    <t>TY AMA</t>
  </si>
  <si>
    <t>2017-2018 Investment</t>
  </si>
  <si>
    <t>2016-2017 Investment</t>
  </si>
  <si>
    <t>Combined
Monthly</t>
  </si>
  <si>
    <t>RATE YEAR AMA</t>
  </si>
  <si>
    <t>2016 / 2017 PROGRAM YEAR</t>
  </si>
  <si>
    <t>2017 / 2018 PROGRAM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</si>
</sst>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"/>
    <numFmt numFmtId="167" formatCode="_(* #,##0_);_(* \(#,##0\);_(* &quot;-&quot;??_);_(@_)"/>
    <numFmt numFmtId="168" formatCode="#,##0.0_);\(#,##0.0\)"/>
    <numFmt numFmtId="169" formatCode="0_);\(0\)"/>
    <numFmt numFmtId="170" formatCode="0.000000_);[Red]\(0.000000\)"/>
    <numFmt numFmtId="171" formatCode="&quot;$&quot;#,##0"/>
    <numFmt numFmtId="172" formatCode="_(* #,##0.00000_);_(* \(#,##0.00000\);_(* &quot;-&quot;??_);_(@_)"/>
    <numFmt numFmtId="173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sz val="10"/>
      <color theme="1"/>
      <name val="Arial"/>
      <family val="2"/>
    </font>
    <font>
      <sz val="8"/>
      <name val="Helv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FF0000"/>
      <name val="Calibri"/>
      <family val="2"/>
    </font>
    <font>
      <sz val="11"/>
      <color rgb="FFC00000"/>
      <name val="Calibri"/>
      <family val="2"/>
      <scheme val="minor"/>
    </font>
    <font>
      <sz val="8"/>
      <color rgb="FFFF0000"/>
      <name val="Arial"/>
      <family val="2"/>
    </font>
    <font>
      <sz val="10"/>
      <name val="Symbol"/>
      <family val="1"/>
      <charset val="2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66FF99"/>
        <bgColor rgb="FF000000"/>
      </patternFill>
    </fill>
    <fill>
      <patternFill patternType="solid">
        <fgColor rgb="FF66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99"/>
        <bgColor rgb="FF000000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12" fillId="0" borderId="0" xfId="0" applyNumberFormat="1" applyFont="1" applyFill="1" applyAlignment="1"/>
    <xf numFmtId="0" fontId="13" fillId="0" borderId="0" xfId="0" applyNumberFormat="1" applyFont="1" applyFill="1" applyAlignment="1"/>
    <xf numFmtId="0" fontId="13" fillId="0" borderId="0" xfId="0" applyNumberFormat="1" applyFont="1" applyFill="1" applyAlignment="1" applyProtection="1">
      <alignment horizontal="center"/>
      <protection locked="0"/>
    </xf>
    <xf numFmtId="0" fontId="13" fillId="0" borderId="6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left"/>
    </xf>
    <xf numFmtId="37" fontId="12" fillId="0" borderId="0" xfId="0" applyNumberFormat="1" applyFont="1" applyFill="1" applyBorder="1" applyAlignment="1"/>
    <xf numFmtId="0" fontId="14" fillId="0" borderId="0" xfId="0" applyNumberFormat="1" applyFont="1" applyFill="1" applyAlignment="1"/>
    <xf numFmtId="0" fontId="12" fillId="0" borderId="0" xfId="0" applyNumberFormat="1" applyFont="1" applyFill="1" applyAlignment="1">
      <alignment vertical="top"/>
    </xf>
    <xf numFmtId="42" fontId="12" fillId="0" borderId="0" xfId="0" applyNumberFormat="1" applyFont="1" applyFill="1" applyAlignment="1"/>
    <xf numFmtId="0" fontId="12" fillId="0" borderId="16" xfId="0" applyNumberFormat="1" applyFont="1" applyFill="1" applyBorder="1" applyAlignment="1">
      <alignment vertical="top"/>
    </xf>
    <xf numFmtId="0" fontId="12" fillId="0" borderId="0" xfId="0" quotePrefix="1" applyNumberFormat="1" applyFont="1" applyFill="1" applyBorder="1" applyAlignment="1">
      <alignment vertical="top"/>
    </xf>
    <xf numFmtId="0" fontId="12" fillId="0" borderId="0" xfId="0" applyNumberFormat="1" applyFont="1" applyFill="1" applyBorder="1" applyAlignment="1">
      <alignment vertical="top"/>
    </xf>
    <xf numFmtId="41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41" fontId="12" fillId="0" borderId="16" xfId="0" applyNumberFormat="1" applyFont="1" applyFill="1" applyBorder="1" applyAlignment="1"/>
    <xf numFmtId="0" fontId="12" fillId="0" borderId="16" xfId="0" applyNumberFormat="1" applyFont="1" applyFill="1" applyBorder="1" applyAlignment="1"/>
    <xf numFmtId="41" fontId="12" fillId="0" borderId="0" xfId="0" applyNumberFormat="1" applyFont="1" applyFill="1" applyBorder="1" applyAlignment="1"/>
    <xf numFmtId="42" fontId="12" fillId="0" borderId="7" xfId="0" applyNumberFormat="1" applyFont="1" applyFill="1" applyBorder="1" applyAlignment="1"/>
    <xf numFmtId="167" fontId="12" fillId="0" borderId="0" xfId="0" applyNumberFormat="1" applyFont="1" applyFill="1" applyAlignment="1"/>
    <xf numFmtId="167" fontId="12" fillId="0" borderId="16" xfId="0" applyNumberFormat="1" applyFont="1" applyFill="1" applyBorder="1" applyAlignment="1"/>
    <xf numFmtId="0" fontId="12" fillId="0" borderId="0" xfId="0" applyNumberFormat="1" applyFont="1" applyFill="1" applyAlignment="1">
      <alignment horizontal="left"/>
    </xf>
    <xf numFmtId="164" fontId="12" fillId="0" borderId="7" xfId="0" applyNumberFormat="1" applyFont="1" applyFill="1" applyBorder="1" applyAlignment="1" applyProtection="1">
      <protection locked="0"/>
    </xf>
    <xf numFmtId="0" fontId="12" fillId="0" borderId="16" xfId="0" quotePrefix="1" applyNumberFormat="1" applyFont="1" applyFill="1" applyBorder="1" applyAlignment="1">
      <alignment vertical="top"/>
    </xf>
    <xf numFmtId="166" fontId="13" fillId="0" borderId="0" xfId="0" applyNumberFormat="1" applyFont="1" applyFill="1" applyAlignment="1" applyProtection="1">
      <alignment horizontal="centerContinuous"/>
      <protection locked="0"/>
    </xf>
    <xf numFmtId="0" fontId="7" fillId="0" borderId="0" xfId="0" applyFont="1"/>
    <xf numFmtId="41" fontId="12" fillId="0" borderId="16" xfId="0" applyNumberFormat="1" applyFont="1" applyFill="1" applyBorder="1" applyAlignment="1">
      <alignment vertical="top"/>
    </xf>
    <xf numFmtId="41" fontId="12" fillId="0" borderId="0" xfId="0" applyNumberFormat="1" applyFont="1" applyFill="1" applyBorder="1" applyAlignment="1">
      <alignment vertical="top"/>
    </xf>
    <xf numFmtId="167" fontId="12" fillId="0" borderId="6" xfId="0" applyNumberFormat="1" applyFont="1" applyFill="1" applyBorder="1" applyAlignment="1">
      <alignment horizontal="right"/>
    </xf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17" xfId="0" applyFont="1" applyFill="1" applyBorder="1"/>
    <xf numFmtId="169" fontId="7" fillId="0" borderId="0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left"/>
    </xf>
    <xf numFmtId="41" fontId="7" fillId="0" borderId="0" xfId="0" applyNumberFormat="1" applyFont="1" applyFill="1" applyBorder="1"/>
    <xf numFmtId="41" fontId="11" fillId="0" borderId="0" xfId="0" applyNumberFormat="1" applyFont="1" applyFill="1" applyBorder="1"/>
    <xf numFmtId="167" fontId="7" fillId="0" borderId="0" xfId="0" applyNumberFormat="1" applyFont="1" applyFill="1" applyBorder="1"/>
    <xf numFmtId="0" fontId="15" fillId="0" borderId="23" xfId="0" applyFont="1" applyFill="1" applyBorder="1" applyAlignment="1">
      <alignment horizontal="centerContinuous"/>
    </xf>
    <xf numFmtId="0" fontId="15" fillId="0" borderId="24" xfId="0" applyFont="1" applyFill="1" applyBorder="1" applyAlignment="1">
      <alignment horizontal="centerContinuous"/>
    </xf>
    <xf numFmtId="0" fontId="15" fillId="0" borderId="25" xfId="0" applyFont="1" applyFill="1" applyBorder="1" applyAlignment="1">
      <alignment horizontal="centerContinuous"/>
    </xf>
    <xf numFmtId="0" fontId="3" fillId="0" borderId="0" xfId="0" applyFont="1" applyFill="1"/>
    <xf numFmtId="0" fontId="7" fillId="0" borderId="0" xfId="0" applyFont="1" applyFill="1" applyBorder="1" applyAlignment="1">
      <alignment horizontal="left"/>
    </xf>
    <xf numFmtId="0" fontId="16" fillId="0" borderId="6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42" fontId="7" fillId="0" borderId="7" xfId="0" applyNumberFormat="1" applyFont="1" applyFill="1" applyBorder="1"/>
    <xf numFmtId="42" fontId="7" fillId="0" borderId="15" xfId="0" applyNumberFormat="1" applyFont="1" applyFill="1" applyBorder="1"/>
    <xf numFmtId="0" fontId="18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2" xfId="0" applyFont="1" applyBorder="1" applyAlignment="1">
      <alignment horizontal="left"/>
    </xf>
    <xf numFmtId="165" fontId="18" fillId="0" borderId="22" xfId="0" applyNumberFormat="1" applyFont="1" applyBorder="1" applyAlignment="1">
      <alignment vertical="center" wrapText="1"/>
    </xf>
    <xf numFmtId="0" fontId="20" fillId="2" borderId="11" xfId="0" applyFont="1" applyFill="1" applyBorder="1"/>
    <xf numFmtId="0" fontId="21" fillId="2" borderId="12" xfId="0" applyFont="1" applyFill="1" applyBorder="1" applyAlignment="1">
      <alignment horizontal="centerContinuous"/>
    </xf>
    <xf numFmtId="0" fontId="20" fillId="2" borderId="12" xfId="0" applyFont="1" applyFill="1" applyBorder="1" applyAlignment="1">
      <alignment horizontal="centerContinuous"/>
    </xf>
    <xf numFmtId="0" fontId="20" fillId="2" borderId="13" xfId="0" applyFont="1" applyFill="1" applyBorder="1" applyAlignment="1">
      <alignment horizontal="centerContinuous"/>
    </xf>
    <xf numFmtId="0" fontId="9" fillId="0" borderId="26" xfId="0" applyFont="1" applyFill="1" applyBorder="1"/>
    <xf numFmtId="0" fontId="9" fillId="0" borderId="26" xfId="0" applyFont="1" applyFill="1" applyBorder="1" applyAlignment="1">
      <alignment horizontal="center" wrapText="1"/>
    </xf>
    <xf numFmtId="0" fontId="9" fillId="3" borderId="26" xfId="0" applyFont="1" applyFill="1" applyBorder="1" applyAlignment="1">
      <alignment horizontal="center" wrapText="1"/>
    </xf>
    <xf numFmtId="0" fontId="20" fillId="0" borderId="0" xfId="0" applyFont="1" applyFill="1" applyBorder="1"/>
    <xf numFmtId="0" fontId="22" fillId="0" borderId="23" xfId="0" applyFont="1" applyFill="1" applyBorder="1"/>
    <xf numFmtId="171" fontId="9" fillId="0" borderId="22" xfId="0" applyNumberFormat="1" applyFont="1" applyFill="1" applyBorder="1"/>
    <xf numFmtId="171" fontId="9" fillId="3" borderId="22" xfId="0" applyNumberFormat="1" applyFont="1" applyFill="1" applyBorder="1"/>
    <xf numFmtId="0" fontId="9" fillId="0" borderId="22" xfId="0" applyFont="1" applyFill="1" applyBorder="1"/>
    <xf numFmtId="0" fontId="20" fillId="0" borderId="22" xfId="0" applyFont="1" applyFill="1" applyBorder="1"/>
    <xf numFmtId="171" fontId="20" fillId="0" borderId="22" xfId="0" applyNumberFormat="1" applyFont="1" applyFill="1" applyBorder="1"/>
    <xf numFmtId="10" fontId="20" fillId="0" borderId="0" xfId="0" applyNumberFormat="1" applyFont="1" applyFill="1" applyBorder="1"/>
    <xf numFmtId="0" fontId="19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centerContinuous"/>
    </xf>
    <xf numFmtId="0" fontId="20" fillId="0" borderId="22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/>
    </xf>
    <xf numFmtId="10" fontId="9" fillId="0" borderId="22" xfId="0" applyNumberFormat="1" applyFont="1" applyFill="1" applyBorder="1" applyAlignment="1"/>
    <xf numFmtId="43" fontId="9" fillId="0" borderId="22" xfId="0" applyNumberFormat="1" applyFont="1" applyFill="1" applyBorder="1" applyAlignment="1"/>
    <xf numFmtId="0" fontId="9" fillId="0" borderId="22" xfId="0" applyNumberFormat="1" applyFont="1" applyFill="1" applyBorder="1" applyAlignment="1"/>
    <xf numFmtId="0" fontId="5" fillId="0" borderId="22" xfId="0" applyNumberFormat="1" applyFont="1" applyFill="1" applyBorder="1" applyAlignment="1"/>
    <xf numFmtId="0" fontId="5" fillId="4" borderId="1" xfId="0" applyFont="1" applyFill="1" applyBorder="1" applyAlignment="1">
      <alignment horizontal="centerContinuous"/>
    </xf>
    <xf numFmtId="0" fontId="6" fillId="4" borderId="2" xfId="0" applyFont="1" applyFill="1" applyBorder="1" applyAlignment="1">
      <alignment horizontal="centerContinuous"/>
    </xf>
    <xf numFmtId="0" fontId="6" fillId="4" borderId="3" xfId="0" applyFont="1" applyFill="1" applyBorder="1" applyAlignment="1">
      <alignment horizontal="centerContinuous"/>
    </xf>
    <xf numFmtId="0" fontId="23" fillId="4" borderId="4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43" fontId="23" fillId="4" borderId="0" xfId="0" applyNumberFormat="1" applyFont="1" applyFill="1" applyBorder="1" applyAlignment="1">
      <alignment horizontal="center" wrapText="1"/>
    </xf>
    <xf numFmtId="0" fontId="23" fillId="4" borderId="5" xfId="0" applyFont="1" applyFill="1" applyBorder="1" applyAlignment="1">
      <alignment horizontal="center" wrapText="1"/>
    </xf>
    <xf numFmtId="43" fontId="23" fillId="4" borderId="0" xfId="0" applyNumberFormat="1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4" fillId="4" borderId="4" xfId="0" applyFont="1" applyFill="1" applyBorder="1"/>
    <xf numFmtId="0" fontId="24" fillId="4" borderId="0" xfId="0" applyFont="1" applyFill="1" applyBorder="1"/>
    <xf numFmtId="0" fontId="24" fillId="4" borderId="5" xfId="0" applyFont="1" applyFill="1" applyBorder="1"/>
    <xf numFmtId="0" fontId="24" fillId="4" borderId="4" xfId="0" applyFont="1" applyFill="1" applyBorder="1" applyAlignment="1">
      <alignment horizontal="left"/>
    </xf>
    <xf numFmtId="10" fontId="24" fillId="4" borderId="0" xfId="0" applyNumberFormat="1" applyFont="1" applyFill="1" applyBorder="1"/>
    <xf numFmtId="10" fontId="24" fillId="4" borderId="5" xfId="0" applyNumberFormat="1" applyFont="1" applyFill="1" applyBorder="1"/>
    <xf numFmtId="0" fontId="24" fillId="4" borderId="8" xfId="0" applyFont="1" applyFill="1" applyBorder="1" applyAlignment="1">
      <alignment horizontal="left"/>
    </xf>
    <xf numFmtId="0" fontId="24" fillId="4" borderId="9" xfId="0" applyFont="1" applyFill="1" applyBorder="1"/>
    <xf numFmtId="10" fontId="24" fillId="4" borderId="9" xfId="0" applyNumberFormat="1" applyFont="1" applyFill="1" applyBorder="1"/>
    <xf numFmtId="10" fontId="24" fillId="4" borderId="10" xfId="0" applyNumberFormat="1" applyFont="1" applyFill="1" applyBorder="1"/>
    <xf numFmtId="0" fontId="20" fillId="5" borderId="11" xfId="0" applyFont="1" applyFill="1" applyBorder="1"/>
    <xf numFmtId="0" fontId="21" fillId="5" borderId="12" xfId="0" applyFont="1" applyFill="1" applyBorder="1" applyAlignment="1">
      <alignment horizontal="centerContinuous"/>
    </xf>
    <xf numFmtId="0" fontId="20" fillId="5" borderId="12" xfId="0" applyFont="1" applyFill="1" applyBorder="1" applyAlignment="1">
      <alignment horizontal="centerContinuous"/>
    </xf>
    <xf numFmtId="0" fontId="20" fillId="5" borderId="13" xfId="0" applyFont="1" applyFill="1" applyBorder="1" applyAlignment="1">
      <alignment horizontal="centerContinuous"/>
    </xf>
    <xf numFmtId="0" fontId="9" fillId="5" borderId="26" xfId="0" applyFont="1" applyFill="1" applyBorder="1" applyAlignment="1">
      <alignment horizontal="center" wrapText="1"/>
    </xf>
    <xf numFmtId="173" fontId="12" fillId="0" borderId="0" xfId="0" applyNumberFormat="1" applyFont="1" applyFill="1" applyAlignment="1"/>
    <xf numFmtId="0" fontId="7" fillId="0" borderId="0" xfId="0" applyFont="1" applyFill="1" applyBorder="1" applyAlignment="1">
      <alignment horizontal="center" wrapText="1"/>
    </xf>
    <xf numFmtId="165" fontId="1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19" xfId="0" applyFont="1" applyFill="1" applyBorder="1"/>
    <xf numFmtId="0" fontId="7" fillId="0" borderId="19" xfId="0" applyFont="1" applyFill="1" applyBorder="1" applyAlignment="1">
      <alignment horizontal="left"/>
    </xf>
    <xf numFmtId="14" fontId="7" fillId="0" borderId="19" xfId="0" applyNumberFormat="1" applyFont="1" applyFill="1" applyBorder="1" applyAlignment="1">
      <alignment horizontal="left"/>
    </xf>
    <xf numFmtId="0" fontId="7" fillId="0" borderId="20" xfId="0" applyFont="1" applyFill="1" applyBorder="1"/>
    <xf numFmtId="0" fontId="7" fillId="0" borderId="29" xfId="0" applyFont="1" applyFill="1" applyBorder="1"/>
    <xf numFmtId="0" fontId="7" fillId="0" borderId="18" xfId="0" applyFont="1" applyFill="1" applyBorder="1"/>
    <xf numFmtId="0" fontId="7" fillId="0" borderId="14" xfId="0" applyFont="1" applyFill="1" applyBorder="1"/>
    <xf numFmtId="168" fontId="7" fillId="0" borderId="2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/>
    <xf numFmtId="42" fontId="11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41" fontId="12" fillId="0" borderId="30" xfId="0" applyNumberFormat="1" applyFont="1" applyFill="1" applyBorder="1" applyAlignment="1"/>
    <xf numFmtId="0" fontId="0" fillId="0" borderId="0" xfId="0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170" fontId="12" fillId="0" borderId="0" xfId="0" applyNumberFormat="1" applyFont="1" applyFill="1" applyAlignment="1"/>
    <xf numFmtId="0" fontId="12" fillId="0" borderId="0" xfId="0" applyFont="1" applyFill="1" applyBorder="1" applyAlignment="1"/>
    <xf numFmtId="164" fontId="0" fillId="0" borderId="0" xfId="0" applyNumberFormat="1" applyFill="1"/>
    <xf numFmtId="0" fontId="7" fillId="0" borderId="14" xfId="0" applyFont="1" applyFill="1" applyBorder="1" applyAlignment="1">
      <alignment horizontal="center"/>
    </xf>
    <xf numFmtId="10" fontId="11" fillId="0" borderId="0" xfId="0" applyNumberFormat="1" applyFont="1" applyFill="1" applyBorder="1" applyAlignment="1">
      <alignment horizontal="center"/>
    </xf>
    <xf numFmtId="37" fontId="11" fillId="0" borderId="0" xfId="0" applyNumberFormat="1" applyFont="1" applyFill="1" applyBorder="1" applyAlignment="1">
      <alignment horizontal="center"/>
    </xf>
    <xf numFmtId="9" fontId="11" fillId="0" borderId="14" xfId="0" applyNumberFormat="1" applyFont="1" applyFill="1" applyBorder="1" applyAlignment="1">
      <alignment horizontal="center"/>
    </xf>
    <xf numFmtId="0" fontId="7" fillId="0" borderId="21" xfId="0" applyFont="1" applyFill="1" applyBorder="1"/>
    <xf numFmtId="41" fontId="26" fillId="0" borderId="0" xfId="0" applyNumberFormat="1" applyFont="1" applyFill="1" applyBorder="1"/>
    <xf numFmtId="164" fontId="9" fillId="6" borderId="22" xfId="0" applyNumberFormat="1" applyFont="1" applyFill="1" applyBorder="1"/>
    <xf numFmtId="171" fontId="7" fillId="7" borderId="22" xfId="0" applyNumberFormat="1" applyFont="1" applyFill="1" applyBorder="1"/>
    <xf numFmtId="171" fontId="7" fillId="0" borderId="22" xfId="0" applyNumberFormat="1" applyFont="1" applyBorder="1"/>
    <xf numFmtId="0" fontId="2" fillId="0" borderId="0" xfId="0" applyFont="1"/>
    <xf numFmtId="0" fontId="2" fillId="0" borderId="22" xfId="0" applyFont="1" applyBorder="1"/>
    <xf numFmtId="171" fontId="2" fillId="0" borderId="22" xfId="0" applyNumberFormat="1" applyFont="1" applyBorder="1"/>
    <xf numFmtId="10" fontId="2" fillId="0" borderId="0" xfId="0" applyNumberFormat="1" applyFont="1"/>
    <xf numFmtId="44" fontId="7" fillId="0" borderId="0" xfId="0" applyNumberFormat="1" applyFont="1" applyFill="1" applyBorder="1"/>
    <xf numFmtId="0" fontId="20" fillId="8" borderId="0" xfId="0" applyFont="1" applyFill="1" applyBorder="1" applyAlignment="1">
      <alignment horizontal="centerContinuous"/>
    </xf>
    <xf numFmtId="0" fontId="5" fillId="8" borderId="22" xfId="0" applyNumberFormat="1" applyFont="1" applyFill="1" applyBorder="1" applyAlignment="1"/>
    <xf numFmtId="0" fontId="9" fillId="8" borderId="22" xfId="0" applyNumberFormat="1" applyFont="1" applyFill="1" applyBorder="1" applyAlignment="1"/>
    <xf numFmtId="10" fontId="9" fillId="8" borderId="22" xfId="0" applyNumberFormat="1" applyFont="1" applyFill="1" applyBorder="1" applyAlignment="1"/>
    <xf numFmtId="0" fontId="5" fillId="9" borderId="22" xfId="0" applyNumberFormat="1" applyFont="1" applyFill="1" applyBorder="1" applyAlignment="1"/>
    <xf numFmtId="0" fontId="9" fillId="9" borderId="22" xfId="0" applyNumberFormat="1" applyFont="1" applyFill="1" applyBorder="1" applyAlignment="1"/>
    <xf numFmtId="10" fontId="9" fillId="9" borderId="22" xfId="0" applyNumberFormat="1" applyFont="1" applyFill="1" applyBorder="1" applyAlignment="1"/>
    <xf numFmtId="0" fontId="12" fillId="0" borderId="0" xfId="0" applyFont="1" applyBorder="1" applyAlignment="1"/>
    <xf numFmtId="43" fontId="7" fillId="0" borderId="0" xfId="0" applyNumberFormat="1" applyFont="1" applyFill="1" applyBorder="1"/>
    <xf numFmtId="0" fontId="0" fillId="0" borderId="6" xfId="0" applyFill="1" applyBorder="1"/>
    <xf numFmtId="0" fontId="10" fillId="0" borderId="33" xfId="0" applyFont="1" applyFill="1" applyBorder="1" applyAlignment="1">
      <alignment horizontal="center"/>
    </xf>
    <xf numFmtId="167" fontId="11" fillId="10" borderId="0" xfId="0" applyNumberFormat="1" applyFont="1" applyFill="1" applyBorder="1"/>
    <xf numFmtId="14" fontId="7" fillId="8" borderId="0" xfId="0" applyNumberFormat="1" applyFont="1" applyFill="1" applyBorder="1" applyAlignment="1">
      <alignment horizontal="left"/>
    </xf>
    <xf numFmtId="41" fontId="11" fillId="8" borderId="0" xfId="0" applyNumberFormat="1" applyFont="1" applyFill="1" applyBorder="1"/>
    <xf numFmtId="167" fontId="11" fillId="8" borderId="0" xfId="0" applyNumberFormat="1" applyFont="1" applyFill="1" applyBorder="1"/>
    <xf numFmtId="41" fontId="7" fillId="8" borderId="0" xfId="0" applyNumberFormat="1" applyFont="1" applyFill="1" applyBorder="1"/>
    <xf numFmtId="0" fontId="7" fillId="8" borderId="0" xfId="0" applyFont="1" applyFill="1" applyBorder="1"/>
    <xf numFmtId="14" fontId="7" fillId="11" borderId="0" xfId="0" applyNumberFormat="1" applyFont="1" applyFill="1" applyBorder="1" applyAlignment="1">
      <alignment horizontal="left"/>
    </xf>
    <xf numFmtId="41" fontId="11" fillId="11" borderId="0" xfId="0" applyNumberFormat="1" applyFont="1" applyFill="1" applyBorder="1"/>
    <xf numFmtId="41" fontId="7" fillId="11" borderId="0" xfId="0" applyNumberFormat="1" applyFont="1" applyFill="1" applyBorder="1"/>
    <xf numFmtId="0" fontId="7" fillId="11" borderId="0" xfId="0" applyFont="1" applyFill="1" applyBorder="1"/>
    <xf numFmtId="0" fontId="16" fillId="11" borderId="9" xfId="0" applyFont="1" applyFill="1" applyBorder="1" applyAlignment="1">
      <alignment horizontal="centerContinuous"/>
    </xf>
    <xf numFmtId="0" fontId="16" fillId="8" borderId="9" xfId="0" applyFont="1" applyFill="1" applyBorder="1" applyAlignment="1">
      <alignment horizontal="centerContinuous"/>
    </xf>
    <xf numFmtId="13" fontId="7" fillId="0" borderId="0" xfId="0" applyNumberFormat="1" applyFont="1" applyFill="1" applyBorder="1"/>
    <xf numFmtId="167" fontId="26" fillId="12" borderId="0" xfId="0" applyNumberFormat="1" applyFont="1" applyFill="1" applyBorder="1"/>
    <xf numFmtId="41" fontId="26" fillId="12" borderId="0" xfId="0" applyNumberFormat="1" applyFont="1" applyFill="1" applyBorder="1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166" fontId="8" fillId="0" borderId="34" xfId="0" applyNumberFormat="1" applyFont="1" applyFill="1" applyBorder="1" applyAlignment="1">
      <alignment horizontal="left"/>
    </xf>
    <xf numFmtId="166" fontId="8" fillId="0" borderId="6" xfId="0" applyNumberFormat="1" applyFont="1" applyFill="1" applyBorder="1" applyAlignment="1">
      <alignment horizontal="left"/>
    </xf>
    <xf numFmtId="166" fontId="8" fillId="0" borderId="35" xfId="0" applyNumberFormat="1" applyFont="1" applyFill="1" applyBorder="1" applyAlignment="1">
      <alignment horizontal="left"/>
    </xf>
    <xf numFmtId="167" fontId="27" fillId="0" borderId="34" xfId="0" applyNumberFormat="1" applyFont="1" applyFill="1" applyBorder="1" applyAlignment="1">
      <alignment horizontal="left"/>
    </xf>
    <xf numFmtId="166" fontId="27" fillId="0" borderId="6" xfId="0" applyNumberFormat="1" applyFont="1" applyFill="1" applyBorder="1" applyAlignment="1">
      <alignment horizontal="right"/>
    </xf>
    <xf numFmtId="0" fontId="1" fillId="0" borderId="26" xfId="0" applyNumberFormat="1" applyFont="1" applyFill="1" applyBorder="1" applyAlignment="1">
      <alignment horizontal="center"/>
    </xf>
    <xf numFmtId="42" fontId="10" fillId="0" borderId="33" xfId="0" applyNumberFormat="1" applyFont="1" applyFill="1" applyBorder="1" applyAlignment="1">
      <alignment horizontal="left"/>
    </xf>
    <xf numFmtId="166" fontId="8" fillId="0" borderId="0" xfId="0" applyNumberFormat="1" applyFont="1" applyFill="1" applyBorder="1" applyAlignment="1">
      <alignment horizontal="left"/>
    </xf>
    <xf numFmtId="166" fontId="8" fillId="0" borderId="31" xfId="0" applyNumberFormat="1" applyFont="1" applyFill="1" applyBorder="1" applyAlignment="1">
      <alignment horizontal="left"/>
    </xf>
    <xf numFmtId="42" fontId="8" fillId="0" borderId="36" xfId="0" applyNumberFormat="1" applyFont="1" applyFill="1" applyBorder="1" applyAlignment="1">
      <alignment horizontal="left"/>
    </xf>
    <xf numFmtId="41" fontId="8" fillId="0" borderId="0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left"/>
    </xf>
    <xf numFmtId="41" fontId="10" fillId="0" borderId="0" xfId="0" applyNumberFormat="1" applyFont="1" applyFill="1" applyBorder="1" applyAlignment="1">
      <alignment horizontal="left"/>
    </xf>
    <xf numFmtId="41" fontId="8" fillId="0" borderId="38" xfId="0" applyNumberFormat="1" applyFont="1" applyFill="1" applyBorder="1" applyAlignment="1">
      <alignment horizontal="left"/>
    </xf>
    <xf numFmtId="41" fontId="27" fillId="0" borderId="0" xfId="0" applyNumberFormat="1" applyFont="1" applyFill="1" applyBorder="1" applyAlignment="1">
      <alignment horizontal="left"/>
    </xf>
    <xf numFmtId="166" fontId="27" fillId="0" borderId="0" xfId="0" applyNumberFormat="1" applyFont="1" applyFill="1" applyBorder="1" applyAlignment="1">
      <alignment horizontal="right"/>
    </xf>
    <xf numFmtId="41" fontId="8" fillId="0" borderId="15" xfId="0" applyNumberFormat="1" applyFont="1" applyFill="1" applyBorder="1" applyAlignment="1">
      <alignment horizontal="left"/>
    </xf>
    <xf numFmtId="37" fontId="8" fillId="0" borderId="0" xfId="0" applyNumberFormat="1" applyFont="1" applyFill="1" applyBorder="1" applyAlignment="1">
      <alignment horizontal="left"/>
    </xf>
    <xf numFmtId="0" fontId="8" fillId="0" borderId="39" xfId="0" applyNumberFormat="1" applyFont="1" applyFill="1" applyBorder="1" applyAlignment="1">
      <alignment horizontal="center"/>
    </xf>
    <xf numFmtId="37" fontId="8" fillId="0" borderId="0" xfId="0" applyNumberFormat="1" applyFont="1" applyFill="1" applyBorder="1" applyAlignment="1">
      <alignment horizontal="center"/>
    </xf>
    <xf numFmtId="37" fontId="8" fillId="0" borderId="31" xfId="0" applyNumberFormat="1" applyFont="1" applyFill="1" applyBorder="1" applyAlignment="1">
      <alignment horizontal="center"/>
    </xf>
    <xf numFmtId="17" fontId="8" fillId="0" borderId="0" xfId="0" applyNumberFormat="1" applyFont="1" applyFill="1" applyBorder="1" applyAlignment="1">
      <alignment horizontal="center"/>
    </xf>
    <xf numFmtId="0" fontId="8" fillId="0" borderId="31" xfId="0" applyNumberFormat="1" applyFont="1" applyFill="1" applyBorder="1" applyAlignment="1">
      <alignment horizontal="center"/>
    </xf>
    <xf numFmtId="42" fontId="8" fillId="0" borderId="38" xfId="0" applyNumberFormat="1" applyFont="1" applyFill="1" applyBorder="1" applyAlignment="1">
      <alignment horizontal="left"/>
    </xf>
    <xf numFmtId="0" fontId="1" fillId="0" borderId="40" xfId="0" applyNumberFormat="1" applyFont="1" applyFill="1" applyBorder="1" applyAlignment="1">
      <alignment horizontal="center"/>
    </xf>
    <xf numFmtId="41" fontId="8" fillId="0" borderId="34" xfId="0" applyNumberFormat="1" applyFont="1" applyFill="1" applyBorder="1" applyAlignment="1">
      <alignment horizontal="center"/>
    </xf>
    <xf numFmtId="41" fontId="8" fillId="0" borderId="6" xfId="0" applyNumberFormat="1" applyFont="1" applyFill="1" applyBorder="1" applyAlignment="1">
      <alignment horizontal="left"/>
    </xf>
    <xf numFmtId="37" fontId="8" fillId="0" borderId="6" xfId="0" applyNumberFormat="1" applyFont="1" applyFill="1" applyBorder="1" applyAlignment="1">
      <alignment horizontal="center"/>
    </xf>
    <xf numFmtId="0" fontId="8" fillId="0" borderId="35" xfId="0" applyNumberFormat="1" applyFont="1" applyFill="1" applyBorder="1" applyAlignment="1">
      <alignment horizontal="center"/>
    </xf>
    <xf numFmtId="41" fontId="8" fillId="0" borderId="6" xfId="0" applyNumberFormat="1" applyFont="1" applyFill="1" applyBorder="1" applyAlignment="1">
      <alignment horizontal="center"/>
    </xf>
    <xf numFmtId="17" fontId="8" fillId="0" borderId="6" xfId="0" applyNumberFormat="1" applyFont="1" applyFill="1" applyBorder="1" applyAlignment="1">
      <alignment horizontal="center"/>
    </xf>
    <xf numFmtId="41" fontId="8" fillId="0" borderId="38" xfId="0" applyNumberFormat="1" applyFont="1" applyFill="1" applyBorder="1" applyAlignment="1">
      <alignment horizontal="center" vertical="top"/>
    </xf>
    <xf numFmtId="166" fontId="8" fillId="0" borderId="0" xfId="0" applyNumberFormat="1" applyFont="1" applyFill="1" applyAlignment="1">
      <alignment horizontal="center"/>
    </xf>
    <xf numFmtId="37" fontId="8" fillId="0" borderId="0" xfId="0" applyNumberFormat="1" applyFont="1" applyFill="1" applyBorder="1" applyAlignment="1">
      <alignment horizontal="center" vertical="top"/>
    </xf>
    <xf numFmtId="0" fontId="8" fillId="0" borderId="31" xfId="0" applyNumberFormat="1" applyFont="1" applyFill="1" applyBorder="1" applyAlignment="1">
      <alignment horizontal="center" vertical="top"/>
    </xf>
    <xf numFmtId="41" fontId="8" fillId="0" borderId="0" xfId="0" applyNumberFormat="1" applyFont="1" applyFill="1" applyBorder="1" applyAlignment="1">
      <alignment horizontal="center" vertical="top"/>
    </xf>
    <xf numFmtId="17" fontId="8" fillId="0" borderId="0" xfId="0" applyNumberFormat="1" applyFont="1" applyFill="1" applyBorder="1" applyAlignment="1">
      <alignment horizontal="center" vertical="top"/>
    </xf>
    <xf numFmtId="166" fontId="8" fillId="0" borderId="34" xfId="0" applyNumberFormat="1" applyFont="1" applyFill="1" applyBorder="1" applyAlignment="1">
      <alignment horizontal="center"/>
    </xf>
    <xf numFmtId="166" fontId="8" fillId="0" borderId="6" xfId="0" applyNumberFormat="1" applyFont="1" applyFill="1" applyBorder="1" applyAlignment="1">
      <alignment horizontal="center"/>
    </xf>
    <xf numFmtId="166" fontId="8" fillId="0" borderId="35" xfId="0" applyNumberFormat="1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8" fillId="0" borderId="31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Continuous"/>
    </xf>
    <xf numFmtId="166" fontId="8" fillId="0" borderId="31" xfId="0" applyNumberFormat="1" applyFont="1" applyFill="1" applyBorder="1" applyAlignment="1">
      <alignment horizontal="centerContinuous"/>
    </xf>
    <xf numFmtId="166" fontId="8" fillId="0" borderId="41" xfId="0" applyNumberFormat="1" applyFont="1" applyFill="1" applyBorder="1" applyAlignment="1">
      <alignment horizontal="left"/>
    </xf>
    <xf numFmtId="166" fontId="8" fillId="0" borderId="24" xfId="0" applyNumberFormat="1" applyFont="1" applyFill="1" applyBorder="1" applyAlignment="1">
      <alignment horizontal="centerContinuous"/>
    </xf>
    <xf numFmtId="166" fontId="8" fillId="0" borderId="23" xfId="0" applyNumberFormat="1" applyFont="1" applyFill="1" applyBorder="1" applyAlignment="1">
      <alignment horizontal="centerContinuous"/>
    </xf>
    <xf numFmtId="166" fontId="8" fillId="0" borderId="25" xfId="0" applyNumberFormat="1" applyFont="1" applyFill="1" applyBorder="1" applyAlignment="1">
      <alignment horizontal="centerContinuous"/>
    </xf>
    <xf numFmtId="166" fontId="8" fillId="0" borderId="32" xfId="0" applyNumberFormat="1" applyFont="1" applyFill="1" applyBorder="1" applyAlignment="1">
      <alignment horizontal="left"/>
    </xf>
    <xf numFmtId="166" fontId="8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left"/>
    </xf>
    <xf numFmtId="165" fontId="11" fillId="8" borderId="0" xfId="0" applyNumberFormat="1" applyFont="1" applyFill="1" applyBorder="1" applyAlignment="1">
      <alignment horizontal="center"/>
    </xf>
    <xf numFmtId="41" fontId="11" fillId="8" borderId="0" xfId="0" applyNumberFormat="1" applyFont="1" applyFill="1" applyBorder="1"/>
    <xf numFmtId="167" fontId="26" fillId="8" borderId="0" xfId="0" applyNumberFormat="1" applyFont="1" applyFill="1" applyBorder="1"/>
    <xf numFmtId="14" fontId="11" fillId="8" borderId="0" xfId="0" applyNumberFormat="1" applyFont="1" applyFill="1" applyBorder="1" applyAlignment="1">
      <alignment horizontal="left"/>
    </xf>
    <xf numFmtId="172" fontId="26" fillId="8" borderId="0" xfId="0" applyNumberFormat="1" applyFont="1" applyFill="1" applyBorder="1"/>
    <xf numFmtId="41" fontId="26" fillId="8" borderId="0" xfId="0" applyNumberFormat="1" applyFont="1" applyFill="1" applyBorder="1"/>
    <xf numFmtId="37" fontId="4" fillId="8" borderId="0" xfId="0" applyNumberFormat="1" applyFont="1" applyFill="1" applyBorder="1"/>
    <xf numFmtId="14" fontId="11" fillId="13" borderId="0" xfId="0" applyNumberFormat="1" applyFont="1" applyFill="1" applyBorder="1" applyAlignment="1">
      <alignment horizontal="left"/>
    </xf>
    <xf numFmtId="165" fontId="11" fillId="13" borderId="0" xfId="0" applyNumberFormat="1" applyFont="1" applyFill="1" applyBorder="1" applyAlignment="1">
      <alignment horizontal="center"/>
    </xf>
    <xf numFmtId="41" fontId="11" fillId="13" borderId="0" xfId="0" applyNumberFormat="1" applyFont="1" applyFill="1" applyBorder="1"/>
    <xf numFmtId="167" fontId="11" fillId="13" borderId="0" xfId="0" applyNumberFormat="1" applyFont="1" applyFill="1" applyBorder="1"/>
    <xf numFmtId="41" fontId="26" fillId="13" borderId="0" xfId="0" applyNumberFormat="1" applyFont="1" applyFill="1" applyBorder="1"/>
    <xf numFmtId="0" fontId="7" fillId="13" borderId="0" xfId="0" applyFont="1" applyFill="1" applyBorder="1"/>
    <xf numFmtId="43" fontId="26" fillId="12" borderId="0" xfId="0" applyNumberFormat="1" applyFont="1" applyFill="1" applyBorder="1"/>
    <xf numFmtId="164" fontId="9" fillId="14" borderId="22" xfId="0" applyNumberFormat="1" applyFont="1" applyFill="1" applyBorder="1"/>
    <xf numFmtId="171" fontId="7" fillId="11" borderId="22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12" fillId="0" borderId="30" xfId="0" quotePrefix="1" applyNumberFormat="1" applyFont="1" applyFill="1" applyBorder="1" applyAlignment="1">
      <alignment vertical="top"/>
    </xf>
    <xf numFmtId="0" fontId="12" fillId="0" borderId="3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Continuous"/>
    </xf>
    <xf numFmtId="41" fontId="12" fillId="0" borderId="27" xfId="0" applyNumberFormat="1" applyFont="1" applyFill="1" applyBorder="1" applyAlignment="1">
      <alignment vertical="top"/>
    </xf>
    <xf numFmtId="41" fontId="12" fillId="0" borderId="27" xfId="0" applyNumberFormat="1" applyFont="1" applyFill="1" applyBorder="1" applyAlignment="1"/>
    <xf numFmtId="164" fontId="29" fillId="0" borderId="0" xfId="0" applyNumberFormat="1" applyFont="1" applyFill="1" applyBorder="1"/>
    <xf numFmtId="41" fontId="1" fillId="0" borderId="0" xfId="0" applyNumberFormat="1" applyFont="1" applyFill="1" applyAlignment="1"/>
    <xf numFmtId="41" fontId="1" fillId="0" borderId="0" xfId="0" applyNumberFormat="1" applyFont="1" applyAlignment="1"/>
    <xf numFmtId="0" fontId="1" fillId="0" borderId="0" xfId="0" applyNumberFormat="1" applyFont="1" applyAlignment="1">
      <alignment wrapText="1"/>
    </xf>
    <xf numFmtId="167" fontId="8" fillId="0" borderId="0" xfId="0" applyNumberFormat="1" applyFont="1" applyFill="1" applyBorder="1" applyAlignment="1">
      <alignment horizontal="left"/>
    </xf>
    <xf numFmtId="41" fontId="8" fillId="0" borderId="0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>
      <alignment horizontal="left"/>
    </xf>
    <xf numFmtId="166" fontId="8" fillId="0" borderId="35" xfId="0" applyNumberFormat="1" applyFont="1" applyFill="1" applyBorder="1" applyAlignment="1">
      <alignment horizontal="centerContinuous"/>
    </xf>
    <xf numFmtId="166" fontId="8" fillId="0" borderId="6" xfId="0" applyNumberFormat="1" applyFont="1" applyFill="1" applyBorder="1" applyAlignment="1">
      <alignment horizontal="centerContinuous"/>
    </xf>
    <xf numFmtId="166" fontId="17" fillId="15" borderId="11" xfId="0" applyNumberFormat="1" applyFont="1" applyFill="1" applyBorder="1" applyAlignment="1">
      <alignment horizontal="left"/>
    </xf>
    <xf numFmtId="166" fontId="10" fillId="15" borderId="12" xfId="0" applyNumberFormat="1" applyFont="1" applyFill="1" applyBorder="1" applyAlignment="1">
      <alignment horizontal="centerContinuous"/>
    </xf>
    <xf numFmtId="166" fontId="10" fillId="15" borderId="13" xfId="0" applyNumberFormat="1" applyFont="1" applyFill="1" applyBorder="1" applyAlignment="1">
      <alignment horizontal="centerContinuous"/>
    </xf>
    <xf numFmtId="10" fontId="25" fillId="0" borderId="22" xfId="0" applyNumberFormat="1" applyFont="1" applyFill="1" applyBorder="1" applyAlignment="1"/>
    <xf numFmtId="10" fontId="4" fillId="0" borderId="0" xfId="0" applyNumberFormat="1" applyFont="1" applyFill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6699"/>
      <color rgb="FFFFCCFF"/>
      <color rgb="FF99FFCC"/>
      <color rgb="FFFF66FF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1G-RevExp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Summary COS Rev"/>
      <sheetName val="Other"/>
      <sheetName val="Exh. JAP-3 Page 1"/>
      <sheetName val="SOG 12-2018"/>
      <sheetName val="SAP"/>
    </sheetNames>
    <sheetDataSet>
      <sheetData sheetId="0"/>
      <sheetData sheetId="1">
        <row r="17">
          <cell r="Q17">
            <v>-6980521.1700718822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M12">
            <v>5.1240000000000001E-3</v>
          </cell>
        </row>
        <row r="13">
          <cell r="M13">
            <v>2E-3</v>
          </cell>
        </row>
        <row r="14">
          <cell r="M14">
            <v>3.8323000000000003E-2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>
      <pane xSplit="2" ySplit="7" topLeftCell="C23" activePane="bottomRight" state="frozen"/>
      <selection activeCell="F14" sqref="F14"/>
      <selection pane="topRight" activeCell="F14" sqref="F14"/>
      <selection pane="bottomLeft" activeCell="F14" sqref="F14"/>
      <selection pane="bottomRight" activeCell="E27" sqref="E27"/>
    </sheetView>
  </sheetViews>
  <sheetFormatPr defaultColWidth="9.140625" defaultRowHeight="12.75" outlineLevelCol="1" x14ac:dyDescent="0.2"/>
  <cols>
    <col min="1" max="1" width="4.7109375" style="30" customWidth="1"/>
    <col min="2" max="2" width="36" style="30" customWidth="1"/>
    <col min="3" max="3" width="5" style="30" customWidth="1"/>
    <col min="4" max="4" width="9.140625" style="30" customWidth="1" outlineLevel="1"/>
    <col min="5" max="5" width="10.85546875" style="30" customWidth="1"/>
    <col min="6" max="6" width="13.7109375" style="30" bestFit="1" customWidth="1"/>
    <col min="7" max="7" width="17" style="30" bestFit="1" customWidth="1"/>
    <col min="8" max="8" width="14.42578125" style="30" bestFit="1" customWidth="1"/>
    <col min="9" max="10" width="14.42578125" style="30" customWidth="1"/>
    <col min="11" max="16384" width="9.140625" style="30"/>
  </cols>
  <sheetData>
    <row r="1" spans="1:13" ht="13.5" thickBot="1" x14ac:dyDescent="0.25">
      <c r="H1" s="153" t="s">
        <v>139</v>
      </c>
      <c r="I1" s="240"/>
      <c r="J1" s="240"/>
    </row>
    <row r="2" spans="1:13" x14ac:dyDescent="0.2">
      <c r="A2" s="25" t="s">
        <v>101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3" x14ac:dyDescent="0.2">
      <c r="A3" s="124" t="s">
        <v>31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3" x14ac:dyDescent="0.2">
      <c r="A4" s="124" t="s">
        <v>140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3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</row>
    <row r="6" spans="1:13" x14ac:dyDescent="0.2">
      <c r="A6" s="3"/>
      <c r="B6" s="2"/>
      <c r="F6" s="121" t="s">
        <v>146</v>
      </c>
      <c r="G6" s="244"/>
      <c r="H6" s="241" t="s">
        <v>10</v>
      </c>
      <c r="I6" s="244"/>
      <c r="J6" s="241" t="s">
        <v>8</v>
      </c>
    </row>
    <row r="7" spans="1:13" x14ac:dyDescent="0.2">
      <c r="A7" s="4"/>
      <c r="B7" s="5"/>
      <c r="C7" s="152"/>
      <c r="D7" s="152"/>
      <c r="E7" s="152"/>
      <c r="F7" s="241" t="s">
        <v>9</v>
      </c>
      <c r="G7" s="241" t="s">
        <v>10</v>
      </c>
      <c r="H7" s="241" t="s">
        <v>11</v>
      </c>
      <c r="I7" s="241" t="s">
        <v>8</v>
      </c>
      <c r="J7" s="241" t="s">
        <v>11</v>
      </c>
    </row>
    <row r="8" spans="1:13" x14ac:dyDescent="0.2">
      <c r="A8" s="1"/>
      <c r="B8" s="1"/>
      <c r="F8" s="6"/>
      <c r="G8" s="6"/>
      <c r="H8" s="6"/>
      <c r="I8" s="6"/>
      <c r="J8" s="6"/>
    </row>
    <row r="9" spans="1:13" x14ac:dyDescent="0.2">
      <c r="A9" s="1">
        <v>1</v>
      </c>
      <c r="B9" s="7" t="s">
        <v>12</v>
      </c>
      <c r="F9" s="6"/>
      <c r="G9" s="6"/>
      <c r="H9" s="6"/>
      <c r="I9" s="6"/>
      <c r="J9" s="6"/>
    </row>
    <row r="10" spans="1:13" x14ac:dyDescent="0.2">
      <c r="A10" s="1">
        <f>A9+1</f>
        <v>2</v>
      </c>
      <c r="B10" s="8" t="s">
        <v>30</v>
      </c>
      <c r="F10" s="9">
        <f>-'[1]Summary COS Rev'!$Q$17</f>
        <v>6980521.1700718822</v>
      </c>
      <c r="G10" s="9">
        <f>F10</f>
        <v>6980521.1700718822</v>
      </c>
      <c r="H10" s="9">
        <f>+G10-F10</f>
        <v>0</v>
      </c>
      <c r="I10" s="9">
        <v>0</v>
      </c>
      <c r="J10" s="9">
        <f t="shared" ref="J10" si="0">+I10-G10</f>
        <v>-6980521.1700718822</v>
      </c>
      <c r="K10" s="125"/>
      <c r="L10" s="125"/>
      <c r="M10" s="125"/>
    </row>
    <row r="11" spans="1:13" x14ac:dyDescent="0.2">
      <c r="A11" s="1">
        <f t="shared" ref="A11:A36" si="1">A10+1</f>
        <v>3</v>
      </c>
      <c r="B11" s="14"/>
      <c r="F11" s="10"/>
      <c r="G11" s="10"/>
      <c r="H11" s="24"/>
      <c r="I11" s="242"/>
      <c r="J11" s="242"/>
    </row>
    <row r="12" spans="1:13" x14ac:dyDescent="0.2">
      <c r="A12" s="1">
        <f t="shared" si="1"/>
        <v>4</v>
      </c>
      <c r="B12" s="7" t="s">
        <v>13</v>
      </c>
      <c r="F12" s="12"/>
      <c r="G12" s="12"/>
      <c r="H12" s="11"/>
      <c r="I12" s="11"/>
      <c r="J12" s="11"/>
    </row>
    <row r="13" spans="1:13" x14ac:dyDescent="0.2">
      <c r="A13" s="1">
        <f t="shared" si="1"/>
        <v>5</v>
      </c>
      <c r="B13" s="1" t="s">
        <v>14</v>
      </c>
      <c r="F13" s="13">
        <f>Combine!D6</f>
        <v>2616179.6237217812</v>
      </c>
      <c r="G13" s="13">
        <f>+F13</f>
        <v>2616179.6237217812</v>
      </c>
      <c r="H13" s="13">
        <f>+G13-F13</f>
        <v>0</v>
      </c>
      <c r="I13" s="13">
        <f>+Combine!D17</f>
        <v>2616179.6237217835</v>
      </c>
      <c r="J13" s="9">
        <f t="shared" ref="J13" si="2">+I13-G13</f>
        <v>0</v>
      </c>
    </row>
    <row r="14" spans="1:13" x14ac:dyDescent="0.2">
      <c r="A14" s="1">
        <f t="shared" si="1"/>
        <v>6</v>
      </c>
      <c r="B14" s="14"/>
      <c r="F14" s="13"/>
      <c r="G14" s="13"/>
      <c r="H14" s="13">
        <f>+G14-F14</f>
        <v>0</v>
      </c>
      <c r="I14" s="13"/>
      <c r="J14" s="13"/>
    </row>
    <row r="15" spans="1:13" x14ac:dyDescent="0.2">
      <c r="A15" s="1">
        <f t="shared" si="1"/>
        <v>7</v>
      </c>
      <c r="B15" s="8" t="s">
        <v>33</v>
      </c>
      <c r="F15" s="27">
        <f>SUM(F13:F14)</f>
        <v>2616179.6237217812</v>
      </c>
      <c r="G15" s="27">
        <f>SUM(G13:G14)</f>
        <v>2616179.6237217812</v>
      </c>
      <c r="H15" s="245">
        <f t="shared" ref="H15:J15" si="3">SUM(H13:H14)</f>
        <v>0</v>
      </c>
      <c r="I15" s="245">
        <f t="shared" si="3"/>
        <v>2616179.6237217835</v>
      </c>
      <c r="J15" s="245">
        <f t="shared" si="3"/>
        <v>0</v>
      </c>
    </row>
    <row r="16" spans="1:13" x14ac:dyDescent="0.2">
      <c r="A16" s="1">
        <f t="shared" si="1"/>
        <v>8</v>
      </c>
      <c r="B16" s="8"/>
      <c r="F16" s="28"/>
      <c r="G16" s="12"/>
      <c r="H16" s="28"/>
      <c r="I16" s="28"/>
      <c r="J16" s="28"/>
    </row>
    <row r="17" spans="1:10" x14ac:dyDescent="0.2">
      <c r="A17" s="1">
        <f t="shared" si="1"/>
        <v>9</v>
      </c>
      <c r="B17" s="14" t="s">
        <v>15</v>
      </c>
      <c r="E17" s="126">
        <f>'[2]COC, Def, ConvF'!$M$12</f>
        <v>5.1240000000000001E-3</v>
      </c>
      <c r="F17" s="13">
        <f>+F10*$E$17</f>
        <v>35768.190475448326</v>
      </c>
      <c r="G17" s="13">
        <f>+F17</f>
        <v>35768.190475448326</v>
      </c>
      <c r="H17" s="13">
        <f t="shared" ref="H17:H18" si="4">+G17-F17</f>
        <v>0</v>
      </c>
      <c r="I17" s="13">
        <f>I10*E17</f>
        <v>0</v>
      </c>
      <c r="J17" s="9">
        <f t="shared" ref="J17:J18" si="5">+I17-G17</f>
        <v>-35768.190475448326</v>
      </c>
    </row>
    <row r="18" spans="1:10" x14ac:dyDescent="0.2">
      <c r="A18" s="1">
        <f t="shared" si="1"/>
        <v>10</v>
      </c>
      <c r="B18" s="14" t="s">
        <v>16</v>
      </c>
      <c r="E18" s="126">
        <f>'[2]COC, Def, ConvF'!$M$13</f>
        <v>2E-3</v>
      </c>
      <c r="F18" s="13">
        <f>+F10*$E$18</f>
        <v>13961.042340143764</v>
      </c>
      <c r="G18" s="13">
        <f>F18</f>
        <v>13961.042340143764</v>
      </c>
      <c r="H18" s="13">
        <f t="shared" si="4"/>
        <v>0</v>
      </c>
      <c r="I18" s="13">
        <f>I10*E18</f>
        <v>0</v>
      </c>
      <c r="J18" s="9">
        <f t="shared" si="5"/>
        <v>-13961.042340143764</v>
      </c>
    </row>
    <row r="19" spans="1:10" x14ac:dyDescent="0.2">
      <c r="A19" s="1">
        <f t="shared" si="1"/>
        <v>11</v>
      </c>
      <c r="B19" s="15" t="s">
        <v>17</v>
      </c>
      <c r="E19" s="6"/>
      <c r="F19" s="16">
        <f>SUM(F17:F18)</f>
        <v>49729.232815592091</v>
      </c>
      <c r="G19" s="16">
        <f>SUM(G17:G18)</f>
        <v>49729.232815592091</v>
      </c>
      <c r="H19" s="246">
        <f t="shared" ref="H19:J19" si="6">SUM(H17:H18)</f>
        <v>0</v>
      </c>
      <c r="I19" s="246">
        <f t="shared" si="6"/>
        <v>0</v>
      </c>
      <c r="J19" s="246">
        <f t="shared" si="6"/>
        <v>-49729.232815592091</v>
      </c>
    </row>
    <row r="20" spans="1:10" x14ac:dyDescent="0.2">
      <c r="A20" s="1">
        <f t="shared" si="1"/>
        <v>12</v>
      </c>
      <c r="B20" s="14"/>
      <c r="E20" s="1"/>
      <c r="F20" s="1"/>
      <c r="H20" s="1"/>
      <c r="I20" s="1"/>
      <c r="J20" s="1"/>
    </row>
    <row r="21" spans="1:10" x14ac:dyDescent="0.2">
      <c r="A21" s="1">
        <f t="shared" si="1"/>
        <v>13</v>
      </c>
      <c r="B21" s="14" t="s">
        <v>18</v>
      </c>
      <c r="E21" s="126">
        <f>'[2]COC, Def, ConvF'!$M$14</f>
        <v>3.8323000000000003E-2</v>
      </c>
      <c r="F21" s="13">
        <f>+F10*$E$21</f>
        <v>267514.51280066476</v>
      </c>
      <c r="G21" s="13">
        <f>+G10*$E$21</f>
        <v>267514.51280066476</v>
      </c>
      <c r="H21" s="13">
        <f>+H10*$E$21</f>
        <v>0</v>
      </c>
      <c r="I21" s="13">
        <f>+I10*E21</f>
        <v>0</v>
      </c>
      <c r="J21" s="9">
        <f t="shared" ref="J21" si="7">+I21-G21</f>
        <v>-267514.51280066476</v>
      </c>
    </row>
    <row r="22" spans="1:10" x14ac:dyDescent="0.2">
      <c r="A22" s="1">
        <f t="shared" si="1"/>
        <v>14</v>
      </c>
      <c r="B22" s="15"/>
      <c r="E22" s="1"/>
      <c r="F22" s="17"/>
      <c r="G22" s="17"/>
      <c r="H22" s="17"/>
      <c r="I22" s="243"/>
      <c r="J22" s="243"/>
    </row>
    <row r="23" spans="1:10" x14ac:dyDescent="0.2">
      <c r="A23" s="1">
        <f t="shared" si="1"/>
        <v>15</v>
      </c>
      <c r="B23" s="15" t="s">
        <v>19</v>
      </c>
      <c r="F23" s="18">
        <f>SUM(F19:F22)</f>
        <v>317243.74561625684</v>
      </c>
      <c r="G23" s="18">
        <f t="shared" ref="G23" si="8">SUM(G19:G22)</f>
        <v>317243.74561625684</v>
      </c>
      <c r="H23" s="18">
        <f>SUM(H19:H22)</f>
        <v>0</v>
      </c>
      <c r="I23" s="18">
        <f t="shared" ref="I23:J23" si="9">SUM(I19:I22)</f>
        <v>0</v>
      </c>
      <c r="J23" s="18">
        <f t="shared" si="9"/>
        <v>-317243.74561625684</v>
      </c>
    </row>
    <row r="24" spans="1:10" x14ac:dyDescent="0.2">
      <c r="A24" s="1">
        <f t="shared" si="1"/>
        <v>16</v>
      </c>
      <c r="B24" s="14"/>
      <c r="F24" s="16"/>
      <c r="G24" s="16"/>
      <c r="H24" s="16"/>
      <c r="I24" s="122"/>
      <c r="J24" s="122"/>
    </row>
    <row r="25" spans="1:10" x14ac:dyDescent="0.2">
      <c r="A25" s="1">
        <f t="shared" si="1"/>
        <v>17</v>
      </c>
      <c r="B25" s="14" t="s">
        <v>20</v>
      </c>
      <c r="F25" s="29">
        <f>+F10-F15-F23</f>
        <v>4047097.8007338443</v>
      </c>
      <c r="G25" s="29">
        <f>+G10-G15-G23</f>
        <v>4047097.8007338443</v>
      </c>
      <c r="H25" s="29">
        <f t="shared" ref="H25:J25" si="10">+H10-H15-H23</f>
        <v>0</v>
      </c>
      <c r="I25" s="29">
        <f t="shared" si="10"/>
        <v>-2616179.6237217835</v>
      </c>
      <c r="J25" s="29">
        <f t="shared" si="10"/>
        <v>-6663277.424455625</v>
      </c>
    </row>
    <row r="26" spans="1:10" x14ac:dyDescent="0.2">
      <c r="A26" s="1">
        <f t="shared" si="1"/>
        <v>18</v>
      </c>
      <c r="B26" s="14" t="s">
        <v>21</v>
      </c>
      <c r="E26" s="105">
        <v>0.21</v>
      </c>
      <c r="F26" s="18">
        <f>ROUND(F25*$E$26,0)</f>
        <v>849891</v>
      </c>
      <c r="G26" s="18">
        <f>ROUND(G25*$E$26,0)</f>
        <v>849891</v>
      </c>
      <c r="H26" s="18">
        <f t="shared" ref="H26:J26" si="11">ROUND(H25*$E$26,0)</f>
        <v>0</v>
      </c>
      <c r="I26" s="18">
        <f t="shared" si="11"/>
        <v>-549398</v>
      </c>
      <c r="J26" s="18">
        <f t="shared" si="11"/>
        <v>-1399288</v>
      </c>
    </row>
    <row r="27" spans="1:10" x14ac:dyDescent="0.2">
      <c r="A27" s="1">
        <f t="shared" si="1"/>
        <v>19</v>
      </c>
      <c r="B27" s="14"/>
      <c r="F27" s="16"/>
      <c r="G27" s="16"/>
      <c r="H27" s="16"/>
      <c r="I27" s="122"/>
      <c r="J27" s="122"/>
    </row>
    <row r="28" spans="1:10" ht="13.5" thickBot="1" x14ac:dyDescent="0.25">
      <c r="A28" s="1">
        <f t="shared" si="1"/>
        <v>20</v>
      </c>
      <c r="B28" s="14" t="s">
        <v>22</v>
      </c>
      <c r="F28" s="19">
        <f>F25-F26</f>
        <v>3197206.8007338443</v>
      </c>
      <c r="G28" s="19">
        <f>G25-G26</f>
        <v>3197206.8007338443</v>
      </c>
      <c r="H28" s="19">
        <f>H25-H26</f>
        <v>0</v>
      </c>
      <c r="I28" s="19">
        <f>I25-I26</f>
        <v>-2066781.6237217835</v>
      </c>
      <c r="J28" s="19">
        <f t="shared" ref="J28" si="12">J25-J26</f>
        <v>-5263989.424455625</v>
      </c>
    </row>
    <row r="29" spans="1:10" ht="13.5" thickTop="1" x14ac:dyDescent="0.2">
      <c r="A29" s="1">
        <f t="shared" si="1"/>
        <v>21</v>
      </c>
      <c r="B29" s="1"/>
      <c r="F29" s="6"/>
      <c r="G29" s="6"/>
      <c r="H29" s="6"/>
      <c r="I29" s="6"/>
      <c r="J29" s="6"/>
    </row>
    <row r="30" spans="1:10" x14ac:dyDescent="0.2">
      <c r="A30" s="1">
        <f t="shared" si="1"/>
        <v>22</v>
      </c>
      <c r="B30" s="1"/>
      <c r="F30" s="6"/>
      <c r="G30" s="6"/>
      <c r="H30" s="6"/>
      <c r="I30" s="6"/>
      <c r="J30" s="6"/>
    </row>
    <row r="31" spans="1:10" x14ac:dyDescent="0.2">
      <c r="A31" s="1">
        <f t="shared" si="1"/>
        <v>23</v>
      </c>
      <c r="B31" s="7" t="s">
        <v>23</v>
      </c>
      <c r="F31" s="20"/>
      <c r="G31" s="20"/>
      <c r="H31" s="20"/>
      <c r="I31" s="20"/>
      <c r="J31" s="20"/>
    </row>
    <row r="32" spans="1:10" x14ac:dyDescent="0.2">
      <c r="A32" s="1">
        <f t="shared" si="1"/>
        <v>24</v>
      </c>
      <c r="B32" s="127" t="s">
        <v>25</v>
      </c>
      <c r="F32" s="9">
        <f>Combine!D8</f>
        <v>105802468.1600001</v>
      </c>
      <c r="G32" s="9">
        <f>F32</f>
        <v>105802468.1600001</v>
      </c>
      <c r="H32" s="9">
        <f>+G32-F32</f>
        <v>0</v>
      </c>
      <c r="I32" s="9">
        <f>Combine!D19</f>
        <v>105802468.1600001</v>
      </c>
      <c r="J32" s="9">
        <f t="shared" ref="J32:J35" si="13">+I32-G32</f>
        <v>0</v>
      </c>
    </row>
    <row r="33" spans="1:10" x14ac:dyDescent="0.2">
      <c r="A33" s="1">
        <f t="shared" si="1"/>
        <v>25</v>
      </c>
      <c r="B33" s="14" t="s">
        <v>32</v>
      </c>
      <c r="F33" s="20">
        <f>Combine!D9</f>
        <v>-4408805.5073599108</v>
      </c>
      <c r="G33" s="20">
        <f>+F33</f>
        <v>-4408805.5073599108</v>
      </c>
      <c r="H33" s="9">
        <f t="shared" ref="H33:H34" si="14">+G33-F33</f>
        <v>0</v>
      </c>
      <c r="I33" s="20">
        <f>Combine!D20</f>
        <v>-10067230.849618189</v>
      </c>
      <c r="J33" s="20">
        <f t="shared" si="13"/>
        <v>-5658425.3422582783</v>
      </c>
    </row>
    <row r="34" spans="1:10" x14ac:dyDescent="0.2">
      <c r="A34" s="1">
        <f t="shared" si="1"/>
        <v>26</v>
      </c>
      <c r="B34" s="150" t="s">
        <v>53</v>
      </c>
      <c r="F34" s="20">
        <f>Combine!D10</f>
        <v>-8207637.6737488601</v>
      </c>
      <c r="G34" s="20">
        <f>+F34</f>
        <v>-8207637.6737488601</v>
      </c>
      <c r="H34" s="9">
        <f t="shared" si="14"/>
        <v>0</v>
      </c>
      <c r="I34" s="20">
        <f>Combine!D21</f>
        <v>-8937256.0344074257</v>
      </c>
      <c r="J34" s="20">
        <f>+I34-G34</f>
        <v>-729618.36065856554</v>
      </c>
    </row>
    <row r="35" spans="1:10" x14ac:dyDescent="0.2">
      <c r="A35" s="1">
        <f t="shared" si="1"/>
        <v>27</v>
      </c>
      <c r="B35" s="127"/>
      <c r="F35" s="21"/>
      <c r="G35" s="21"/>
      <c r="H35" s="21"/>
      <c r="I35" s="21"/>
      <c r="J35" s="21">
        <f t="shared" si="13"/>
        <v>0</v>
      </c>
    </row>
    <row r="36" spans="1:10" ht="13.5" thickBot="1" x14ac:dyDescent="0.25">
      <c r="A36" s="1">
        <f t="shared" si="1"/>
        <v>28</v>
      </c>
      <c r="B36" s="22" t="s">
        <v>24</v>
      </c>
      <c r="F36" s="23">
        <f>SUM(F32:F34)</f>
        <v>93186024.978891328</v>
      </c>
      <c r="G36" s="23">
        <f>SUM(G32:G34)</f>
        <v>93186024.978891328</v>
      </c>
      <c r="H36" s="23">
        <f>SUM(H32:H34)</f>
        <v>0</v>
      </c>
      <c r="I36" s="23">
        <f>SUM(I32:I34)</f>
        <v>86797981.275974497</v>
      </c>
      <c r="J36" s="23">
        <f>SUM(J32:J34)</f>
        <v>-6388043.7029168438</v>
      </c>
    </row>
    <row r="37" spans="1:10" ht="13.5" thickTop="1" x14ac:dyDescent="0.2"/>
    <row r="38" spans="1:10" x14ac:dyDescent="0.2">
      <c r="F38" s="128"/>
    </row>
  </sheetData>
  <pageMargins left="0.7" right="0.7" top="0.75" bottom="0.75" header="0.3" footer="0.3"/>
  <pageSetup scale="83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workbookViewId="0">
      <selection activeCell="G15" sqref="G15"/>
    </sheetView>
  </sheetViews>
  <sheetFormatPr defaultColWidth="9.140625" defaultRowHeight="15" x14ac:dyDescent="0.25"/>
  <cols>
    <col min="1" max="1" width="24.85546875" style="26" bestFit="1" customWidth="1"/>
    <col min="2" max="3" width="12.5703125" style="26" bestFit="1" customWidth="1"/>
    <col min="4" max="4" width="13.7109375" style="26" bestFit="1" customWidth="1"/>
    <col min="5" max="16384" width="9.140625" style="26"/>
  </cols>
  <sheetData>
    <row r="3" spans="1:9" ht="15.75" thickBot="1" x14ac:dyDescent="0.3">
      <c r="A3" s="165" t="s">
        <v>103</v>
      </c>
      <c r="B3" s="165"/>
      <c r="C3" s="165"/>
      <c r="D3" s="165"/>
    </row>
    <row r="4" spans="1:9" ht="30" x14ac:dyDescent="0.25">
      <c r="A4" s="49" t="s">
        <v>27</v>
      </c>
      <c r="B4" s="48" t="s">
        <v>58</v>
      </c>
      <c r="C4" s="48" t="s">
        <v>59</v>
      </c>
      <c r="D4" s="48" t="s">
        <v>26</v>
      </c>
    </row>
    <row r="6" spans="1:9" ht="15.75" thickBot="1" x14ac:dyDescent="0.3">
      <c r="A6" s="26" t="s">
        <v>4</v>
      </c>
      <c r="B6" s="50">
        <f>'2016-2017 Investment'!G36</f>
        <v>1138300.7115474748</v>
      </c>
      <c r="C6" s="50">
        <f>-'2017-2018 Investment'!G24</f>
        <v>1477878.9121743061</v>
      </c>
      <c r="D6" s="50">
        <f>SUM(B6:C6)</f>
        <v>2616179.6237217812</v>
      </c>
      <c r="E6" s="38"/>
      <c r="F6" s="38"/>
      <c r="G6" s="38"/>
      <c r="H6" s="38"/>
      <c r="I6" s="38"/>
    </row>
    <row r="7" spans="1:9" ht="15.75" thickTop="1" x14ac:dyDescent="0.25">
      <c r="B7" s="40"/>
      <c r="C7" s="40"/>
      <c r="D7" s="40"/>
      <c r="E7" s="40"/>
      <c r="F7" s="40"/>
      <c r="G7" s="40"/>
      <c r="H7" s="40"/>
      <c r="I7" s="40"/>
    </row>
    <row r="8" spans="1:9" x14ac:dyDescent="0.25">
      <c r="A8" s="26" t="s">
        <v>0</v>
      </c>
      <c r="B8" s="38">
        <f>'2016-2017 Investment'!C36</f>
        <v>45517704.079999976</v>
      </c>
      <c r="C8" s="38">
        <f>'2017-2018 Investment'!C24</f>
        <v>60284764.080000125</v>
      </c>
      <c r="D8" s="38">
        <f>SUM(B8:C8)</f>
        <v>105802468.1600001</v>
      </c>
      <c r="E8" s="40"/>
      <c r="F8" s="40"/>
      <c r="G8" s="40"/>
      <c r="H8" s="40"/>
      <c r="I8" s="40"/>
    </row>
    <row r="9" spans="1:9" x14ac:dyDescent="0.25">
      <c r="A9" s="26" t="s">
        <v>60</v>
      </c>
      <c r="B9" s="40">
        <f>'2016-2017 Investment'!D36</f>
        <v>-2667592.0510519305</v>
      </c>
      <c r="C9" s="40">
        <f>'2017-2018 Investment'!D24</f>
        <v>-1741213.4563079802</v>
      </c>
      <c r="D9" s="40">
        <f>SUM(B9:C9)</f>
        <v>-4408805.5073599108</v>
      </c>
      <c r="E9" s="40"/>
      <c r="F9" s="40"/>
      <c r="G9" s="40"/>
      <c r="H9" s="40"/>
      <c r="I9" s="40"/>
    </row>
    <row r="10" spans="1:9" x14ac:dyDescent="0.25">
      <c r="A10" s="26" t="s">
        <v>61</v>
      </c>
      <c r="B10" s="40">
        <f>'2016-2017 Investment'!E36</f>
        <v>-7928363.3218106441</v>
      </c>
      <c r="C10" s="40">
        <f>'2017-2018 Investment'!E24</f>
        <v>-279274.35193821578</v>
      </c>
      <c r="D10" s="40">
        <f>SUM(B10:C10)</f>
        <v>-8207637.6737488601</v>
      </c>
      <c r="E10" s="40"/>
      <c r="F10" s="40"/>
      <c r="G10" s="40"/>
      <c r="H10" s="40"/>
      <c r="I10" s="40"/>
    </row>
    <row r="11" spans="1:9" ht="15.75" thickBot="1" x14ac:dyDescent="0.3">
      <c r="A11" s="26" t="s">
        <v>62</v>
      </c>
      <c r="B11" s="51">
        <f>SUM(B8:B10)</f>
        <v>34921748.707137406</v>
      </c>
      <c r="C11" s="51">
        <f>SUM(C8:C10)</f>
        <v>58264276.27175393</v>
      </c>
      <c r="D11" s="51">
        <f>SUM(D8:D10)</f>
        <v>93186024.978891328</v>
      </c>
      <c r="E11" s="38"/>
      <c r="F11" s="40"/>
      <c r="G11" s="40"/>
      <c r="H11" s="40"/>
      <c r="I11" s="40"/>
    </row>
    <row r="12" spans="1:9" ht="15.75" thickTop="1" x14ac:dyDescent="0.25">
      <c r="B12" s="40"/>
      <c r="C12" s="40"/>
      <c r="D12" s="40"/>
      <c r="E12" s="40"/>
      <c r="F12" s="40"/>
      <c r="G12" s="40"/>
      <c r="H12" s="40"/>
      <c r="I12" s="40"/>
    </row>
    <row r="13" spans="1:9" x14ac:dyDescent="0.25">
      <c r="B13" s="40"/>
      <c r="C13" s="40"/>
      <c r="D13" s="40"/>
      <c r="E13" s="40"/>
      <c r="F13" s="40"/>
      <c r="G13" s="40"/>
      <c r="H13" s="40"/>
      <c r="I13" s="40"/>
    </row>
    <row r="14" spans="1:9" ht="15.75" thickBot="1" x14ac:dyDescent="0.3">
      <c r="A14" s="164" t="s">
        <v>152</v>
      </c>
      <c r="B14" s="164"/>
      <c r="C14" s="164"/>
      <c r="D14" s="164"/>
      <c r="E14" s="40"/>
      <c r="F14" s="40"/>
      <c r="G14" s="40"/>
      <c r="H14" s="40"/>
      <c r="I14" s="40"/>
    </row>
    <row r="15" spans="1:9" ht="30" x14ac:dyDescent="0.25">
      <c r="A15" s="49" t="s">
        <v>27</v>
      </c>
      <c r="B15" s="48" t="s">
        <v>58</v>
      </c>
      <c r="C15" s="48" t="s">
        <v>59</v>
      </c>
      <c r="D15" s="48" t="s">
        <v>26</v>
      </c>
      <c r="E15" s="40"/>
      <c r="F15" s="40"/>
      <c r="G15" s="40"/>
      <c r="H15" s="40"/>
      <c r="I15" s="40"/>
    </row>
    <row r="16" spans="1:9" x14ac:dyDescent="0.25">
      <c r="E16" s="40"/>
      <c r="F16" s="40"/>
      <c r="G16" s="40"/>
      <c r="H16" s="40"/>
      <c r="I16" s="40"/>
    </row>
    <row r="17" spans="1:9" ht="15.75" thickBot="1" x14ac:dyDescent="0.3">
      <c r="A17" s="26" t="s">
        <v>4</v>
      </c>
      <c r="B17" s="50">
        <f>-'2016-2017 Investment'!G64</f>
        <v>1138300.711547479</v>
      </c>
      <c r="C17" s="50">
        <f>-'2017-2018 Investment'!G52</f>
        <v>1477878.9121743045</v>
      </c>
      <c r="D17" s="50">
        <f>SUM(B17:C17)</f>
        <v>2616179.6237217835</v>
      </c>
      <c r="E17" s="40"/>
      <c r="F17" s="40"/>
      <c r="G17" s="40"/>
      <c r="H17" s="40"/>
      <c r="I17" s="40"/>
    </row>
    <row r="18" spans="1:9" ht="15.75" thickTop="1" x14ac:dyDescent="0.25">
      <c r="B18" s="40"/>
      <c r="C18" s="40"/>
      <c r="D18" s="40"/>
      <c r="E18" s="40"/>
      <c r="F18" s="40"/>
      <c r="G18" s="40"/>
      <c r="H18" s="40"/>
      <c r="I18" s="40"/>
    </row>
    <row r="19" spans="1:9" x14ac:dyDescent="0.25">
      <c r="A19" s="26" t="s">
        <v>0</v>
      </c>
      <c r="B19" s="38">
        <f>'2016-2017 Investment'!C74</f>
        <v>45517704.079999976</v>
      </c>
      <c r="C19" s="38">
        <f>'2017-2018 Investment'!C53</f>
        <v>60284764.080000125</v>
      </c>
      <c r="D19" s="38">
        <f>SUM(B19:C19)</f>
        <v>105802468.1600001</v>
      </c>
      <c r="E19" s="40"/>
      <c r="F19" s="40"/>
      <c r="G19" s="40"/>
      <c r="H19" s="40"/>
      <c r="I19" s="40"/>
    </row>
    <row r="20" spans="1:9" x14ac:dyDescent="0.25">
      <c r="A20" s="26" t="s">
        <v>60</v>
      </c>
      <c r="B20" s="40">
        <f>'2016-2017 Investment'!D74</f>
        <v>-4754476.688888968</v>
      </c>
      <c r="C20" s="40">
        <f>'2017-2018 Investment'!D53</f>
        <v>-5312754.1607292211</v>
      </c>
      <c r="D20" s="40">
        <f>SUM(B20:C20)</f>
        <v>-10067230.849618189</v>
      </c>
      <c r="E20" s="40"/>
      <c r="F20" s="40"/>
      <c r="G20" s="40"/>
      <c r="H20" s="40"/>
      <c r="I20" s="40"/>
    </row>
    <row r="21" spans="1:9" x14ac:dyDescent="0.25">
      <c r="A21" s="26" t="s">
        <v>61</v>
      </c>
      <c r="B21" s="40">
        <f>'IRS DFIT'!T30</f>
        <v>-8010290.9959758781</v>
      </c>
      <c r="C21" s="40">
        <f>'IRS DFIT'!J30</f>
        <v>-926965.03843154793</v>
      </c>
      <c r="D21" s="40">
        <f>SUM(B21:C21)</f>
        <v>-8937256.0344074257</v>
      </c>
      <c r="E21" s="40"/>
      <c r="F21" s="40"/>
      <c r="G21" s="40"/>
      <c r="H21" s="40"/>
      <c r="I21" s="40"/>
    </row>
    <row r="22" spans="1:9" ht="15.75" thickBot="1" x14ac:dyDescent="0.3">
      <c r="A22" s="26" t="s">
        <v>62</v>
      </c>
      <c r="B22" s="51">
        <f>SUM(B19:B21)</f>
        <v>32752936.395135131</v>
      </c>
      <c r="C22" s="51">
        <f>SUM(C19:C21)</f>
        <v>54045044.880839355</v>
      </c>
      <c r="D22" s="51">
        <f>SUM(D19:D21)</f>
        <v>86797981.275974497</v>
      </c>
      <c r="E22" s="40"/>
      <c r="F22" s="40"/>
      <c r="G22" s="40"/>
      <c r="H22" s="40"/>
      <c r="I22" s="40"/>
    </row>
    <row r="23" spans="1:9" ht="15.75" thickTop="1" x14ac:dyDescent="0.25">
      <c r="B23" s="40"/>
      <c r="C23" s="40"/>
      <c r="D23" s="40"/>
      <c r="E23" s="40"/>
      <c r="F23" s="40"/>
      <c r="G23" s="40"/>
      <c r="H23" s="40"/>
      <c r="I23" s="40"/>
    </row>
    <row r="24" spans="1:9" x14ac:dyDescent="0.25">
      <c r="B24" s="40"/>
      <c r="C24" s="40"/>
      <c r="D24" s="40"/>
      <c r="E24" s="40"/>
      <c r="F24" s="40"/>
      <c r="G24" s="40"/>
      <c r="H24" s="40"/>
      <c r="I24" s="40"/>
    </row>
    <row r="25" spans="1:9" x14ac:dyDescent="0.25">
      <c r="B25" s="40"/>
      <c r="C25" s="40"/>
      <c r="D25" s="40"/>
      <c r="E25" s="40"/>
      <c r="F25" s="40"/>
      <c r="G25" s="40"/>
      <c r="H25" s="40"/>
      <c r="I25" s="40"/>
    </row>
    <row r="26" spans="1:9" x14ac:dyDescent="0.25">
      <c r="B26" s="40"/>
      <c r="C26" s="40"/>
      <c r="D26" s="40"/>
      <c r="E26" s="40"/>
      <c r="F26" s="40"/>
      <c r="G26" s="40"/>
      <c r="H26" s="40"/>
      <c r="I26" s="40"/>
    </row>
    <row r="27" spans="1:9" x14ac:dyDescent="0.25">
      <c r="B27" s="40"/>
      <c r="C27" s="40"/>
      <c r="D27" s="40"/>
      <c r="E27" s="40"/>
      <c r="F27" s="40"/>
      <c r="G27" s="40"/>
      <c r="H27" s="40"/>
      <c r="I27" s="40"/>
    </row>
    <row r="28" spans="1:9" x14ac:dyDescent="0.25">
      <c r="B28" s="40"/>
      <c r="C28" s="40"/>
      <c r="D28" s="40"/>
      <c r="E28" s="40"/>
      <c r="F28" s="40"/>
      <c r="G28" s="40"/>
      <c r="H28" s="40"/>
      <c r="I28" s="40"/>
    </row>
    <row r="29" spans="1:9" x14ac:dyDescent="0.25">
      <c r="B29" s="40"/>
      <c r="C29" s="40"/>
      <c r="D29" s="40"/>
      <c r="E29" s="40"/>
      <c r="F29" s="40"/>
      <c r="G29" s="40"/>
      <c r="H29" s="40"/>
      <c r="I29" s="40"/>
    </row>
    <row r="30" spans="1:9" x14ac:dyDescent="0.25">
      <c r="B30" s="40"/>
      <c r="C30" s="40"/>
      <c r="D30" s="40"/>
      <c r="E30" s="40"/>
      <c r="F30" s="40"/>
      <c r="G30" s="40"/>
      <c r="H30" s="40"/>
      <c r="I30" s="40"/>
    </row>
    <row r="31" spans="1:9" x14ac:dyDescent="0.25">
      <c r="B31" s="40"/>
      <c r="C31" s="40"/>
      <c r="D31" s="40"/>
      <c r="E31" s="40"/>
      <c r="F31" s="40"/>
      <c r="G31" s="40"/>
      <c r="H31" s="40"/>
      <c r="I31" s="40"/>
    </row>
    <row r="32" spans="1:9" x14ac:dyDescent="0.25">
      <c r="B32" s="40"/>
      <c r="C32" s="40"/>
      <c r="D32" s="40"/>
      <c r="E32" s="40"/>
      <c r="F32" s="40"/>
      <c r="G32" s="40"/>
      <c r="H32" s="40"/>
      <c r="I32" s="40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="115" zoomScaleNormal="115" workbookViewId="0">
      <pane ySplit="9" topLeftCell="A52" activePane="bottomLeft" state="frozen"/>
      <selection activeCell="F14" sqref="F14"/>
      <selection pane="bottomLeft" activeCell="F22" sqref="F22"/>
    </sheetView>
  </sheetViews>
  <sheetFormatPr defaultColWidth="9.140625" defaultRowHeight="15" x14ac:dyDescent="0.25"/>
  <cols>
    <col min="1" max="1" width="11.7109375" style="32" customWidth="1"/>
    <col min="2" max="2" width="12.42578125" style="32" customWidth="1"/>
    <col min="3" max="3" width="13.5703125" style="32" bestFit="1" customWidth="1"/>
    <col min="4" max="5" width="14.7109375" style="32" bestFit="1" customWidth="1"/>
    <col min="6" max="6" width="13.7109375" style="32" customWidth="1"/>
    <col min="7" max="7" width="13" style="32" bestFit="1" customWidth="1"/>
    <col min="8" max="8" width="15.7109375" style="32" bestFit="1" customWidth="1"/>
    <col min="9" max="16384" width="9.140625" style="32"/>
  </cols>
  <sheetData>
    <row r="1" spans="1:8" x14ac:dyDescent="0.25">
      <c r="A1" s="31" t="s">
        <v>63</v>
      </c>
    </row>
    <row r="2" spans="1:8" x14ac:dyDescent="0.25">
      <c r="A2" s="31"/>
      <c r="B2" s="33"/>
      <c r="C2" s="109"/>
      <c r="D2" s="109"/>
      <c r="E2" s="115"/>
    </row>
    <row r="3" spans="1:8" x14ac:dyDescent="0.25">
      <c r="B3" s="110"/>
      <c r="E3" s="116"/>
    </row>
    <row r="4" spans="1:8" x14ac:dyDescent="0.25">
      <c r="B4" s="110"/>
      <c r="C4" s="108" t="s">
        <v>7</v>
      </c>
      <c r="D4" s="108" t="s">
        <v>34</v>
      </c>
      <c r="E4" s="116" t="s">
        <v>66</v>
      </c>
    </row>
    <row r="5" spans="1:8" x14ac:dyDescent="0.25">
      <c r="B5" s="110"/>
      <c r="C5" s="108" t="s">
        <v>6</v>
      </c>
      <c r="D5" s="108" t="s">
        <v>35</v>
      </c>
      <c r="E5" s="116"/>
    </row>
    <row r="6" spans="1:8" x14ac:dyDescent="0.25">
      <c r="B6" s="111" t="s">
        <v>93</v>
      </c>
      <c r="C6" s="130">
        <f>'CRM Rates'!E56</f>
        <v>2.7903163313329479E-2</v>
      </c>
      <c r="D6" s="131">
        <f>+C22*C6</f>
        <v>1682135.6174297822</v>
      </c>
      <c r="E6" s="132">
        <v>0.35</v>
      </c>
    </row>
    <row r="7" spans="1:8" x14ac:dyDescent="0.25">
      <c r="B7" s="112" t="s">
        <v>94</v>
      </c>
      <c r="C7" s="130">
        <f>'CRM Rates'!E64</f>
        <v>2.4514965509578941E-2</v>
      </c>
      <c r="D7" s="131">
        <f>+C22*C7</f>
        <v>1477878.9121743066</v>
      </c>
      <c r="E7" s="132">
        <v>0.21</v>
      </c>
    </row>
    <row r="8" spans="1:8" x14ac:dyDescent="0.25">
      <c r="B8" s="113"/>
      <c r="C8" s="114"/>
      <c r="D8" s="114"/>
      <c r="E8" s="117"/>
      <c r="F8" s="34"/>
    </row>
    <row r="9" spans="1:8" ht="45" x14ac:dyDescent="0.25">
      <c r="A9" s="35" t="s">
        <v>5</v>
      </c>
      <c r="B9" s="36" t="s">
        <v>55</v>
      </c>
      <c r="C9" s="36" t="s">
        <v>0</v>
      </c>
      <c r="D9" s="36" t="s">
        <v>1</v>
      </c>
      <c r="E9" s="36" t="s">
        <v>65</v>
      </c>
      <c r="F9" s="36" t="s">
        <v>2</v>
      </c>
      <c r="G9" s="36" t="s">
        <v>54</v>
      </c>
    </row>
    <row r="11" spans="1:8" x14ac:dyDescent="0.25">
      <c r="A11" s="37">
        <v>43069</v>
      </c>
      <c r="B11" s="119"/>
      <c r="C11" s="120">
        <v>5575452.6599999992</v>
      </c>
      <c r="D11" s="120">
        <f>-C22*$C$6/12+D10</f>
        <v>-140177.96811914851</v>
      </c>
      <c r="E11" s="134">
        <f>-($C$22*$B$22+$D$22)/12*$E$6</f>
        <v>-22335.20183769803</v>
      </c>
      <c r="F11" s="120">
        <f>SUM(C11:E11)</f>
        <v>5412939.4900431531</v>
      </c>
      <c r="G11" s="120"/>
      <c r="H11" s="38"/>
    </row>
    <row r="12" spans="1:8" x14ac:dyDescent="0.25">
      <c r="A12" s="39">
        <v>43100</v>
      </c>
      <c r="C12" s="40">
        <f>7362071.84+C11</f>
        <v>12937524.5</v>
      </c>
      <c r="D12" s="40">
        <f>-$C$22*$C$7/12+D11</f>
        <v>-263334.54413367406</v>
      </c>
      <c r="E12" s="134">
        <f>-($C$22*$B$22+$D$22)/12*$E$6+E11</f>
        <v>-44670.403675396061</v>
      </c>
      <c r="F12" s="40">
        <f t="shared" ref="F12:F15" si="0">SUM(C12:E12)</f>
        <v>12629519.55219093</v>
      </c>
      <c r="G12" s="38"/>
      <c r="H12" s="247"/>
    </row>
    <row r="13" spans="1:8" x14ac:dyDescent="0.25">
      <c r="A13" s="39">
        <v>43131</v>
      </c>
      <c r="C13" s="40">
        <f>1183392.02+C12</f>
        <v>14120916.52</v>
      </c>
      <c r="D13" s="40">
        <f>-C22*$C$7/12+D12</f>
        <v>-386491.12014819961</v>
      </c>
      <c r="E13" s="134">
        <f t="shared" ref="E13:E22" si="1">-($C$22*$B$22+$D$22)/12*$E$7+E12</f>
        <v>-58071.524778014878</v>
      </c>
      <c r="F13" s="40">
        <f t="shared" si="0"/>
        <v>13676353.875073785</v>
      </c>
      <c r="G13" s="38"/>
      <c r="H13" s="247"/>
    </row>
    <row r="14" spans="1:8" x14ac:dyDescent="0.25">
      <c r="A14" s="39">
        <v>43159</v>
      </c>
      <c r="C14" s="40">
        <f>1334761.91+C13</f>
        <v>15455678.43</v>
      </c>
      <c r="D14" s="40">
        <f>-$C$22*$C$7/12+D13</f>
        <v>-509647.69616272516</v>
      </c>
      <c r="E14" s="134">
        <f t="shared" si="1"/>
        <v>-71472.645880633703</v>
      </c>
      <c r="F14" s="40">
        <f t="shared" si="0"/>
        <v>14874558.087956641</v>
      </c>
      <c r="G14" s="38"/>
      <c r="H14" s="247"/>
    </row>
    <row r="15" spans="1:8" x14ac:dyDescent="0.25">
      <c r="A15" s="37">
        <v>43190</v>
      </c>
      <c r="C15" s="41">
        <f>2705141.58+C14</f>
        <v>18160820.009999998</v>
      </c>
      <c r="D15" s="40">
        <f t="shared" ref="D15:D58" si="2">-$C$22*$C$7/12+D14</f>
        <v>-632804.27217725071</v>
      </c>
      <c r="E15" s="134">
        <f t="shared" si="1"/>
        <v>-84873.766983252513</v>
      </c>
      <c r="F15" s="41">
        <f t="shared" si="0"/>
        <v>17443141.970839497</v>
      </c>
      <c r="H15" s="247"/>
    </row>
    <row r="16" spans="1:8" x14ac:dyDescent="0.25">
      <c r="A16" s="37">
        <v>43220</v>
      </c>
      <c r="C16" s="41">
        <v>27692179.049999993</v>
      </c>
      <c r="D16" s="40">
        <f t="shared" si="2"/>
        <v>-755960.84819177631</v>
      </c>
      <c r="E16" s="134">
        <f t="shared" si="1"/>
        <v>-98274.888085871324</v>
      </c>
      <c r="F16" s="41">
        <f t="shared" ref="F16:F18" si="3">SUM(C16:E16)</f>
        <v>26837943.313722346</v>
      </c>
      <c r="H16" s="247"/>
    </row>
    <row r="17" spans="1:8" x14ac:dyDescent="0.25">
      <c r="A17" s="39">
        <v>43251</v>
      </c>
      <c r="C17" s="41">
        <v>34033590.79999999</v>
      </c>
      <c r="D17" s="40">
        <f t="shared" si="2"/>
        <v>-879117.4242063018</v>
      </c>
      <c r="E17" s="134">
        <f t="shared" si="1"/>
        <v>-111676.00918849013</v>
      </c>
      <c r="F17" s="41">
        <f t="shared" si="3"/>
        <v>33042797.366605196</v>
      </c>
      <c r="H17" s="247"/>
    </row>
    <row r="18" spans="1:8" x14ac:dyDescent="0.25">
      <c r="A18" s="39">
        <v>43281</v>
      </c>
      <c r="C18" s="41">
        <v>38287680.459999986</v>
      </c>
      <c r="D18" s="40">
        <f t="shared" si="2"/>
        <v>-1002274.0002208273</v>
      </c>
      <c r="E18" s="134">
        <f t="shared" si="1"/>
        <v>-125077.13029110894</v>
      </c>
      <c r="F18" s="41">
        <f t="shared" si="3"/>
        <v>37160329.329488046</v>
      </c>
      <c r="G18" s="120">
        <f>-D18</f>
        <v>1002274.0002208273</v>
      </c>
      <c r="H18" s="247"/>
    </row>
    <row r="19" spans="1:8" x14ac:dyDescent="0.25">
      <c r="A19" s="39">
        <v>43312</v>
      </c>
      <c r="C19" s="134">
        <v>39625478.859999999</v>
      </c>
      <c r="D19" s="40">
        <f t="shared" si="2"/>
        <v>-1125430.5762353528</v>
      </c>
      <c r="E19" s="134">
        <f t="shared" si="1"/>
        <v>-138478.25139372775</v>
      </c>
      <c r="F19" s="41">
        <f t="shared" ref="F19:F22" si="4">SUM(C19:E19)</f>
        <v>38361570.032370917</v>
      </c>
      <c r="H19" s="142"/>
    </row>
    <row r="20" spans="1:8" x14ac:dyDescent="0.25">
      <c r="A20" s="37">
        <v>43343</v>
      </c>
      <c r="C20" s="41">
        <v>46937465.695</v>
      </c>
      <c r="D20" s="40">
        <f t="shared" si="2"/>
        <v>-1248587.1522498783</v>
      </c>
      <c r="E20" s="134">
        <f t="shared" si="1"/>
        <v>-151879.37249634656</v>
      </c>
      <c r="F20" s="41">
        <f t="shared" si="4"/>
        <v>45536999.170253776</v>
      </c>
      <c r="H20" s="142"/>
    </row>
    <row r="21" spans="1:8" x14ac:dyDescent="0.25">
      <c r="A21" s="37">
        <v>43373</v>
      </c>
      <c r="C21" s="41">
        <v>55640740.670000002</v>
      </c>
      <c r="D21" s="40">
        <f t="shared" si="2"/>
        <v>-1371743.7282644038</v>
      </c>
      <c r="E21" s="134">
        <f t="shared" si="1"/>
        <v>-165280.49359896537</v>
      </c>
      <c r="F21" s="41">
        <f t="shared" si="4"/>
        <v>54103716.448136628</v>
      </c>
      <c r="H21" s="142"/>
    </row>
    <row r="22" spans="1:8" x14ac:dyDescent="0.25">
      <c r="A22" s="155">
        <v>43404</v>
      </c>
      <c r="B22" s="224">
        <f>'20MACRs'!B5</f>
        <v>3.7499999999999999E-2</v>
      </c>
      <c r="C22" s="225">
        <v>60284764.080000125</v>
      </c>
      <c r="D22" s="158">
        <f t="shared" si="2"/>
        <v>-1494900.3042789293</v>
      </c>
      <c r="E22" s="226">
        <f t="shared" si="1"/>
        <v>-178681.61470158419</v>
      </c>
      <c r="F22" s="156">
        <f t="shared" si="4"/>
        <v>58611182.161019608</v>
      </c>
      <c r="H22" s="134"/>
    </row>
    <row r="23" spans="1:8" x14ac:dyDescent="0.25">
      <c r="A23" s="39">
        <v>43434</v>
      </c>
      <c r="C23" s="40">
        <f>+C22</f>
        <v>60284764.080000125</v>
      </c>
      <c r="D23" s="40">
        <f t="shared" si="2"/>
        <v>-1618056.8802934547</v>
      </c>
      <c r="E23" s="237">
        <f>-($C$22*$B$34-$D$7)/12*$E$7+E22</f>
        <v>-228977.9833199</v>
      </c>
      <c r="F23" s="41">
        <f t="shared" ref="F23:F24" si="5">SUM(C23:E23)</f>
        <v>58437729.216386773</v>
      </c>
      <c r="H23" s="134"/>
    </row>
    <row r="24" spans="1:8" x14ac:dyDescent="0.25">
      <c r="A24" s="39">
        <v>43465</v>
      </c>
      <c r="C24" s="40">
        <f>+C23</f>
        <v>60284764.080000125</v>
      </c>
      <c r="D24" s="40">
        <f t="shared" si="2"/>
        <v>-1741213.4563079802</v>
      </c>
      <c r="E24" s="168">
        <f t="shared" ref="E24:E34" si="6">-($C$22*$B$34-$D$7)/12*$E$7+E23</f>
        <v>-279274.35193821578</v>
      </c>
      <c r="F24" s="41">
        <f t="shared" si="5"/>
        <v>58264276.27175393</v>
      </c>
      <c r="G24" s="120">
        <f>D24-D12</f>
        <v>-1477878.9121743061</v>
      </c>
      <c r="H24" s="120">
        <f>-E24</f>
        <v>279274.35193821578</v>
      </c>
    </row>
    <row r="25" spans="1:8" x14ac:dyDescent="0.25">
      <c r="A25" s="39">
        <v>43496</v>
      </c>
      <c r="C25" s="40">
        <f t="shared" ref="C25:C58" si="7">+C24</f>
        <v>60284764.080000125</v>
      </c>
      <c r="D25" s="40">
        <f t="shared" si="2"/>
        <v>-1864370.0323225057</v>
      </c>
      <c r="E25" s="168">
        <f t="shared" si="6"/>
        <v>-329570.72055653157</v>
      </c>
      <c r="F25" s="41">
        <f t="shared" ref="F25:F58" si="8">SUM(C25:E25)</f>
        <v>58090823.327121086</v>
      </c>
    </row>
    <row r="26" spans="1:8" x14ac:dyDescent="0.25">
      <c r="A26" s="37">
        <v>43524</v>
      </c>
      <c r="C26" s="40">
        <f t="shared" si="7"/>
        <v>60284764.080000125</v>
      </c>
      <c r="D26" s="40">
        <f t="shared" si="2"/>
        <v>-1987526.6083370312</v>
      </c>
      <c r="E26" s="168">
        <f t="shared" si="6"/>
        <v>-379867.08917484735</v>
      </c>
      <c r="F26" s="41">
        <f t="shared" si="8"/>
        <v>57917370.382488251</v>
      </c>
    </row>
    <row r="27" spans="1:8" x14ac:dyDescent="0.25">
      <c r="A27" s="39">
        <v>43555</v>
      </c>
      <c r="C27" s="40">
        <f t="shared" si="7"/>
        <v>60284764.080000125</v>
      </c>
      <c r="D27" s="40">
        <f t="shared" si="2"/>
        <v>-2110683.1843515569</v>
      </c>
      <c r="E27" s="168">
        <f t="shared" si="6"/>
        <v>-430163.45779316314</v>
      </c>
      <c r="F27" s="41">
        <f t="shared" si="8"/>
        <v>57743917.437855408</v>
      </c>
    </row>
    <row r="28" spans="1:8" x14ac:dyDescent="0.25">
      <c r="A28" s="39">
        <v>43585</v>
      </c>
      <c r="C28" s="40">
        <f t="shared" si="7"/>
        <v>60284764.080000125</v>
      </c>
      <c r="D28" s="40">
        <f t="shared" si="2"/>
        <v>-2233839.7603660827</v>
      </c>
      <c r="E28" s="168">
        <f t="shared" si="6"/>
        <v>-480459.82641147892</v>
      </c>
      <c r="F28" s="41">
        <f t="shared" si="8"/>
        <v>57570464.493222564</v>
      </c>
    </row>
    <row r="29" spans="1:8" x14ac:dyDescent="0.25">
      <c r="A29" s="39">
        <v>43616</v>
      </c>
      <c r="C29" s="40">
        <f t="shared" si="7"/>
        <v>60284764.080000125</v>
      </c>
      <c r="D29" s="40">
        <f t="shared" si="2"/>
        <v>-2356996.3363806084</v>
      </c>
      <c r="E29" s="168">
        <f t="shared" si="6"/>
        <v>-530756.1950297947</v>
      </c>
      <c r="F29" s="41">
        <f t="shared" si="8"/>
        <v>57397011.548589721</v>
      </c>
    </row>
    <row r="30" spans="1:8" x14ac:dyDescent="0.25">
      <c r="A30" s="37">
        <v>43646</v>
      </c>
      <c r="C30" s="40">
        <f t="shared" si="7"/>
        <v>60284764.080000125</v>
      </c>
      <c r="D30" s="40">
        <f t="shared" si="2"/>
        <v>-2480152.9123951341</v>
      </c>
      <c r="E30" s="168">
        <f t="shared" si="6"/>
        <v>-581052.56364811049</v>
      </c>
      <c r="F30" s="41">
        <f t="shared" si="8"/>
        <v>57223558.603956878</v>
      </c>
    </row>
    <row r="31" spans="1:8" x14ac:dyDescent="0.25">
      <c r="A31" s="39">
        <v>43677</v>
      </c>
      <c r="C31" s="40">
        <f t="shared" si="7"/>
        <v>60284764.080000125</v>
      </c>
      <c r="D31" s="40">
        <f t="shared" si="2"/>
        <v>-2603309.4884096598</v>
      </c>
      <c r="E31" s="168">
        <f t="shared" si="6"/>
        <v>-631348.93226642627</v>
      </c>
      <c r="F31" s="41">
        <f t="shared" si="8"/>
        <v>57050105.659324035</v>
      </c>
    </row>
    <row r="32" spans="1:8" x14ac:dyDescent="0.25">
      <c r="A32" s="39">
        <v>43708</v>
      </c>
      <c r="C32" s="40">
        <f t="shared" si="7"/>
        <v>60284764.080000125</v>
      </c>
      <c r="D32" s="40">
        <f t="shared" si="2"/>
        <v>-2726466.0644241855</v>
      </c>
      <c r="E32" s="168">
        <f t="shared" si="6"/>
        <v>-681645.30088474206</v>
      </c>
      <c r="F32" s="41">
        <f t="shared" si="8"/>
        <v>56876652.714691199</v>
      </c>
    </row>
    <row r="33" spans="1:8" x14ac:dyDescent="0.25">
      <c r="A33" s="39">
        <v>43738</v>
      </c>
      <c r="C33" s="40">
        <f t="shared" si="7"/>
        <v>60284764.080000125</v>
      </c>
      <c r="D33" s="40">
        <f t="shared" si="2"/>
        <v>-2849622.6404387113</v>
      </c>
      <c r="E33" s="168">
        <f t="shared" si="6"/>
        <v>-731941.66950305784</v>
      </c>
      <c r="F33" s="41">
        <f t="shared" si="8"/>
        <v>56703199.770058356</v>
      </c>
    </row>
    <row r="34" spans="1:8" x14ac:dyDescent="0.25">
      <c r="A34" s="37">
        <v>43769</v>
      </c>
      <c r="B34" s="107">
        <f>'20MACRs'!C5</f>
        <v>7.2190000000000004E-2</v>
      </c>
      <c r="C34" s="40">
        <f t="shared" si="7"/>
        <v>60284764.080000125</v>
      </c>
      <c r="D34" s="40">
        <f t="shared" si="2"/>
        <v>-2972779.216453237</v>
      </c>
      <c r="E34" s="168">
        <f t="shared" si="6"/>
        <v>-782238.03812137363</v>
      </c>
      <c r="F34" s="41">
        <f t="shared" si="8"/>
        <v>56529746.825425513</v>
      </c>
      <c r="G34" s="40">
        <f>+D34-D22</f>
        <v>-1477878.9121743077</v>
      </c>
    </row>
    <row r="35" spans="1:8" x14ac:dyDescent="0.25">
      <c r="A35" s="39">
        <v>43799</v>
      </c>
      <c r="C35" s="40">
        <f t="shared" si="7"/>
        <v>60284764.080000125</v>
      </c>
      <c r="D35" s="40">
        <f t="shared" si="2"/>
        <v>-3095935.7924677627</v>
      </c>
      <c r="E35" s="168">
        <f>-($C$22*$B$46-$D$7)/12*$E$7+E34</f>
        <v>-826816.39686670143</v>
      </c>
      <c r="F35" s="41">
        <f t="shared" si="8"/>
        <v>56362011.890665658</v>
      </c>
    </row>
    <row r="36" spans="1:8" x14ac:dyDescent="0.25">
      <c r="A36" s="39">
        <v>43830</v>
      </c>
      <c r="C36" s="40">
        <f t="shared" si="7"/>
        <v>60284764.080000125</v>
      </c>
      <c r="D36" s="40">
        <f t="shared" si="2"/>
        <v>-3219092.3684822884</v>
      </c>
      <c r="E36" s="168">
        <f t="shared" ref="E36:E46" si="9">-($C$22*$B$46-$D$7)/12*$E$7+E35</f>
        <v>-871394.75561202923</v>
      </c>
      <c r="F36" s="41">
        <f t="shared" si="8"/>
        <v>56194276.955905803</v>
      </c>
    </row>
    <row r="37" spans="1:8" x14ac:dyDescent="0.25">
      <c r="A37" s="39">
        <v>43861</v>
      </c>
      <c r="C37" s="40">
        <f t="shared" si="7"/>
        <v>60284764.080000125</v>
      </c>
      <c r="D37" s="40">
        <f t="shared" si="2"/>
        <v>-3342248.9444968142</v>
      </c>
      <c r="E37" s="168">
        <f t="shared" si="9"/>
        <v>-915973.11435735703</v>
      </c>
      <c r="F37" s="41">
        <f t="shared" si="8"/>
        <v>56026542.021145947</v>
      </c>
    </row>
    <row r="38" spans="1:8" x14ac:dyDescent="0.25">
      <c r="A38" s="37">
        <v>43890</v>
      </c>
      <c r="C38" s="40">
        <f t="shared" si="7"/>
        <v>60284764.080000125</v>
      </c>
      <c r="D38" s="40">
        <f t="shared" si="2"/>
        <v>-3465405.5205113399</v>
      </c>
      <c r="E38" s="168">
        <f t="shared" si="9"/>
        <v>-960551.47310268483</v>
      </c>
      <c r="F38" s="41">
        <f t="shared" si="8"/>
        <v>55858807.086386107</v>
      </c>
    </row>
    <row r="39" spans="1:8" x14ac:dyDescent="0.25">
      <c r="A39" s="39">
        <v>43921</v>
      </c>
      <c r="C39" s="40">
        <f t="shared" si="7"/>
        <v>60284764.080000125</v>
      </c>
      <c r="D39" s="40">
        <f t="shared" si="2"/>
        <v>-3588562.0965258656</v>
      </c>
      <c r="E39" s="168">
        <f t="shared" si="9"/>
        <v>-1005129.8318480126</v>
      </c>
      <c r="F39" s="41">
        <f t="shared" si="8"/>
        <v>55691072.151626252</v>
      </c>
    </row>
    <row r="40" spans="1:8" s="163" customFormat="1" x14ac:dyDescent="0.25">
      <c r="A40" s="160">
        <v>43951</v>
      </c>
      <c r="C40" s="162">
        <f t="shared" si="7"/>
        <v>60284764.080000125</v>
      </c>
      <c r="D40" s="162">
        <f t="shared" si="2"/>
        <v>-3711718.6725403913</v>
      </c>
      <c r="E40" s="168">
        <f t="shared" si="9"/>
        <v>-1049708.1905933404</v>
      </c>
      <c r="F40" s="161">
        <f t="shared" si="8"/>
        <v>55523337.216866396</v>
      </c>
      <c r="G40" s="162">
        <f>D40-D28</f>
        <v>-1477878.9121743087</v>
      </c>
    </row>
    <row r="41" spans="1:8" x14ac:dyDescent="0.25">
      <c r="A41" s="39">
        <v>43982</v>
      </c>
      <c r="C41" s="40">
        <f t="shared" si="7"/>
        <v>60284764.080000125</v>
      </c>
      <c r="D41" s="40">
        <f t="shared" si="2"/>
        <v>-3834875.2485549171</v>
      </c>
      <c r="E41" s="168">
        <f t="shared" si="9"/>
        <v>-1094286.5493386681</v>
      </c>
      <c r="F41" s="41">
        <f t="shared" si="8"/>
        <v>55355602.282106541</v>
      </c>
      <c r="H41" s="40"/>
    </row>
    <row r="42" spans="1:8" x14ac:dyDescent="0.25">
      <c r="A42" s="37">
        <v>44012</v>
      </c>
      <c r="C42" s="40">
        <f t="shared" si="7"/>
        <v>60284764.080000125</v>
      </c>
      <c r="D42" s="40">
        <f t="shared" si="2"/>
        <v>-3958031.8245694428</v>
      </c>
      <c r="E42" s="168">
        <f t="shared" si="9"/>
        <v>-1138864.9080839958</v>
      </c>
      <c r="F42" s="41">
        <f t="shared" si="8"/>
        <v>55187867.347346686</v>
      </c>
      <c r="H42" s="40"/>
    </row>
    <row r="43" spans="1:8" x14ac:dyDescent="0.25">
      <c r="A43" s="39">
        <v>44043</v>
      </c>
      <c r="C43" s="40">
        <f t="shared" si="7"/>
        <v>60284764.080000125</v>
      </c>
      <c r="D43" s="40">
        <f t="shared" si="2"/>
        <v>-4081188.4005839685</v>
      </c>
      <c r="E43" s="168">
        <f t="shared" si="9"/>
        <v>-1183443.2668293235</v>
      </c>
      <c r="F43" s="41">
        <f t="shared" si="8"/>
        <v>55020132.412586831</v>
      </c>
    </row>
    <row r="44" spans="1:8" x14ac:dyDescent="0.25">
      <c r="A44" s="39">
        <v>44074</v>
      </c>
      <c r="C44" s="40">
        <f t="shared" si="7"/>
        <v>60284764.080000125</v>
      </c>
      <c r="D44" s="40">
        <f t="shared" si="2"/>
        <v>-4204344.9765984938</v>
      </c>
      <c r="E44" s="168">
        <f t="shared" si="9"/>
        <v>-1228021.6255746512</v>
      </c>
      <c r="F44" s="41">
        <f t="shared" si="8"/>
        <v>54852397.477826983</v>
      </c>
    </row>
    <row r="45" spans="1:8" x14ac:dyDescent="0.25">
      <c r="A45" s="39">
        <v>44104</v>
      </c>
      <c r="C45" s="40">
        <f t="shared" si="7"/>
        <v>60284764.080000125</v>
      </c>
      <c r="D45" s="40">
        <f t="shared" si="2"/>
        <v>-4327501.552613019</v>
      </c>
      <c r="E45" s="168">
        <f t="shared" si="9"/>
        <v>-1272599.9843199789</v>
      </c>
      <c r="F45" s="41">
        <f t="shared" si="8"/>
        <v>54684662.543067127</v>
      </c>
    </row>
    <row r="46" spans="1:8" x14ac:dyDescent="0.25">
      <c r="A46" s="37">
        <v>44135</v>
      </c>
      <c r="B46" s="107">
        <f>'20MACRs'!D5</f>
        <v>6.6769999999999996E-2</v>
      </c>
      <c r="C46" s="40">
        <f t="shared" si="7"/>
        <v>60284764.080000125</v>
      </c>
      <c r="D46" s="40">
        <f t="shared" si="2"/>
        <v>-4450658.1286275443</v>
      </c>
      <c r="E46" s="168">
        <f t="shared" si="9"/>
        <v>-1317178.3430653065</v>
      </c>
      <c r="F46" s="41">
        <f t="shared" si="8"/>
        <v>54516927.608307272</v>
      </c>
    </row>
    <row r="47" spans="1:8" x14ac:dyDescent="0.25">
      <c r="A47" s="39">
        <v>44165</v>
      </c>
      <c r="C47" s="40">
        <f t="shared" si="7"/>
        <v>60284764.080000125</v>
      </c>
      <c r="D47" s="40">
        <f t="shared" si="2"/>
        <v>-4573814.7046420695</v>
      </c>
      <c r="E47" s="167">
        <f>-($C$22*$B$58-$D$7)/12*$E$7+E46</f>
        <v>-1356481.7849536343</v>
      </c>
      <c r="F47" s="41">
        <f t="shared" si="8"/>
        <v>54354467.590404421</v>
      </c>
    </row>
    <row r="48" spans="1:8" x14ac:dyDescent="0.25">
      <c r="A48" s="39">
        <v>44196</v>
      </c>
      <c r="C48" s="40">
        <f t="shared" si="7"/>
        <v>60284764.080000125</v>
      </c>
      <c r="D48" s="40">
        <f t="shared" si="2"/>
        <v>-4696971.2806565948</v>
      </c>
      <c r="E48" s="167">
        <f t="shared" ref="E48:E58" si="10">-($C$22*$B$58-$D$7)/12*$E$7+E47</f>
        <v>-1395785.226841962</v>
      </c>
      <c r="F48" s="41">
        <f t="shared" si="8"/>
        <v>54192007.572501563</v>
      </c>
    </row>
    <row r="49" spans="1:7" x14ac:dyDescent="0.25">
      <c r="A49" s="39">
        <v>44227</v>
      </c>
      <c r="C49" s="40">
        <f t="shared" si="7"/>
        <v>60284764.080000125</v>
      </c>
      <c r="D49" s="40">
        <f t="shared" si="2"/>
        <v>-4820127.85667112</v>
      </c>
      <c r="E49" s="167">
        <f t="shared" si="10"/>
        <v>-1435088.6687302897</v>
      </c>
      <c r="F49" s="41">
        <f t="shared" si="8"/>
        <v>54029547.554598719</v>
      </c>
    </row>
    <row r="50" spans="1:7" x14ac:dyDescent="0.25">
      <c r="A50" s="37">
        <v>44255</v>
      </c>
      <c r="C50" s="40">
        <f t="shared" si="7"/>
        <v>60284764.080000125</v>
      </c>
      <c r="D50" s="40">
        <f t="shared" si="2"/>
        <v>-4943284.4326856453</v>
      </c>
      <c r="E50" s="167">
        <f t="shared" si="10"/>
        <v>-1474392.1106186174</v>
      </c>
      <c r="F50" s="41">
        <f t="shared" si="8"/>
        <v>53867087.536695868</v>
      </c>
    </row>
    <row r="51" spans="1:7" x14ac:dyDescent="0.25">
      <c r="A51" s="39">
        <v>44286</v>
      </c>
      <c r="C51" s="40">
        <f t="shared" si="7"/>
        <v>60284764.080000125</v>
      </c>
      <c r="D51" s="40">
        <f t="shared" si="2"/>
        <v>-5066441.0087001706</v>
      </c>
      <c r="E51" s="167">
        <f t="shared" si="10"/>
        <v>-1513695.5525069451</v>
      </c>
      <c r="F51" s="41">
        <f t="shared" si="8"/>
        <v>53704627.518793009</v>
      </c>
    </row>
    <row r="52" spans="1:7" s="163" customFormat="1" x14ac:dyDescent="0.25">
      <c r="A52" s="160">
        <v>44316</v>
      </c>
      <c r="C52" s="162">
        <f t="shared" si="7"/>
        <v>60284764.080000125</v>
      </c>
      <c r="D52" s="162">
        <f t="shared" si="2"/>
        <v>-5189597.5847146958</v>
      </c>
      <c r="E52" s="167">
        <f t="shared" si="10"/>
        <v>-1552998.9943952728</v>
      </c>
      <c r="F52" s="161">
        <f t="shared" si="8"/>
        <v>53542167.500890158</v>
      </c>
      <c r="G52" s="162">
        <f>D52-D40</f>
        <v>-1477878.9121743045</v>
      </c>
    </row>
    <row r="53" spans="1:7" x14ac:dyDescent="0.25">
      <c r="A53" s="39">
        <v>44347</v>
      </c>
      <c r="C53" s="40">
        <f t="shared" si="7"/>
        <v>60284764.080000125</v>
      </c>
      <c r="D53" s="40">
        <f t="shared" si="2"/>
        <v>-5312754.1607292211</v>
      </c>
      <c r="E53" s="167">
        <f t="shared" si="10"/>
        <v>-1592302.4362836005</v>
      </c>
      <c r="F53" s="41">
        <f t="shared" si="8"/>
        <v>53379707.4829873</v>
      </c>
      <c r="G53" s="162"/>
    </row>
    <row r="54" spans="1:7" x14ac:dyDescent="0.25">
      <c r="A54" s="37">
        <v>44377</v>
      </c>
      <c r="C54" s="40">
        <f t="shared" si="7"/>
        <v>60284764.080000125</v>
      </c>
      <c r="D54" s="40">
        <f t="shared" si="2"/>
        <v>-5435910.7367437463</v>
      </c>
      <c r="E54" s="167">
        <f t="shared" si="10"/>
        <v>-1631605.8781719282</v>
      </c>
      <c r="F54" s="41">
        <f t="shared" si="8"/>
        <v>53217247.465084448</v>
      </c>
    </row>
    <row r="55" spans="1:7" x14ac:dyDescent="0.25">
      <c r="A55" s="39">
        <v>44408</v>
      </c>
      <c r="C55" s="40">
        <f t="shared" si="7"/>
        <v>60284764.080000125</v>
      </c>
      <c r="D55" s="40">
        <f t="shared" si="2"/>
        <v>-5559067.3127582716</v>
      </c>
      <c r="E55" s="167">
        <f t="shared" si="10"/>
        <v>-1670909.3200602559</v>
      </c>
      <c r="F55" s="41">
        <f t="shared" si="8"/>
        <v>53054787.447181597</v>
      </c>
    </row>
    <row r="56" spans="1:7" x14ac:dyDescent="0.25">
      <c r="A56" s="39">
        <v>44439</v>
      </c>
      <c r="C56" s="40">
        <f t="shared" si="7"/>
        <v>60284764.080000125</v>
      </c>
      <c r="D56" s="40">
        <f t="shared" si="2"/>
        <v>-5682223.8887727968</v>
      </c>
      <c r="E56" s="167">
        <f t="shared" si="10"/>
        <v>-1710212.7619485836</v>
      </c>
      <c r="F56" s="41">
        <f t="shared" si="8"/>
        <v>52892327.429278746</v>
      </c>
    </row>
    <row r="57" spans="1:7" x14ac:dyDescent="0.25">
      <c r="A57" s="39">
        <v>44469</v>
      </c>
      <c r="C57" s="40">
        <f t="shared" si="7"/>
        <v>60284764.080000125</v>
      </c>
      <c r="D57" s="40">
        <f t="shared" si="2"/>
        <v>-5805380.4647873221</v>
      </c>
      <c r="E57" s="167">
        <f t="shared" si="10"/>
        <v>-1749516.2038369114</v>
      </c>
      <c r="F57" s="41">
        <f t="shared" si="8"/>
        <v>52729867.411375895</v>
      </c>
    </row>
    <row r="58" spans="1:7" x14ac:dyDescent="0.25">
      <c r="A58" s="37">
        <v>44500</v>
      </c>
      <c r="B58" s="107">
        <f>'20MACRs'!E5</f>
        <v>6.1769999999999999E-2</v>
      </c>
      <c r="C58" s="40">
        <f t="shared" si="7"/>
        <v>60284764.080000125</v>
      </c>
      <c r="D58" s="40">
        <f t="shared" si="2"/>
        <v>-5928537.0408018474</v>
      </c>
      <c r="E58" s="167">
        <f t="shared" si="10"/>
        <v>-1788819.6457252391</v>
      </c>
      <c r="F58" s="41">
        <f t="shared" si="8"/>
        <v>52567407.393473044</v>
      </c>
    </row>
    <row r="59" spans="1:7" ht="15.75" thickBot="1" x14ac:dyDescent="0.3">
      <c r="A59" s="39"/>
    </row>
    <row r="60" spans="1:7" ht="15.75" thickBot="1" x14ac:dyDescent="0.3">
      <c r="A60" s="39" t="s">
        <v>148</v>
      </c>
      <c r="C60" s="177">
        <f>(C12+C24+SUM(C13:C23)*2)/24</f>
        <v>37261268.578750022</v>
      </c>
      <c r="D60" s="177">
        <f t="shared" ref="D60:F60" si="11">(D12+D24+SUM(D13:D23)*2)/24</f>
        <v>-1002274.0002208273</v>
      </c>
      <c r="E60" s="177">
        <f t="shared" si="11"/>
        <v>-131226.33821039178</v>
      </c>
      <c r="F60" s="177">
        <f t="shared" si="11"/>
        <v>36127768.240318805</v>
      </c>
    </row>
    <row r="61" spans="1:7" ht="15.75" thickBot="1" x14ac:dyDescent="0.3"/>
    <row r="62" spans="1:7" ht="15.75" thickBot="1" x14ac:dyDescent="0.3">
      <c r="A62" s="39" t="s">
        <v>147</v>
      </c>
      <c r="C62" s="177">
        <f>(C40+C52+SUM(C41:C51)*2)/24</f>
        <v>60284764.080000132</v>
      </c>
      <c r="D62" s="177">
        <f t="shared" ref="D62:F62" si="12">(D40+D52+SUM(D41:D51)*2)/24</f>
        <v>-4450658.1286275433</v>
      </c>
      <c r="E62" s="177">
        <f t="shared" si="12"/>
        <v>-1309265.9677798066</v>
      </c>
      <c r="F62" s="177">
        <f t="shared" si="12"/>
        <v>54524839.983592756</v>
      </c>
    </row>
    <row r="63" spans="1:7" x14ac:dyDescent="0.25">
      <c r="A63" s="39"/>
    </row>
    <row r="64" spans="1:7" x14ac:dyDescent="0.25">
      <c r="A64" s="39"/>
    </row>
    <row r="65" spans="1:1" x14ac:dyDescent="0.25">
      <c r="A65" s="39"/>
    </row>
    <row r="66" spans="1:1" x14ac:dyDescent="0.25">
      <c r="A66" s="39"/>
    </row>
    <row r="67" spans="1:1" x14ac:dyDescent="0.25">
      <c r="A67" s="39"/>
    </row>
    <row r="68" spans="1:1" x14ac:dyDescent="0.25">
      <c r="A68" s="39"/>
    </row>
    <row r="69" spans="1:1" x14ac:dyDescent="0.25">
      <c r="A69" s="39"/>
    </row>
  </sheetData>
  <printOptions horizontalCentered="1"/>
  <pageMargins left="0.45" right="0.2" top="0.5" bottom="0.5" header="0.3" footer="0.3"/>
  <pageSetup fitToHeight="0" orientation="portrait" r:id="rId1"/>
  <headerFooter>
    <oddFooter>&amp;L2014/2015 Investment&amp;R&amp;P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18"/>
  <sheetViews>
    <sheetView zoomScale="115" zoomScaleNormal="115" workbookViewId="0">
      <pane ySplit="9" topLeftCell="A10" activePane="bottomLeft" state="frozen"/>
      <selection activeCell="F14" sqref="F14"/>
      <selection pane="bottomLeft" activeCell="C7" sqref="C7"/>
    </sheetView>
  </sheetViews>
  <sheetFormatPr defaultColWidth="9.140625" defaultRowHeight="15" x14ac:dyDescent="0.25"/>
  <cols>
    <col min="1" max="1" width="11.7109375" style="32" customWidth="1"/>
    <col min="2" max="2" width="12.42578125" style="32" customWidth="1"/>
    <col min="3" max="3" width="12.28515625" style="32" bestFit="1" customWidth="1"/>
    <col min="4" max="4" width="14.7109375" style="32" bestFit="1" customWidth="1"/>
    <col min="5" max="5" width="14.7109375" style="31" bestFit="1" customWidth="1"/>
    <col min="6" max="6" width="15" style="32" bestFit="1" customWidth="1"/>
    <col min="7" max="7" width="12.42578125" style="32" bestFit="1" customWidth="1"/>
    <col min="8" max="8" width="16.5703125" style="32" customWidth="1"/>
    <col min="9" max="9" width="11.85546875" style="32" bestFit="1" customWidth="1"/>
    <col min="10" max="34" width="7" style="32" bestFit="1" customWidth="1"/>
    <col min="35" max="35" width="9.140625" style="32" bestFit="1" customWidth="1"/>
    <col min="36" max="61" width="2.28515625" style="32" bestFit="1" customWidth="1"/>
    <col min="62" max="16384" width="9.140625" style="32"/>
  </cols>
  <sheetData>
    <row r="1" spans="1:9" x14ac:dyDescent="0.25">
      <c r="A1" s="32" t="s">
        <v>57</v>
      </c>
      <c r="F1" s="118"/>
      <c r="G1" s="118"/>
    </row>
    <row r="2" spans="1:9" x14ac:dyDescent="0.25">
      <c r="F2" s="118"/>
      <c r="G2" s="118"/>
    </row>
    <row r="3" spans="1:9" ht="9.75" customHeight="1" x14ac:dyDescent="0.25">
      <c r="B3" s="33"/>
      <c r="C3" s="109"/>
      <c r="D3" s="109"/>
      <c r="E3" s="115"/>
    </row>
    <row r="4" spans="1:9" x14ac:dyDescent="0.25">
      <c r="B4" s="110"/>
      <c r="C4" s="108" t="s">
        <v>7</v>
      </c>
      <c r="D4" s="108" t="s">
        <v>34</v>
      </c>
      <c r="E4" s="116"/>
    </row>
    <row r="5" spans="1:9" x14ac:dyDescent="0.25">
      <c r="B5" s="110"/>
      <c r="C5" s="108" t="s">
        <v>6</v>
      </c>
      <c r="D5" s="108" t="s">
        <v>35</v>
      </c>
      <c r="E5" s="129" t="s">
        <v>66</v>
      </c>
    </row>
    <row r="6" spans="1:9" x14ac:dyDescent="0.25">
      <c r="B6" s="111" t="s">
        <v>93</v>
      </c>
      <c r="C6" s="130">
        <f>'CRM Rates'!E19</f>
        <v>2.9089603215373776E-2</v>
      </c>
      <c r="D6" s="131">
        <f>$C$22*C6</f>
        <v>1324091.9509619994</v>
      </c>
      <c r="E6" s="132">
        <v>0.35</v>
      </c>
      <c r="H6" s="166"/>
      <c r="I6" s="38"/>
    </row>
    <row r="7" spans="1:9" x14ac:dyDescent="0.25">
      <c r="A7" s="47"/>
      <c r="B7" s="112" t="s">
        <v>94</v>
      </c>
      <c r="C7" s="130">
        <f>'CRM Rates'!E35</f>
        <v>2.5007867478263991E-2</v>
      </c>
      <c r="D7" s="131">
        <f>$C$22*C7</f>
        <v>1138300.7115474755</v>
      </c>
      <c r="E7" s="132">
        <v>0.21</v>
      </c>
      <c r="F7" s="32">
        <f>+C11/D7</f>
        <v>39.987415994953061</v>
      </c>
      <c r="G7" s="131">
        <f>+D7*5</f>
        <v>5691503.5577373775</v>
      </c>
      <c r="H7" s="166"/>
      <c r="I7" s="38"/>
    </row>
    <row r="8" spans="1:9" ht="7.5" customHeight="1" x14ac:dyDescent="0.25">
      <c r="A8" s="39"/>
      <c r="B8" s="113"/>
      <c r="C8" s="114"/>
      <c r="D8" s="114"/>
      <c r="E8" s="133"/>
    </row>
    <row r="9" spans="1:9" ht="45" x14ac:dyDescent="0.25">
      <c r="A9" s="35" t="s">
        <v>5</v>
      </c>
      <c r="B9" s="36" t="s">
        <v>55</v>
      </c>
      <c r="C9" s="36" t="s">
        <v>0</v>
      </c>
      <c r="D9" s="36" t="s">
        <v>1</v>
      </c>
      <c r="E9" s="106" t="s">
        <v>92</v>
      </c>
      <c r="F9" s="36" t="s">
        <v>2</v>
      </c>
      <c r="G9" s="36" t="s">
        <v>54</v>
      </c>
    </row>
    <row r="11" spans="1:9" x14ac:dyDescent="0.25">
      <c r="A11" s="39">
        <v>42704</v>
      </c>
      <c r="C11" s="41">
        <v>45517704.079999976</v>
      </c>
      <c r="D11" s="41">
        <f>-$D$6/12</f>
        <v>-110340.99591349995</v>
      </c>
      <c r="E11" s="41">
        <f>-(($C$22*$B$22-$D$6)*$E$6)/12</f>
        <v>-650072.99701569136</v>
      </c>
      <c r="F11" s="41">
        <f>SUM(C11:E11)</f>
        <v>44757290.087070785</v>
      </c>
    </row>
    <row r="12" spans="1:9" x14ac:dyDescent="0.25">
      <c r="A12" s="39">
        <v>42735</v>
      </c>
      <c r="C12" s="40">
        <f t="shared" ref="C12:C70" si="0">C11</f>
        <v>45517704.079999976</v>
      </c>
      <c r="D12" s="42">
        <f>-$D$6/12+D11</f>
        <v>-220681.9918269999</v>
      </c>
      <c r="E12" s="40">
        <f t="shared" ref="E12:E22" si="1">-(($C$22*$B$22-$D$6)*$E$6)/12+E11</f>
        <v>-1300145.9940313827</v>
      </c>
      <c r="F12" s="40">
        <f t="shared" ref="F12:F34" si="2">SUM(C12:E12)</f>
        <v>43996876.094141595</v>
      </c>
    </row>
    <row r="13" spans="1:9" x14ac:dyDescent="0.25">
      <c r="A13" s="39">
        <v>42766</v>
      </c>
      <c r="C13" s="40">
        <f t="shared" si="0"/>
        <v>45517704.079999976</v>
      </c>
      <c r="D13" s="42">
        <f t="shared" ref="D13:D22" si="3">-$D$6/12+D12</f>
        <v>-331022.98774049984</v>
      </c>
      <c r="E13" s="40">
        <f t="shared" si="1"/>
        <v>-1950218.9910470741</v>
      </c>
      <c r="F13" s="40">
        <f t="shared" si="2"/>
        <v>43236462.101212397</v>
      </c>
    </row>
    <row r="14" spans="1:9" x14ac:dyDescent="0.25">
      <c r="A14" s="39">
        <v>42794</v>
      </c>
      <c r="C14" s="40">
        <f t="shared" si="0"/>
        <v>45517704.079999976</v>
      </c>
      <c r="D14" s="42">
        <f t="shared" si="3"/>
        <v>-441363.98365399981</v>
      </c>
      <c r="E14" s="40">
        <f t="shared" si="1"/>
        <v>-2600291.9880627654</v>
      </c>
      <c r="F14" s="40">
        <f t="shared" si="2"/>
        <v>42476048.108283207</v>
      </c>
    </row>
    <row r="15" spans="1:9" x14ac:dyDescent="0.25">
      <c r="A15" s="39">
        <v>42825</v>
      </c>
      <c r="C15" s="40">
        <f t="shared" si="0"/>
        <v>45517704.079999976</v>
      </c>
      <c r="D15" s="42">
        <f t="shared" si="3"/>
        <v>-551704.97956749971</v>
      </c>
      <c r="E15" s="40">
        <f t="shared" si="1"/>
        <v>-3250364.9850784568</v>
      </c>
      <c r="F15" s="40">
        <f t="shared" si="2"/>
        <v>41715634.115354024</v>
      </c>
    </row>
    <row r="16" spans="1:9" x14ac:dyDescent="0.25">
      <c r="A16" s="39">
        <v>42855</v>
      </c>
      <c r="C16" s="40">
        <f t="shared" si="0"/>
        <v>45517704.079999976</v>
      </c>
      <c r="D16" s="42">
        <f t="shared" si="3"/>
        <v>-662045.97548099968</v>
      </c>
      <c r="E16" s="40">
        <f t="shared" si="1"/>
        <v>-3900437.9820941482</v>
      </c>
      <c r="F16" s="40">
        <f t="shared" si="2"/>
        <v>40955220.122424833</v>
      </c>
    </row>
    <row r="17" spans="1:61" x14ac:dyDescent="0.25">
      <c r="A17" s="39">
        <v>42886</v>
      </c>
      <c r="C17" s="40">
        <f t="shared" si="0"/>
        <v>45517704.079999976</v>
      </c>
      <c r="D17" s="42">
        <f t="shared" si="3"/>
        <v>-772386.97139449965</v>
      </c>
      <c r="E17" s="40">
        <f t="shared" si="1"/>
        <v>-4550510.9791098395</v>
      </c>
      <c r="F17" s="40">
        <f t="shared" si="2"/>
        <v>40194806.129495636</v>
      </c>
    </row>
    <row r="18" spans="1:61" x14ac:dyDescent="0.25">
      <c r="A18" s="39">
        <v>42916</v>
      </c>
      <c r="C18" s="40">
        <f t="shared" si="0"/>
        <v>45517704.079999976</v>
      </c>
      <c r="D18" s="42">
        <f t="shared" si="3"/>
        <v>-882727.96730799961</v>
      </c>
      <c r="E18" s="40">
        <f t="shared" si="1"/>
        <v>-5200583.9761255309</v>
      </c>
      <c r="F18" s="40">
        <f t="shared" si="2"/>
        <v>39434392.136566445</v>
      </c>
    </row>
    <row r="19" spans="1:61" x14ac:dyDescent="0.25">
      <c r="A19" s="39">
        <v>42947</v>
      </c>
      <c r="C19" s="40">
        <f t="shared" si="0"/>
        <v>45517704.079999976</v>
      </c>
      <c r="D19" s="42">
        <f t="shared" si="3"/>
        <v>-993068.96322149958</v>
      </c>
      <c r="E19" s="40">
        <f t="shared" si="1"/>
        <v>-5850656.9731412223</v>
      </c>
      <c r="F19" s="40">
        <f t="shared" si="2"/>
        <v>38673978.143637255</v>
      </c>
    </row>
    <row r="20" spans="1:61" x14ac:dyDescent="0.25">
      <c r="A20" s="39">
        <v>42978</v>
      </c>
      <c r="C20" s="40">
        <f t="shared" si="0"/>
        <v>45517704.079999976</v>
      </c>
      <c r="D20" s="42">
        <f t="shared" si="3"/>
        <v>-1103409.9591349994</v>
      </c>
      <c r="E20" s="40">
        <f t="shared" si="1"/>
        <v>-6500729.9701569136</v>
      </c>
      <c r="F20" s="40">
        <f t="shared" si="2"/>
        <v>37913564.150708064</v>
      </c>
    </row>
    <row r="21" spans="1:61" x14ac:dyDescent="0.25">
      <c r="A21" s="39">
        <v>43008</v>
      </c>
      <c r="C21" s="40">
        <f t="shared" si="0"/>
        <v>45517704.079999976</v>
      </c>
      <c r="D21" s="42">
        <f t="shared" si="3"/>
        <v>-1213750.9550484994</v>
      </c>
      <c r="E21" s="40">
        <f>-(($C$22*$B$22-$D$6)*$E$6)/12+E20</f>
        <v>-7150802.967172605</v>
      </c>
      <c r="F21" s="40">
        <f t="shared" si="2"/>
        <v>37153150.157778867</v>
      </c>
      <c r="H21" s="134"/>
      <c r="I21" s="134"/>
    </row>
    <row r="22" spans="1:61" s="159" customFormat="1" x14ac:dyDescent="0.25">
      <c r="A22" s="227">
        <v>43039</v>
      </c>
      <c r="B22" s="224">
        <f>'20MACRs'!B6</f>
        <v>0.51875000000000004</v>
      </c>
      <c r="C22" s="156">
        <f t="shared" si="0"/>
        <v>45517704.079999976</v>
      </c>
      <c r="D22" s="157">
        <f t="shared" si="3"/>
        <v>-1324091.9509619994</v>
      </c>
      <c r="E22" s="156">
        <f t="shared" si="1"/>
        <v>-7800875.9641882963</v>
      </c>
      <c r="F22" s="156">
        <f t="shared" si="2"/>
        <v>36392736.164849684</v>
      </c>
      <c r="G22" s="158">
        <f>+C22/D22</f>
        <v>-34.376543144854679</v>
      </c>
      <c r="H22" s="228">
        <f>+D22/C22</f>
        <v>-2.9089603215373776E-2</v>
      </c>
      <c r="I22" s="229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</row>
    <row r="23" spans="1:61" x14ac:dyDescent="0.25">
      <c r="A23" s="39">
        <v>43069</v>
      </c>
      <c r="B23" s="39"/>
      <c r="C23" s="40">
        <f t="shared" si="0"/>
        <v>45517704.079999976</v>
      </c>
      <c r="D23" s="42">
        <f>-$D$6/12+D22</f>
        <v>-1434432.9468754993</v>
      </c>
      <c r="E23" s="42">
        <f>-(($C$34*$B$34-G34)*$E$6)/12+E22</f>
        <v>-7815143.6620947504</v>
      </c>
      <c r="F23" s="40">
        <f t="shared" si="2"/>
        <v>36268127.471029729</v>
      </c>
      <c r="H23" s="134"/>
      <c r="I23" s="134"/>
    </row>
    <row r="24" spans="1:61" x14ac:dyDescent="0.25">
      <c r="A24" s="39">
        <v>43100</v>
      </c>
      <c r="B24" s="39"/>
      <c r="C24" s="40">
        <f t="shared" si="0"/>
        <v>45517704.079999976</v>
      </c>
      <c r="D24" s="42">
        <f>-$D$7/12+D23</f>
        <v>-1529291.3395044557</v>
      </c>
      <c r="E24" s="42">
        <f>-(($C$34*$B$34-$G$34)*$E$6)/12+E23</f>
        <v>-7829411.3600012045</v>
      </c>
      <c r="F24" s="40">
        <f t="shared" si="2"/>
        <v>36159001.380494311</v>
      </c>
    </row>
    <row r="25" spans="1:61" x14ac:dyDescent="0.25">
      <c r="A25" s="39">
        <v>43131</v>
      </c>
      <c r="B25" s="39"/>
      <c r="C25" s="40">
        <f t="shared" si="0"/>
        <v>45517704.079999976</v>
      </c>
      <c r="D25" s="40">
        <f>-$D$7/12+D24</f>
        <v>-1624149.732133412</v>
      </c>
      <c r="E25" s="42">
        <f t="shared" ref="E25:E34" si="4">-(($C$34*$B$34-$G$34)*$E$7)/12+E24</f>
        <v>-7837971.9787450768</v>
      </c>
      <c r="F25" s="40">
        <f t="shared" si="2"/>
        <v>36055582.369121492</v>
      </c>
    </row>
    <row r="26" spans="1:61" x14ac:dyDescent="0.25">
      <c r="A26" s="39">
        <v>43159</v>
      </c>
      <c r="B26" s="39"/>
      <c r="C26" s="40">
        <f t="shared" si="0"/>
        <v>45517704.079999976</v>
      </c>
      <c r="D26" s="40">
        <f t="shared" ref="D26:D35" si="5">-$D$7/12+D25</f>
        <v>-1719008.1247623684</v>
      </c>
      <c r="E26" s="42">
        <f t="shared" si="4"/>
        <v>-7846532.5974889491</v>
      </c>
      <c r="F26" s="40">
        <f t="shared" si="2"/>
        <v>35952163.357748657</v>
      </c>
    </row>
    <row r="27" spans="1:61" x14ac:dyDescent="0.25">
      <c r="A27" s="39">
        <v>43190</v>
      </c>
      <c r="B27" s="39"/>
      <c r="C27" s="40">
        <f t="shared" si="0"/>
        <v>45517704.079999976</v>
      </c>
      <c r="D27" s="40">
        <f t="shared" si="5"/>
        <v>-1813866.5173913247</v>
      </c>
      <c r="E27" s="42">
        <f t="shared" si="4"/>
        <v>-7855093.2162328213</v>
      </c>
      <c r="F27" s="40">
        <f t="shared" si="2"/>
        <v>35848744.34637583</v>
      </c>
      <c r="G27" s="41"/>
    </row>
    <row r="28" spans="1:61" x14ac:dyDescent="0.25">
      <c r="A28" s="39">
        <v>43220</v>
      </c>
      <c r="B28" s="39"/>
      <c r="C28" s="40">
        <f t="shared" si="0"/>
        <v>45517704.079999976</v>
      </c>
      <c r="D28" s="40">
        <f t="shared" si="5"/>
        <v>-1908724.9100202811</v>
      </c>
      <c r="E28" s="42">
        <f t="shared" si="4"/>
        <v>-7863653.8349766936</v>
      </c>
      <c r="F28" s="40">
        <f t="shared" si="2"/>
        <v>35745325.335002996</v>
      </c>
    </row>
    <row r="29" spans="1:61" x14ac:dyDescent="0.25">
      <c r="A29" s="39">
        <v>43251</v>
      </c>
      <c r="B29" s="39"/>
      <c r="C29" s="40">
        <f t="shared" si="0"/>
        <v>45517704.079999976</v>
      </c>
      <c r="D29" s="40">
        <f t="shared" si="5"/>
        <v>-2003583.3026492374</v>
      </c>
      <c r="E29" s="42">
        <f t="shared" si="4"/>
        <v>-7872214.4537205659</v>
      </c>
      <c r="F29" s="40">
        <f t="shared" si="2"/>
        <v>35641906.323630169</v>
      </c>
    </row>
    <row r="30" spans="1:61" x14ac:dyDescent="0.25">
      <c r="A30" s="39">
        <v>43281</v>
      </c>
      <c r="B30" s="39"/>
      <c r="C30" s="40">
        <f t="shared" si="0"/>
        <v>45517704.079999976</v>
      </c>
      <c r="D30" s="40">
        <f t="shared" si="5"/>
        <v>-2098441.6952781938</v>
      </c>
      <c r="E30" s="42">
        <f t="shared" si="4"/>
        <v>-7880775.0724644382</v>
      </c>
      <c r="F30" s="40">
        <f t="shared" si="2"/>
        <v>35538487.312257349</v>
      </c>
      <c r="G30" s="41">
        <f>-(D30-D18)</f>
        <v>1215713.7279701941</v>
      </c>
    </row>
    <row r="31" spans="1:61" x14ac:dyDescent="0.25">
      <c r="A31" s="39">
        <v>43312</v>
      </c>
      <c r="B31" s="39"/>
      <c r="C31" s="40">
        <f t="shared" si="0"/>
        <v>45517704.079999976</v>
      </c>
      <c r="D31" s="40">
        <f t="shared" si="5"/>
        <v>-2193300.0879071499</v>
      </c>
      <c r="E31" s="42">
        <f t="shared" si="4"/>
        <v>-7889335.6912083104</v>
      </c>
      <c r="F31" s="40">
        <f t="shared" si="2"/>
        <v>35435068.300884515</v>
      </c>
    </row>
    <row r="32" spans="1:61" x14ac:dyDescent="0.25">
      <c r="A32" s="39">
        <v>43343</v>
      </c>
      <c r="B32" s="39"/>
      <c r="C32" s="40">
        <f t="shared" si="0"/>
        <v>45517704.079999976</v>
      </c>
      <c r="D32" s="40">
        <f t="shared" si="5"/>
        <v>-2288158.480536106</v>
      </c>
      <c r="E32" s="42">
        <f t="shared" si="4"/>
        <v>-7897896.3099521827</v>
      </c>
      <c r="F32" s="40">
        <f t="shared" si="2"/>
        <v>35331649.289511688</v>
      </c>
    </row>
    <row r="33" spans="1:9" x14ac:dyDescent="0.25">
      <c r="A33" s="39">
        <v>43373</v>
      </c>
      <c r="B33" s="39"/>
      <c r="C33" s="40">
        <f t="shared" si="0"/>
        <v>45517704.079999976</v>
      </c>
      <c r="D33" s="40">
        <f t="shared" si="5"/>
        <v>-2383016.8731650622</v>
      </c>
      <c r="E33" s="42">
        <f t="shared" si="4"/>
        <v>-7906456.928696055</v>
      </c>
      <c r="F33" s="40">
        <f t="shared" si="2"/>
        <v>35228230.278138861</v>
      </c>
      <c r="G33" s="40"/>
      <c r="H33" s="134"/>
      <c r="I33" s="134"/>
    </row>
    <row r="34" spans="1:9" s="236" customFormat="1" x14ac:dyDescent="0.25">
      <c r="A34" s="231">
        <v>43404</v>
      </c>
      <c r="B34" s="232">
        <f>'20MACRs'!C6</f>
        <v>3.6095000000000002E-2</v>
      </c>
      <c r="C34" s="233">
        <f t="shared" si="0"/>
        <v>45517704.079999976</v>
      </c>
      <c r="D34" s="233">
        <f t="shared" si="5"/>
        <v>-2477875.2657940183</v>
      </c>
      <c r="E34" s="234">
        <f t="shared" si="4"/>
        <v>-7915017.5474399272</v>
      </c>
      <c r="F34" s="233">
        <f t="shared" si="2"/>
        <v>35124811.266766034</v>
      </c>
      <c r="G34" s="233">
        <f>-(D34-D22)</f>
        <v>1153783.3148320189</v>
      </c>
      <c r="H34" s="233">
        <f>-(E34-E22)</f>
        <v>114141.58325163089</v>
      </c>
      <c r="I34" s="235"/>
    </row>
    <row r="35" spans="1:9" x14ac:dyDescent="0.25">
      <c r="A35" s="39">
        <v>43434</v>
      </c>
      <c r="B35" s="39"/>
      <c r="C35" s="41">
        <f t="shared" si="0"/>
        <v>45517704.079999976</v>
      </c>
      <c r="D35" s="41">
        <f t="shared" si="5"/>
        <v>-2572733.6584229744</v>
      </c>
      <c r="E35" s="154">
        <f>-(($C$34*$B$46-$D$7)*$E$7)/12+E34</f>
        <v>-7921690.4346252857</v>
      </c>
      <c r="F35" s="41">
        <f t="shared" ref="F35:F36" si="6">SUM(C35:E35)</f>
        <v>35023279.986951716</v>
      </c>
      <c r="G35" s="40"/>
    </row>
    <row r="36" spans="1:9" x14ac:dyDescent="0.25">
      <c r="A36" s="39">
        <v>43465</v>
      </c>
      <c r="C36" s="41">
        <f t="shared" si="0"/>
        <v>45517704.079999976</v>
      </c>
      <c r="D36" s="41">
        <f>-$D$7/12+D35</f>
        <v>-2667592.0510519305</v>
      </c>
      <c r="E36" s="154">
        <f t="shared" ref="E36:E46" si="7">-(($C$34*$B$46-$D$7)*$E$7)/12+E35</f>
        <v>-7928363.3218106441</v>
      </c>
      <c r="F36" s="41">
        <f t="shared" si="6"/>
        <v>34921748.707137406</v>
      </c>
      <c r="G36" s="41">
        <f>-(D36-D24)</f>
        <v>1138300.7115474748</v>
      </c>
      <c r="H36" s="41">
        <f>-(E36-E24)</f>
        <v>98951.961809439585</v>
      </c>
    </row>
    <row r="37" spans="1:9" x14ac:dyDescent="0.25">
      <c r="A37" s="39">
        <v>43496</v>
      </c>
      <c r="B37" s="39"/>
      <c r="C37" s="41">
        <f t="shared" si="0"/>
        <v>45517704.079999976</v>
      </c>
      <c r="D37" s="41">
        <f t="shared" ref="D37:D64" si="8">-$D$7/12+D36</f>
        <v>-2762450.4436808866</v>
      </c>
      <c r="E37" s="154">
        <f t="shared" si="7"/>
        <v>-7935036.2089960026</v>
      </c>
      <c r="F37" s="41">
        <f t="shared" ref="F37:F64" si="9">SUM(C37:E37)</f>
        <v>34820217.427323081</v>
      </c>
      <c r="G37" s="40"/>
      <c r="H37" s="151"/>
    </row>
    <row r="38" spans="1:9" x14ac:dyDescent="0.25">
      <c r="A38" s="37">
        <v>43524</v>
      </c>
      <c r="B38" s="39"/>
      <c r="C38" s="41">
        <f t="shared" si="0"/>
        <v>45517704.079999976</v>
      </c>
      <c r="D38" s="41">
        <f t="shared" si="8"/>
        <v>-2857308.8363098428</v>
      </c>
      <c r="E38" s="154">
        <f t="shared" si="7"/>
        <v>-7941709.096181361</v>
      </c>
      <c r="F38" s="41">
        <f t="shared" si="9"/>
        <v>34718686.14750877</v>
      </c>
      <c r="G38" s="40"/>
    </row>
    <row r="39" spans="1:9" x14ac:dyDescent="0.25">
      <c r="A39" s="39">
        <v>43555</v>
      </c>
      <c r="B39" s="39"/>
      <c r="C39" s="41">
        <f t="shared" si="0"/>
        <v>45517704.079999976</v>
      </c>
      <c r="D39" s="41">
        <f t="shared" si="8"/>
        <v>-2952167.2289387989</v>
      </c>
      <c r="E39" s="154">
        <f t="shared" si="7"/>
        <v>-7948381.9833667194</v>
      </c>
      <c r="F39" s="41">
        <f t="shared" si="9"/>
        <v>34617154.86769446</v>
      </c>
      <c r="G39" s="40"/>
    </row>
    <row r="40" spans="1:9" x14ac:dyDescent="0.25">
      <c r="A40" s="39">
        <v>43585</v>
      </c>
      <c r="B40" s="39"/>
      <c r="C40" s="41">
        <f t="shared" si="0"/>
        <v>45517704.079999976</v>
      </c>
      <c r="D40" s="41">
        <f t="shared" si="8"/>
        <v>-3047025.621567755</v>
      </c>
      <c r="E40" s="154">
        <f t="shared" si="7"/>
        <v>-7955054.8705520779</v>
      </c>
      <c r="F40" s="41">
        <f t="shared" si="9"/>
        <v>34515623.587880142</v>
      </c>
      <c r="G40" s="40"/>
    </row>
    <row r="41" spans="1:9" x14ac:dyDescent="0.25">
      <c r="A41" s="39">
        <v>43616</v>
      </c>
      <c r="B41" s="39"/>
      <c r="C41" s="41">
        <f t="shared" si="0"/>
        <v>45517704.079999976</v>
      </c>
      <c r="D41" s="41">
        <f t="shared" si="8"/>
        <v>-3141884.0141967111</v>
      </c>
      <c r="E41" s="154">
        <f t="shared" si="7"/>
        <v>-7961727.7577374363</v>
      </c>
      <c r="F41" s="41">
        <f t="shared" si="9"/>
        <v>34414092.308065832</v>
      </c>
      <c r="G41" s="40"/>
    </row>
    <row r="42" spans="1:9" x14ac:dyDescent="0.25">
      <c r="A42" s="37">
        <v>43646</v>
      </c>
      <c r="B42" s="39"/>
      <c r="C42" s="41">
        <f t="shared" si="0"/>
        <v>45517704.079999976</v>
      </c>
      <c r="D42" s="41">
        <f t="shared" si="8"/>
        <v>-3236742.4068256672</v>
      </c>
      <c r="E42" s="154">
        <f t="shared" si="7"/>
        <v>-7968400.6449227948</v>
      </c>
      <c r="F42" s="41">
        <f t="shared" si="9"/>
        <v>34312561.028251514</v>
      </c>
      <c r="G42" s="40"/>
    </row>
    <row r="43" spans="1:9" x14ac:dyDescent="0.25">
      <c r="A43" s="39">
        <v>43677</v>
      </c>
      <c r="B43" s="39"/>
      <c r="C43" s="41">
        <f t="shared" si="0"/>
        <v>45517704.079999976</v>
      </c>
      <c r="D43" s="41">
        <f t="shared" si="8"/>
        <v>-3331600.7994546234</v>
      </c>
      <c r="E43" s="154">
        <f t="shared" si="7"/>
        <v>-7975073.5321081532</v>
      </c>
      <c r="F43" s="41">
        <f t="shared" si="9"/>
        <v>34211029.748437203</v>
      </c>
      <c r="G43" s="40"/>
    </row>
    <row r="44" spans="1:9" x14ac:dyDescent="0.25">
      <c r="A44" s="39">
        <v>43708</v>
      </c>
      <c r="B44" s="39"/>
      <c r="C44" s="41">
        <f t="shared" si="0"/>
        <v>45517704.079999976</v>
      </c>
      <c r="D44" s="41">
        <f t="shared" si="8"/>
        <v>-3426459.1920835795</v>
      </c>
      <c r="E44" s="154">
        <f t="shared" si="7"/>
        <v>-7981746.4192935117</v>
      </c>
      <c r="F44" s="41">
        <f t="shared" si="9"/>
        <v>34109498.468622878</v>
      </c>
      <c r="G44" s="40"/>
    </row>
    <row r="45" spans="1:9" x14ac:dyDescent="0.25">
      <c r="A45" s="39">
        <v>43738</v>
      </c>
      <c r="B45" s="39"/>
      <c r="C45" s="41">
        <f t="shared" si="0"/>
        <v>45517704.079999976</v>
      </c>
      <c r="D45" s="41">
        <f t="shared" si="8"/>
        <v>-3521317.5847125356</v>
      </c>
      <c r="E45" s="154">
        <f t="shared" si="7"/>
        <v>-7988419.3064788701</v>
      </c>
      <c r="F45" s="41">
        <f t="shared" si="9"/>
        <v>34007967.188808568</v>
      </c>
      <c r="G45" s="40"/>
    </row>
    <row r="46" spans="1:9" x14ac:dyDescent="0.25">
      <c r="A46" s="37">
        <v>43769</v>
      </c>
      <c r="B46" s="107">
        <f>'20MACRs'!D6</f>
        <v>3.3384999999999998E-2</v>
      </c>
      <c r="C46" s="41">
        <f t="shared" si="0"/>
        <v>45517704.079999976</v>
      </c>
      <c r="D46" s="41">
        <f t="shared" si="8"/>
        <v>-3616175.9773414917</v>
      </c>
      <c r="E46" s="154">
        <f t="shared" si="7"/>
        <v>-7995092.1936642285</v>
      </c>
      <c r="F46" s="41">
        <f t="shared" si="9"/>
        <v>33906435.90899425</v>
      </c>
      <c r="G46" s="40"/>
    </row>
    <row r="47" spans="1:9" x14ac:dyDescent="0.25">
      <c r="A47" s="39">
        <v>43799</v>
      </c>
      <c r="B47" s="39"/>
      <c r="C47" s="41">
        <f t="shared" si="0"/>
        <v>45517704.079999976</v>
      </c>
      <c r="D47" s="41">
        <f t="shared" si="8"/>
        <v>-3711034.3699704478</v>
      </c>
      <c r="E47" s="154">
        <f>-(($C$34*$B$58-$D$7)*$E$7)/12+E46</f>
        <v>-7999773.6812960869</v>
      </c>
      <c r="F47" s="41">
        <f t="shared" si="9"/>
        <v>33806896.02873344</v>
      </c>
      <c r="G47" s="40"/>
    </row>
    <row r="48" spans="1:9" x14ac:dyDescent="0.25">
      <c r="A48" s="39">
        <v>43830</v>
      </c>
      <c r="B48" s="39"/>
      <c r="C48" s="41">
        <f t="shared" si="0"/>
        <v>45517704.079999976</v>
      </c>
      <c r="D48" s="41">
        <f t="shared" si="8"/>
        <v>-3805892.762599404</v>
      </c>
      <c r="E48" s="154">
        <f t="shared" ref="E48:E58" si="10">-(($C$34*$B$58-$D$7)*$E$7)/12+E47</f>
        <v>-8004455.1689279452</v>
      </c>
      <c r="F48" s="41">
        <f t="shared" si="9"/>
        <v>33707356.148472629</v>
      </c>
      <c r="G48" s="40"/>
    </row>
    <row r="49" spans="1:9" x14ac:dyDescent="0.25">
      <c r="A49" s="39">
        <v>43861</v>
      </c>
      <c r="B49" s="39"/>
      <c r="C49" s="41">
        <f t="shared" si="0"/>
        <v>45517704.079999976</v>
      </c>
      <c r="D49" s="41">
        <f t="shared" si="8"/>
        <v>-3900751.1552283601</v>
      </c>
      <c r="E49" s="154">
        <f t="shared" si="10"/>
        <v>-8009136.6565598035</v>
      </c>
      <c r="F49" s="41">
        <f t="shared" si="9"/>
        <v>33607816.268211812</v>
      </c>
      <c r="G49" s="40"/>
    </row>
    <row r="50" spans="1:9" x14ac:dyDescent="0.25">
      <c r="A50" s="37">
        <v>43890</v>
      </c>
      <c r="B50" s="39"/>
      <c r="C50" s="41">
        <f t="shared" si="0"/>
        <v>45517704.079999976</v>
      </c>
      <c r="D50" s="41">
        <f t="shared" si="8"/>
        <v>-3995609.5478573162</v>
      </c>
      <c r="E50" s="154">
        <f t="shared" si="10"/>
        <v>-8013818.1441916618</v>
      </c>
      <c r="F50" s="41">
        <f t="shared" si="9"/>
        <v>33508276.387951002</v>
      </c>
      <c r="G50" s="40"/>
    </row>
    <row r="51" spans="1:9" x14ac:dyDescent="0.25">
      <c r="A51" s="39">
        <v>43921</v>
      </c>
      <c r="B51" s="39"/>
      <c r="C51" s="41">
        <f t="shared" si="0"/>
        <v>45517704.079999976</v>
      </c>
      <c r="D51" s="41">
        <f t="shared" si="8"/>
        <v>-4090467.9404862723</v>
      </c>
      <c r="E51" s="154">
        <f t="shared" si="10"/>
        <v>-8018499.6318235202</v>
      </c>
      <c r="F51" s="41">
        <f t="shared" si="9"/>
        <v>33408736.50769018</v>
      </c>
      <c r="G51" s="40"/>
    </row>
    <row r="52" spans="1:9" s="163" customFormat="1" x14ac:dyDescent="0.25">
      <c r="A52" s="160">
        <v>43951</v>
      </c>
      <c r="B52" s="160"/>
      <c r="C52" s="161">
        <f t="shared" si="0"/>
        <v>45517704.079999976</v>
      </c>
      <c r="D52" s="161">
        <f t="shared" si="8"/>
        <v>-4185326.3331152285</v>
      </c>
      <c r="E52" s="154">
        <f t="shared" si="10"/>
        <v>-8023181.1194553785</v>
      </c>
      <c r="F52" s="161">
        <f t="shared" si="9"/>
        <v>33309196.62742937</v>
      </c>
      <c r="G52" s="162">
        <f>D52-D40</f>
        <v>-1138300.7115474734</v>
      </c>
    </row>
    <row r="53" spans="1:9" x14ac:dyDescent="0.25">
      <c r="A53" s="39">
        <v>43982</v>
      </c>
      <c r="B53" s="39"/>
      <c r="C53" s="41">
        <f t="shared" si="0"/>
        <v>45517704.079999976</v>
      </c>
      <c r="D53" s="41">
        <f t="shared" si="8"/>
        <v>-4280184.725744185</v>
      </c>
      <c r="E53" s="154">
        <f t="shared" si="10"/>
        <v>-8027862.6070872368</v>
      </c>
      <c r="F53" s="41">
        <f t="shared" si="9"/>
        <v>33209656.747168552</v>
      </c>
      <c r="G53" s="40"/>
    </row>
    <row r="54" spans="1:9" x14ac:dyDescent="0.25">
      <c r="A54" s="37">
        <v>44012</v>
      </c>
      <c r="B54" s="39"/>
      <c r="C54" s="41">
        <f t="shared" si="0"/>
        <v>45517704.079999976</v>
      </c>
      <c r="D54" s="41">
        <f t="shared" si="8"/>
        <v>-4375043.1183731416</v>
      </c>
      <c r="E54" s="154">
        <f t="shared" si="10"/>
        <v>-8032544.0947190952</v>
      </c>
      <c r="F54" s="41">
        <f t="shared" si="9"/>
        <v>33110116.866907738</v>
      </c>
      <c r="G54" s="40"/>
    </row>
    <row r="55" spans="1:9" x14ac:dyDescent="0.25">
      <c r="A55" s="39">
        <v>44043</v>
      </c>
      <c r="B55" s="39"/>
      <c r="C55" s="41">
        <f t="shared" si="0"/>
        <v>45517704.079999976</v>
      </c>
      <c r="D55" s="41">
        <f t="shared" si="8"/>
        <v>-4469901.5110020982</v>
      </c>
      <c r="E55" s="154">
        <f t="shared" si="10"/>
        <v>-8037225.5823509535</v>
      </c>
      <c r="F55" s="41">
        <f t="shared" si="9"/>
        <v>33010576.98664692</v>
      </c>
      <c r="G55" s="40"/>
    </row>
    <row r="56" spans="1:9" x14ac:dyDescent="0.25">
      <c r="A56" s="39">
        <v>44074</v>
      </c>
      <c r="B56" s="39"/>
      <c r="C56" s="41">
        <f t="shared" si="0"/>
        <v>45517704.079999976</v>
      </c>
      <c r="D56" s="41">
        <f t="shared" si="8"/>
        <v>-4564759.9036310548</v>
      </c>
      <c r="E56" s="154">
        <f t="shared" si="10"/>
        <v>-8041907.0699828118</v>
      </c>
      <c r="F56" s="41">
        <f t="shared" si="9"/>
        <v>32911037.10638611</v>
      </c>
      <c r="G56" s="40"/>
    </row>
    <row r="57" spans="1:9" x14ac:dyDescent="0.25">
      <c r="A57" s="39">
        <v>44104</v>
      </c>
      <c r="B57" s="39"/>
      <c r="C57" s="41">
        <f t="shared" si="0"/>
        <v>45517704.079999976</v>
      </c>
      <c r="D57" s="41">
        <f t="shared" si="8"/>
        <v>-4659618.2962600114</v>
      </c>
      <c r="E57" s="154">
        <f t="shared" si="10"/>
        <v>-8046588.5576146701</v>
      </c>
      <c r="F57" s="41">
        <f t="shared" si="9"/>
        <v>32811497.226125292</v>
      </c>
      <c r="G57" s="40"/>
    </row>
    <row r="58" spans="1:9" x14ac:dyDescent="0.25">
      <c r="A58" s="37">
        <v>44135</v>
      </c>
      <c r="B58" s="107">
        <f>'20MACRs'!E6</f>
        <v>3.0884999999999999E-2</v>
      </c>
      <c r="C58" s="41">
        <f t="shared" si="0"/>
        <v>45517704.079999976</v>
      </c>
      <c r="D58" s="41">
        <f t="shared" si="8"/>
        <v>-4754476.688888968</v>
      </c>
      <c r="E58" s="154">
        <f t="shared" si="10"/>
        <v>-8051270.0452465285</v>
      </c>
      <c r="F58" s="41">
        <f t="shared" si="9"/>
        <v>32711957.345864482</v>
      </c>
      <c r="G58" s="40"/>
    </row>
    <row r="59" spans="1:9" x14ac:dyDescent="0.25">
      <c r="A59" s="39">
        <v>44165</v>
      </c>
      <c r="B59" s="39"/>
      <c r="C59" s="41">
        <f t="shared" si="0"/>
        <v>45517704.079999976</v>
      </c>
      <c r="D59" s="41">
        <f t="shared" si="8"/>
        <v>-4849335.0815179246</v>
      </c>
      <c r="E59" s="154">
        <f>-(($C$34*$B$70-$D$7)*$E$7)/12+E58</f>
        <v>-8054103.5140927387</v>
      </c>
      <c r="F59" s="41">
        <f t="shared" si="9"/>
        <v>32614265.484389309</v>
      </c>
      <c r="G59" s="40"/>
    </row>
    <row r="60" spans="1:9" x14ac:dyDescent="0.25">
      <c r="A60" s="39">
        <v>44196</v>
      </c>
      <c r="B60" s="39"/>
      <c r="C60" s="41">
        <f t="shared" si="0"/>
        <v>45517704.079999976</v>
      </c>
      <c r="D60" s="41">
        <f t="shared" si="8"/>
        <v>-4944193.4741468811</v>
      </c>
      <c r="E60" s="154">
        <f t="shared" ref="E60:E70" si="11">-(($C$34*$B$70-$D$7)*$E$7)/12+E59</f>
        <v>-8056936.982938949</v>
      </c>
      <c r="F60" s="41">
        <f t="shared" si="9"/>
        <v>32516573.622914147</v>
      </c>
      <c r="G60" s="40"/>
    </row>
    <row r="61" spans="1:9" x14ac:dyDescent="0.25">
      <c r="A61" s="39">
        <v>44227</v>
      </c>
      <c r="B61" s="39"/>
      <c r="C61" s="41">
        <f t="shared" si="0"/>
        <v>45517704.079999976</v>
      </c>
      <c r="D61" s="41">
        <f t="shared" si="8"/>
        <v>-5039051.8667758377</v>
      </c>
      <c r="E61" s="154">
        <f t="shared" si="11"/>
        <v>-8059770.4517851593</v>
      </c>
      <c r="F61" s="41">
        <f t="shared" si="9"/>
        <v>32418881.761438977</v>
      </c>
      <c r="G61" s="40"/>
    </row>
    <row r="62" spans="1:9" x14ac:dyDescent="0.25">
      <c r="A62" s="37">
        <v>44255</v>
      </c>
      <c r="B62" s="39"/>
      <c r="C62" s="41">
        <f t="shared" si="0"/>
        <v>45517704.079999976</v>
      </c>
      <c r="D62" s="41">
        <f t="shared" si="8"/>
        <v>-5133910.2594047943</v>
      </c>
      <c r="E62" s="154">
        <f t="shared" si="11"/>
        <v>-8062603.9206313696</v>
      </c>
      <c r="F62" s="41">
        <f t="shared" si="9"/>
        <v>32321189.899963811</v>
      </c>
      <c r="G62" s="40"/>
    </row>
    <row r="63" spans="1:9" x14ac:dyDescent="0.25">
      <c r="A63" s="39">
        <v>44286</v>
      </c>
      <c r="B63" s="39"/>
      <c r="C63" s="41">
        <f t="shared" si="0"/>
        <v>45517704.079999976</v>
      </c>
      <c r="D63" s="41">
        <f t="shared" si="8"/>
        <v>-5228768.6520337509</v>
      </c>
      <c r="E63" s="154">
        <f t="shared" si="11"/>
        <v>-8065437.3894775799</v>
      </c>
      <c r="F63" s="41">
        <f t="shared" si="9"/>
        <v>32223498.038488641</v>
      </c>
      <c r="G63" s="40"/>
    </row>
    <row r="64" spans="1:9" s="163" customFormat="1" x14ac:dyDescent="0.25">
      <c r="A64" s="160">
        <v>44316</v>
      </c>
      <c r="B64" s="160"/>
      <c r="C64" s="161">
        <f t="shared" si="0"/>
        <v>45517704.079999976</v>
      </c>
      <c r="D64" s="161">
        <f t="shared" si="8"/>
        <v>-5323627.0446627075</v>
      </c>
      <c r="E64" s="154">
        <f t="shared" si="11"/>
        <v>-8068270.8583237901</v>
      </c>
      <c r="F64" s="161">
        <f t="shared" si="9"/>
        <v>32125806.177013479</v>
      </c>
      <c r="G64" s="162">
        <f>D64-D52</f>
        <v>-1138300.711547479</v>
      </c>
      <c r="H64" s="162">
        <f>E64-E52</f>
        <v>-45089.73886841163</v>
      </c>
      <c r="I64" s="163" t="s">
        <v>102</v>
      </c>
    </row>
    <row r="65" spans="1:7" x14ac:dyDescent="0.25">
      <c r="A65" s="39">
        <v>44347</v>
      </c>
      <c r="B65" s="39"/>
      <c r="C65" s="41">
        <f t="shared" si="0"/>
        <v>45517704.079999976</v>
      </c>
      <c r="D65" s="41">
        <f t="shared" ref="D65:D70" si="12">-$D$7/12+D64</f>
        <v>-5418485.4372916641</v>
      </c>
      <c r="E65" s="154">
        <f t="shared" si="11"/>
        <v>-8071104.3271700004</v>
      </c>
      <c r="F65" s="41">
        <f t="shared" ref="F65:F70" si="13">SUM(C65:E65)</f>
        <v>32028114.31553831</v>
      </c>
      <c r="G65" s="40">
        <f>-D65+D66</f>
        <v>-94858.392628956586</v>
      </c>
    </row>
    <row r="66" spans="1:7" x14ac:dyDescent="0.25">
      <c r="A66" s="37">
        <v>44377</v>
      </c>
      <c r="B66" s="39"/>
      <c r="C66" s="41">
        <f t="shared" si="0"/>
        <v>45517704.079999976</v>
      </c>
      <c r="D66" s="41">
        <f t="shared" si="12"/>
        <v>-5513343.8299206207</v>
      </c>
      <c r="E66" s="154">
        <f t="shared" si="11"/>
        <v>-8073937.7960162107</v>
      </c>
      <c r="F66" s="41">
        <f t="shared" si="13"/>
        <v>31930422.454063147</v>
      </c>
      <c r="G66" s="40"/>
    </row>
    <row r="67" spans="1:7" x14ac:dyDescent="0.25">
      <c r="A67" s="39">
        <v>44408</v>
      </c>
      <c r="B67" s="39"/>
      <c r="C67" s="41">
        <f t="shared" si="0"/>
        <v>45517704.079999976</v>
      </c>
      <c r="D67" s="41">
        <f t="shared" si="12"/>
        <v>-5608202.2225495772</v>
      </c>
      <c r="E67" s="154">
        <f t="shared" si="11"/>
        <v>-8076771.264862421</v>
      </c>
      <c r="F67" s="41">
        <f t="shared" si="13"/>
        <v>31832730.592587974</v>
      </c>
      <c r="G67" s="40"/>
    </row>
    <row r="68" spans="1:7" x14ac:dyDescent="0.25">
      <c r="A68" s="39">
        <v>44439</v>
      </c>
      <c r="B68" s="39"/>
      <c r="C68" s="41">
        <f t="shared" si="0"/>
        <v>45517704.079999976</v>
      </c>
      <c r="D68" s="41">
        <f t="shared" si="12"/>
        <v>-5703060.6151785338</v>
      </c>
      <c r="E68" s="154">
        <f t="shared" si="11"/>
        <v>-8079604.7337086312</v>
      </c>
      <c r="F68" s="41">
        <f t="shared" si="13"/>
        <v>31735038.731112812</v>
      </c>
      <c r="G68" s="40"/>
    </row>
    <row r="69" spans="1:7" x14ac:dyDescent="0.25">
      <c r="A69" s="39">
        <v>44469</v>
      </c>
      <c r="B69" s="39"/>
      <c r="C69" s="41">
        <f t="shared" si="0"/>
        <v>45517704.079999976</v>
      </c>
      <c r="D69" s="41">
        <f t="shared" si="12"/>
        <v>-5797919.0078074904</v>
      </c>
      <c r="E69" s="154">
        <f t="shared" si="11"/>
        <v>-8082438.2025548415</v>
      </c>
      <c r="F69" s="41">
        <f t="shared" si="13"/>
        <v>31637346.869637642</v>
      </c>
      <c r="G69" s="40"/>
    </row>
    <row r="70" spans="1:7" x14ac:dyDescent="0.25">
      <c r="A70" s="37">
        <v>44500</v>
      </c>
      <c r="B70" s="107">
        <f>'20MACRs'!F6</f>
        <v>2.8565E-2</v>
      </c>
      <c r="C70" s="41">
        <f t="shared" si="0"/>
        <v>45517704.079999976</v>
      </c>
      <c r="D70" s="41">
        <f t="shared" si="12"/>
        <v>-5892777.400436447</v>
      </c>
      <c r="E70" s="154">
        <f t="shared" si="11"/>
        <v>-8085271.6714010518</v>
      </c>
      <c r="F70" s="41">
        <f t="shared" si="13"/>
        <v>31539655.008162476</v>
      </c>
      <c r="G70" s="40"/>
    </row>
    <row r="71" spans="1:7" ht="15.75" thickBot="1" x14ac:dyDescent="0.3">
      <c r="A71" s="39"/>
      <c r="B71" s="39"/>
      <c r="C71" s="40"/>
      <c r="D71" s="42"/>
      <c r="F71" s="40"/>
      <c r="G71" s="40"/>
    </row>
    <row r="72" spans="1:7" ht="15.75" thickBot="1" x14ac:dyDescent="0.3">
      <c r="A72" s="39" t="s">
        <v>148</v>
      </c>
      <c r="C72" s="177">
        <f>(C24+C36+SUM(C25:C35)*2)/24</f>
        <v>45517704.079999976</v>
      </c>
      <c r="D72" s="177">
        <f t="shared" ref="D72:F72" si="14">(D24+D36+SUM(D25:D35)*2)/24</f>
        <v>-2098441.6952781938</v>
      </c>
      <c r="E72" s="177">
        <f t="shared" si="14"/>
        <v>-7880460.4505380196</v>
      </c>
      <c r="F72" s="177">
        <f t="shared" si="14"/>
        <v>35538801.934183761</v>
      </c>
      <c r="G72" s="40"/>
    </row>
    <row r="73" spans="1:7" ht="15.75" thickBot="1" x14ac:dyDescent="0.3">
      <c r="G73" s="40"/>
    </row>
    <row r="74" spans="1:7" ht="15.75" thickBot="1" x14ac:dyDescent="0.3">
      <c r="A74" s="39" t="s">
        <v>147</v>
      </c>
      <c r="C74" s="177">
        <f>(C52+C64+SUM(C53:C63)*2)/24</f>
        <v>45517704.079999976</v>
      </c>
      <c r="D74" s="177">
        <f>(D52+D64+SUM(D53:D63)*2)/24</f>
        <v>-4754476.688888968</v>
      </c>
      <c r="E74" s="177">
        <f>(E52+E64+SUM(E53:E63)*2)/24</f>
        <v>-8048498.0170680573</v>
      </c>
      <c r="F74" s="177">
        <f>(F52+F64+SUM(F53:F63)*2)/24</f>
        <v>32714729.374042947</v>
      </c>
      <c r="G74" s="40"/>
    </row>
    <row r="75" spans="1:7" x14ac:dyDescent="0.25">
      <c r="A75" s="39"/>
      <c r="B75" s="39"/>
      <c r="C75" s="40"/>
      <c r="D75" s="42"/>
      <c r="F75" s="40"/>
      <c r="G75" s="40"/>
    </row>
    <row r="76" spans="1:7" x14ac:dyDescent="0.25">
      <c r="A76" s="39"/>
      <c r="B76" s="39"/>
      <c r="C76" s="40"/>
      <c r="D76" s="42"/>
      <c r="F76" s="40"/>
      <c r="G76" s="40"/>
    </row>
    <row r="77" spans="1:7" x14ac:dyDescent="0.25">
      <c r="A77" s="39"/>
      <c r="B77" s="39"/>
      <c r="C77" s="40"/>
      <c r="D77" s="42"/>
      <c r="F77" s="40"/>
      <c r="G77" s="40"/>
    </row>
    <row r="78" spans="1:7" x14ac:dyDescent="0.25">
      <c r="A78" s="39"/>
      <c r="B78" s="39"/>
      <c r="C78" s="40"/>
      <c r="D78" s="42"/>
      <c r="F78" s="40"/>
      <c r="G78" s="40"/>
    </row>
    <row r="79" spans="1:7" x14ac:dyDescent="0.25">
      <c r="A79" s="39"/>
      <c r="B79" s="39"/>
      <c r="C79" s="40"/>
      <c r="D79" s="42"/>
      <c r="F79" s="40"/>
      <c r="G79" s="40"/>
    </row>
    <row r="80" spans="1:7" x14ac:dyDescent="0.25">
      <c r="A80" s="39"/>
      <c r="B80" s="39"/>
      <c r="C80" s="40"/>
      <c r="D80" s="42"/>
      <c r="F80" s="40"/>
      <c r="G80" s="40"/>
    </row>
    <row r="81" spans="1:7" x14ac:dyDescent="0.25">
      <c r="A81" s="39"/>
      <c r="B81" s="39"/>
      <c r="C81" s="40"/>
      <c r="D81" s="42"/>
      <c r="F81" s="40"/>
      <c r="G81" s="40"/>
    </row>
    <row r="82" spans="1:7" x14ac:dyDescent="0.25">
      <c r="A82" s="39"/>
      <c r="B82" s="39"/>
      <c r="C82" s="40"/>
      <c r="D82" s="42"/>
      <c r="F82" s="40"/>
      <c r="G82" s="40"/>
    </row>
    <row r="83" spans="1:7" x14ac:dyDescent="0.25">
      <c r="A83" s="39"/>
      <c r="B83" s="39"/>
      <c r="C83" s="40"/>
      <c r="D83" s="42"/>
      <c r="F83" s="40"/>
      <c r="G83" s="40"/>
    </row>
    <row r="84" spans="1:7" x14ac:dyDescent="0.25">
      <c r="A84" s="39"/>
      <c r="B84" s="39"/>
      <c r="C84" s="40"/>
      <c r="D84" s="42"/>
      <c r="F84" s="40"/>
      <c r="G84" s="40"/>
    </row>
    <row r="85" spans="1:7" x14ac:dyDescent="0.25">
      <c r="A85" s="39"/>
      <c r="B85" s="39"/>
      <c r="C85" s="40"/>
      <c r="D85" s="42"/>
      <c r="F85" s="40"/>
      <c r="G85" s="40"/>
    </row>
    <row r="86" spans="1:7" x14ac:dyDescent="0.25">
      <c r="A86" s="39"/>
      <c r="B86" s="39"/>
      <c r="C86" s="40"/>
      <c r="D86" s="42"/>
      <c r="F86" s="40"/>
      <c r="G86" s="40"/>
    </row>
    <row r="87" spans="1:7" x14ac:dyDescent="0.25">
      <c r="A87" s="39"/>
      <c r="B87" s="39"/>
      <c r="C87" s="40"/>
      <c r="D87" s="42"/>
      <c r="F87" s="40"/>
      <c r="G87" s="40"/>
    </row>
    <row r="88" spans="1:7" x14ac:dyDescent="0.25">
      <c r="A88" s="39"/>
      <c r="B88" s="39"/>
      <c r="C88" s="40"/>
      <c r="D88" s="42"/>
      <c r="F88" s="40"/>
      <c r="G88" s="40"/>
    </row>
    <row r="89" spans="1:7" x14ac:dyDescent="0.25">
      <c r="A89" s="39"/>
      <c r="B89" s="39"/>
      <c r="C89" s="40"/>
      <c r="D89" s="42"/>
      <c r="F89" s="40"/>
      <c r="G89" s="40"/>
    </row>
    <row r="90" spans="1:7" x14ac:dyDescent="0.25">
      <c r="A90" s="39"/>
      <c r="B90" s="39"/>
      <c r="C90" s="40"/>
      <c r="D90" s="42"/>
      <c r="F90" s="40"/>
      <c r="G90" s="40"/>
    </row>
    <row r="91" spans="1:7" x14ac:dyDescent="0.25">
      <c r="A91" s="39"/>
      <c r="B91" s="39"/>
      <c r="C91" s="40"/>
      <c r="D91" s="42"/>
      <c r="F91" s="40"/>
      <c r="G91" s="40"/>
    </row>
    <row r="92" spans="1:7" x14ac:dyDescent="0.25">
      <c r="A92" s="39"/>
      <c r="B92" s="39"/>
      <c r="C92" s="40"/>
      <c r="D92" s="42"/>
      <c r="F92" s="40"/>
      <c r="G92" s="40"/>
    </row>
    <row r="93" spans="1:7" x14ac:dyDescent="0.25">
      <c r="A93" s="39"/>
      <c r="B93" s="39"/>
      <c r="C93" s="40"/>
      <c r="D93" s="42"/>
      <c r="F93" s="40"/>
      <c r="G93" s="40"/>
    </row>
    <row r="94" spans="1:7" x14ac:dyDescent="0.25">
      <c r="A94" s="39"/>
      <c r="B94" s="39"/>
      <c r="C94" s="40"/>
      <c r="D94" s="42"/>
      <c r="F94" s="40"/>
      <c r="G94" s="40"/>
    </row>
    <row r="95" spans="1:7" x14ac:dyDescent="0.25">
      <c r="A95" s="39"/>
      <c r="B95" s="39"/>
      <c r="C95" s="40"/>
      <c r="D95" s="42"/>
      <c r="F95" s="40"/>
      <c r="G95" s="40"/>
    </row>
    <row r="96" spans="1:7" x14ac:dyDescent="0.25">
      <c r="A96" s="39"/>
      <c r="B96" s="39"/>
      <c r="C96" s="40"/>
      <c r="D96" s="42"/>
      <c r="F96" s="40"/>
      <c r="G96" s="40"/>
    </row>
    <row r="97" spans="1:7" x14ac:dyDescent="0.25">
      <c r="A97" s="39"/>
      <c r="B97" s="39"/>
      <c r="C97" s="40"/>
      <c r="D97" s="42"/>
      <c r="F97" s="40"/>
      <c r="G97" s="40"/>
    </row>
    <row r="98" spans="1:7" x14ac:dyDescent="0.25">
      <c r="A98" s="39"/>
      <c r="B98" s="39"/>
      <c r="C98" s="40"/>
      <c r="D98" s="42"/>
      <c r="F98" s="40"/>
      <c r="G98" s="40"/>
    </row>
    <row r="99" spans="1:7" x14ac:dyDescent="0.25">
      <c r="A99" s="39"/>
      <c r="B99" s="39"/>
      <c r="C99" s="40"/>
      <c r="D99" s="42"/>
      <c r="F99" s="40"/>
      <c r="G99" s="40"/>
    </row>
    <row r="100" spans="1:7" x14ac:dyDescent="0.25">
      <c r="A100" s="39"/>
      <c r="B100" s="39"/>
      <c r="C100" s="40"/>
      <c r="D100" s="42"/>
      <c r="F100" s="40"/>
      <c r="G100" s="40"/>
    </row>
    <row r="101" spans="1:7" x14ac:dyDescent="0.25">
      <c r="A101" s="39"/>
      <c r="B101" s="39"/>
      <c r="C101" s="40"/>
      <c r="D101" s="42"/>
      <c r="F101" s="40"/>
      <c r="G101" s="40"/>
    </row>
    <row r="102" spans="1:7" x14ac:dyDescent="0.25">
      <c r="A102" s="39"/>
      <c r="B102" s="39"/>
      <c r="C102" s="40"/>
      <c r="D102" s="42"/>
      <c r="F102" s="40"/>
      <c r="G102" s="40"/>
    </row>
    <row r="103" spans="1:7" x14ac:dyDescent="0.25">
      <c r="A103" s="39"/>
      <c r="B103" s="39"/>
      <c r="C103" s="40"/>
      <c r="D103" s="42"/>
      <c r="F103" s="40"/>
      <c r="G103" s="40"/>
    </row>
    <row r="104" spans="1:7" x14ac:dyDescent="0.25">
      <c r="A104" s="39"/>
      <c r="B104" s="39"/>
      <c r="C104" s="40"/>
      <c r="D104" s="42"/>
      <c r="F104" s="40"/>
      <c r="G104" s="40"/>
    </row>
    <row r="105" spans="1:7" x14ac:dyDescent="0.25">
      <c r="A105" s="39"/>
      <c r="B105" s="39"/>
      <c r="C105" s="40"/>
      <c r="D105" s="42"/>
      <c r="F105" s="40"/>
      <c r="G105" s="40"/>
    </row>
    <row r="106" spans="1:7" x14ac:dyDescent="0.25">
      <c r="A106" s="39"/>
      <c r="B106" s="39"/>
      <c r="C106" s="40"/>
      <c r="D106" s="42"/>
      <c r="F106" s="40"/>
      <c r="G106" s="40"/>
    </row>
    <row r="107" spans="1:7" x14ac:dyDescent="0.25">
      <c r="A107" s="39"/>
      <c r="B107" s="39"/>
      <c r="C107" s="40"/>
      <c r="D107" s="42"/>
      <c r="F107" s="40"/>
      <c r="G107" s="40"/>
    </row>
    <row r="108" spans="1:7" x14ac:dyDescent="0.25">
      <c r="A108" s="39"/>
      <c r="B108" s="39"/>
      <c r="C108" s="40"/>
      <c r="D108" s="42"/>
      <c r="F108" s="40"/>
      <c r="G108" s="40"/>
    </row>
    <row r="109" spans="1:7" x14ac:dyDescent="0.25">
      <c r="A109" s="39"/>
      <c r="B109" s="39"/>
      <c r="C109" s="40"/>
      <c r="D109" s="42"/>
      <c r="F109" s="40"/>
      <c r="G109" s="40"/>
    </row>
    <row r="110" spans="1:7" x14ac:dyDescent="0.25">
      <c r="A110" s="39"/>
      <c r="B110" s="39"/>
      <c r="C110" s="40"/>
      <c r="D110" s="42"/>
      <c r="F110" s="40"/>
      <c r="G110" s="40"/>
    </row>
    <row r="111" spans="1:7" x14ac:dyDescent="0.25">
      <c r="A111" s="39"/>
      <c r="B111" s="39"/>
      <c r="C111" s="40"/>
      <c r="D111" s="42"/>
      <c r="F111" s="40"/>
      <c r="G111" s="40"/>
    </row>
    <row r="112" spans="1:7" x14ac:dyDescent="0.25">
      <c r="A112" s="39"/>
      <c r="B112" s="39"/>
      <c r="C112" s="40"/>
      <c r="D112" s="42"/>
      <c r="F112" s="40"/>
      <c r="G112" s="40"/>
    </row>
    <row r="113" spans="1:7" x14ac:dyDescent="0.25">
      <c r="A113" s="39"/>
      <c r="B113" s="39"/>
      <c r="C113" s="40"/>
      <c r="D113" s="42"/>
      <c r="F113" s="40"/>
      <c r="G113" s="40"/>
    </row>
    <row r="114" spans="1:7" x14ac:dyDescent="0.25">
      <c r="A114" s="39"/>
      <c r="B114" s="39"/>
      <c r="C114" s="40"/>
      <c r="D114" s="42"/>
      <c r="F114" s="40"/>
      <c r="G114" s="40"/>
    </row>
    <row r="115" spans="1:7" x14ac:dyDescent="0.25">
      <c r="A115" s="39"/>
      <c r="B115" s="39"/>
      <c r="C115" s="40"/>
      <c r="D115" s="42"/>
      <c r="F115" s="40"/>
      <c r="G115" s="40"/>
    </row>
    <row r="116" spans="1:7" x14ac:dyDescent="0.25">
      <c r="A116" s="39"/>
      <c r="B116" s="39"/>
      <c r="C116" s="40"/>
      <c r="D116" s="42"/>
      <c r="F116" s="40"/>
      <c r="G116" s="40"/>
    </row>
    <row r="117" spans="1:7" x14ac:dyDescent="0.25">
      <c r="A117" s="39"/>
      <c r="B117" s="39"/>
      <c r="C117" s="40"/>
      <c r="D117" s="42"/>
      <c r="F117" s="40"/>
      <c r="G117" s="40"/>
    </row>
    <row r="118" spans="1:7" x14ac:dyDescent="0.25">
      <c r="A118" s="39"/>
      <c r="B118" s="39"/>
      <c r="C118" s="40"/>
      <c r="D118" s="42"/>
      <c r="F118" s="40"/>
      <c r="G118" s="40"/>
    </row>
    <row r="119" spans="1:7" x14ac:dyDescent="0.25">
      <c r="A119" s="39"/>
      <c r="B119" s="39"/>
      <c r="C119" s="40"/>
      <c r="D119" s="42"/>
      <c r="F119" s="40"/>
      <c r="G119" s="40"/>
    </row>
    <row r="120" spans="1:7" x14ac:dyDescent="0.25">
      <c r="A120" s="39"/>
      <c r="B120" s="39"/>
      <c r="C120" s="40"/>
      <c r="D120" s="42"/>
      <c r="F120" s="40"/>
      <c r="G120" s="40"/>
    </row>
    <row r="121" spans="1:7" x14ac:dyDescent="0.25">
      <c r="A121" s="39"/>
      <c r="B121" s="39"/>
      <c r="C121" s="40"/>
      <c r="D121" s="42"/>
      <c r="F121" s="40"/>
      <c r="G121" s="40"/>
    </row>
    <row r="122" spans="1:7" x14ac:dyDescent="0.25">
      <c r="A122" s="39"/>
      <c r="B122" s="39"/>
      <c r="C122" s="40"/>
      <c r="D122" s="42"/>
      <c r="F122" s="40"/>
      <c r="G122" s="40"/>
    </row>
    <row r="123" spans="1:7" x14ac:dyDescent="0.25">
      <c r="A123" s="39"/>
      <c r="B123" s="39"/>
      <c r="C123" s="40"/>
      <c r="D123" s="42"/>
      <c r="F123" s="40"/>
      <c r="G123" s="40"/>
    </row>
    <row r="124" spans="1:7" x14ac:dyDescent="0.25">
      <c r="A124" s="39"/>
      <c r="B124" s="39"/>
      <c r="C124" s="40"/>
      <c r="D124" s="42"/>
      <c r="F124" s="40"/>
      <c r="G124" s="40"/>
    </row>
    <row r="125" spans="1:7" x14ac:dyDescent="0.25">
      <c r="A125" s="39"/>
      <c r="B125" s="39"/>
      <c r="C125" s="40"/>
      <c r="D125" s="42"/>
      <c r="F125" s="40"/>
      <c r="G125" s="40"/>
    </row>
    <row r="126" spans="1:7" x14ac:dyDescent="0.25">
      <c r="A126" s="39"/>
      <c r="B126" s="39"/>
      <c r="C126" s="40"/>
      <c r="D126" s="42"/>
      <c r="F126" s="40"/>
      <c r="G126" s="40"/>
    </row>
    <row r="127" spans="1:7" x14ac:dyDescent="0.25">
      <c r="A127" s="39"/>
      <c r="B127" s="39"/>
      <c r="C127" s="40"/>
      <c r="D127" s="42"/>
      <c r="F127" s="40"/>
      <c r="G127" s="40"/>
    </row>
    <row r="128" spans="1:7" x14ac:dyDescent="0.25">
      <c r="A128" s="39"/>
      <c r="B128" s="39"/>
      <c r="C128" s="40"/>
      <c r="D128" s="42"/>
      <c r="F128" s="40"/>
      <c r="G128" s="40"/>
    </row>
    <row r="129" spans="1:7" x14ac:dyDescent="0.25">
      <c r="A129" s="39"/>
      <c r="B129" s="39"/>
      <c r="C129" s="40"/>
      <c r="D129" s="42"/>
      <c r="F129" s="40"/>
      <c r="G129" s="40"/>
    </row>
    <row r="130" spans="1:7" x14ac:dyDescent="0.25">
      <c r="A130" s="39"/>
      <c r="B130" s="39"/>
      <c r="C130" s="40"/>
      <c r="D130" s="42"/>
      <c r="F130" s="40"/>
      <c r="G130" s="40"/>
    </row>
    <row r="131" spans="1:7" x14ac:dyDescent="0.25">
      <c r="A131" s="39"/>
      <c r="B131" s="39"/>
      <c r="C131" s="40"/>
      <c r="D131" s="42"/>
      <c r="F131" s="40"/>
      <c r="G131" s="40"/>
    </row>
    <row r="132" spans="1:7" x14ac:dyDescent="0.25">
      <c r="A132" s="39"/>
      <c r="B132" s="39"/>
      <c r="C132" s="40"/>
      <c r="D132" s="42"/>
      <c r="F132" s="40"/>
      <c r="G132" s="40"/>
    </row>
    <row r="133" spans="1:7" x14ac:dyDescent="0.25">
      <c r="A133" s="39"/>
      <c r="B133" s="39"/>
      <c r="C133" s="40"/>
      <c r="D133" s="42"/>
      <c r="F133" s="40"/>
      <c r="G133" s="40"/>
    </row>
    <row r="134" spans="1:7" x14ac:dyDescent="0.25">
      <c r="A134" s="39"/>
      <c r="B134" s="39"/>
      <c r="C134" s="40"/>
      <c r="D134" s="42"/>
      <c r="F134" s="40"/>
      <c r="G134" s="40"/>
    </row>
    <row r="135" spans="1:7" x14ac:dyDescent="0.25">
      <c r="A135" s="39"/>
      <c r="B135" s="39"/>
      <c r="C135" s="40"/>
      <c r="D135" s="42"/>
      <c r="F135" s="40"/>
      <c r="G135" s="40"/>
    </row>
    <row r="136" spans="1:7" x14ac:dyDescent="0.25">
      <c r="A136" s="39"/>
      <c r="B136" s="39"/>
      <c r="C136" s="40"/>
      <c r="D136" s="42"/>
      <c r="F136" s="40"/>
      <c r="G136" s="40"/>
    </row>
    <row r="137" spans="1:7" x14ac:dyDescent="0.25">
      <c r="A137" s="39"/>
      <c r="B137" s="39"/>
      <c r="C137" s="40"/>
      <c r="D137" s="42"/>
      <c r="F137" s="40"/>
      <c r="G137" s="40"/>
    </row>
    <row r="138" spans="1:7" x14ac:dyDescent="0.25">
      <c r="A138" s="39"/>
      <c r="B138" s="39"/>
      <c r="C138" s="40"/>
      <c r="D138" s="42"/>
      <c r="F138" s="40"/>
      <c r="G138" s="40"/>
    </row>
    <row r="139" spans="1:7" x14ac:dyDescent="0.25">
      <c r="A139" s="39"/>
      <c r="B139" s="39"/>
      <c r="C139" s="40"/>
      <c r="D139" s="42"/>
      <c r="F139" s="40"/>
      <c r="G139" s="40"/>
    </row>
    <row r="140" spans="1:7" x14ac:dyDescent="0.25">
      <c r="A140" s="39"/>
      <c r="B140" s="39"/>
      <c r="C140" s="40"/>
      <c r="D140" s="42"/>
      <c r="F140" s="40"/>
      <c r="G140" s="40"/>
    </row>
    <row r="141" spans="1:7" x14ac:dyDescent="0.25">
      <c r="A141" s="39"/>
      <c r="B141" s="39"/>
      <c r="C141" s="40"/>
      <c r="D141" s="42"/>
      <c r="F141" s="40"/>
      <c r="G141" s="40"/>
    </row>
    <row r="142" spans="1:7" x14ac:dyDescent="0.25">
      <c r="A142" s="39"/>
      <c r="B142" s="39"/>
      <c r="C142" s="40"/>
      <c r="D142" s="42"/>
      <c r="F142" s="40"/>
      <c r="G142" s="40"/>
    </row>
    <row r="143" spans="1:7" x14ac:dyDescent="0.25">
      <c r="A143" s="39"/>
      <c r="B143" s="39"/>
      <c r="C143" s="40"/>
      <c r="D143" s="42"/>
      <c r="F143" s="40"/>
      <c r="G143" s="40"/>
    </row>
    <row r="144" spans="1:7" x14ac:dyDescent="0.25">
      <c r="A144" s="39"/>
      <c r="B144" s="39"/>
      <c r="C144" s="40"/>
      <c r="D144" s="42"/>
      <c r="F144" s="40"/>
      <c r="G144" s="40"/>
    </row>
    <row r="145" spans="1:7" x14ac:dyDescent="0.25">
      <c r="A145" s="39"/>
      <c r="B145" s="39"/>
      <c r="C145" s="40"/>
      <c r="D145" s="42"/>
      <c r="F145" s="40"/>
      <c r="G145" s="40"/>
    </row>
    <row r="146" spans="1:7" x14ac:dyDescent="0.25">
      <c r="A146" s="39"/>
      <c r="B146" s="39"/>
      <c r="C146" s="40"/>
      <c r="D146" s="42"/>
      <c r="F146" s="40"/>
      <c r="G146" s="40"/>
    </row>
    <row r="147" spans="1:7" x14ac:dyDescent="0.25">
      <c r="A147" s="39"/>
      <c r="B147" s="39"/>
      <c r="C147" s="40"/>
      <c r="D147" s="42"/>
      <c r="F147" s="40"/>
      <c r="G147" s="40"/>
    </row>
    <row r="148" spans="1:7" x14ac:dyDescent="0.25">
      <c r="A148" s="39"/>
      <c r="B148" s="39"/>
      <c r="C148" s="40"/>
      <c r="D148" s="42"/>
      <c r="F148" s="40"/>
      <c r="G148" s="40"/>
    </row>
    <row r="149" spans="1:7" x14ac:dyDescent="0.25">
      <c r="A149" s="39"/>
      <c r="B149" s="39"/>
      <c r="C149" s="40"/>
      <c r="D149" s="42"/>
      <c r="F149" s="40"/>
      <c r="G149" s="40"/>
    </row>
    <row r="150" spans="1:7" x14ac:dyDescent="0.25">
      <c r="A150" s="39"/>
      <c r="B150" s="39"/>
      <c r="C150" s="40"/>
      <c r="D150" s="42"/>
      <c r="F150" s="40"/>
      <c r="G150" s="40"/>
    </row>
    <row r="151" spans="1:7" x14ac:dyDescent="0.25">
      <c r="A151" s="39"/>
      <c r="B151" s="39"/>
      <c r="C151" s="40"/>
      <c r="D151" s="42"/>
      <c r="F151" s="40"/>
      <c r="G151" s="40"/>
    </row>
    <row r="152" spans="1:7" x14ac:dyDescent="0.25">
      <c r="A152" s="39"/>
      <c r="B152" s="39"/>
      <c r="C152" s="40"/>
      <c r="D152" s="42"/>
      <c r="F152" s="40"/>
      <c r="G152" s="40"/>
    </row>
    <row r="153" spans="1:7" x14ac:dyDescent="0.25">
      <c r="A153" s="39"/>
      <c r="B153" s="39"/>
      <c r="C153" s="40"/>
      <c r="D153" s="42"/>
      <c r="F153" s="40"/>
      <c r="G153" s="40"/>
    </row>
    <row r="154" spans="1:7" x14ac:dyDescent="0.25">
      <c r="A154" s="39"/>
      <c r="B154" s="39"/>
      <c r="C154" s="40"/>
      <c r="D154" s="42"/>
      <c r="F154" s="40"/>
      <c r="G154" s="40"/>
    </row>
    <row r="155" spans="1:7" x14ac:dyDescent="0.25">
      <c r="A155" s="39"/>
      <c r="B155" s="39"/>
      <c r="C155" s="40"/>
      <c r="D155" s="42"/>
      <c r="F155" s="40"/>
      <c r="G155" s="40"/>
    </row>
    <row r="156" spans="1:7" x14ac:dyDescent="0.25">
      <c r="A156" s="39"/>
      <c r="B156" s="39"/>
      <c r="C156" s="40"/>
      <c r="D156" s="42"/>
      <c r="F156" s="40"/>
      <c r="G156" s="40"/>
    </row>
    <row r="157" spans="1:7" x14ac:dyDescent="0.25">
      <c r="A157" s="39"/>
      <c r="B157" s="39"/>
      <c r="C157" s="40"/>
      <c r="D157" s="42"/>
      <c r="F157" s="40"/>
      <c r="G157" s="40"/>
    </row>
    <row r="158" spans="1:7" x14ac:dyDescent="0.25">
      <c r="A158" s="39"/>
      <c r="B158" s="39"/>
      <c r="C158" s="40"/>
      <c r="D158" s="42"/>
      <c r="F158" s="40"/>
      <c r="G158" s="40"/>
    </row>
    <row r="159" spans="1:7" x14ac:dyDescent="0.25">
      <c r="A159" s="39"/>
      <c r="B159" s="39"/>
      <c r="C159" s="40"/>
      <c r="D159" s="42"/>
      <c r="F159" s="40"/>
      <c r="G159" s="40"/>
    </row>
    <row r="160" spans="1:7" x14ac:dyDescent="0.25">
      <c r="A160" s="39"/>
      <c r="B160" s="39"/>
      <c r="C160" s="40"/>
      <c r="D160" s="42"/>
      <c r="F160" s="40"/>
      <c r="G160" s="40"/>
    </row>
    <row r="161" spans="1:7" x14ac:dyDescent="0.25">
      <c r="A161" s="39"/>
      <c r="B161" s="39"/>
      <c r="C161" s="40"/>
      <c r="D161" s="42"/>
      <c r="F161" s="40"/>
      <c r="G161" s="40"/>
    </row>
    <row r="162" spans="1:7" x14ac:dyDescent="0.25">
      <c r="A162" s="39"/>
      <c r="B162" s="39"/>
      <c r="C162" s="40"/>
      <c r="D162" s="42"/>
      <c r="F162" s="40"/>
      <c r="G162" s="40"/>
    </row>
    <row r="163" spans="1:7" x14ac:dyDescent="0.25">
      <c r="A163" s="39"/>
      <c r="B163" s="39"/>
      <c r="C163" s="40"/>
      <c r="D163" s="42"/>
      <c r="F163" s="40"/>
      <c r="G163" s="40"/>
    </row>
    <row r="164" spans="1:7" x14ac:dyDescent="0.25">
      <c r="A164" s="39"/>
      <c r="B164" s="39"/>
      <c r="C164" s="40"/>
      <c r="D164" s="42"/>
      <c r="F164" s="40"/>
      <c r="G164" s="40"/>
    </row>
    <row r="165" spans="1:7" x14ac:dyDescent="0.25">
      <c r="A165" s="39"/>
      <c r="B165" s="39"/>
      <c r="C165" s="40"/>
      <c r="D165" s="42"/>
      <c r="F165" s="40"/>
      <c r="G165" s="40"/>
    </row>
    <row r="166" spans="1:7" x14ac:dyDescent="0.25">
      <c r="A166" s="39"/>
      <c r="B166" s="39"/>
      <c r="C166" s="40"/>
      <c r="D166" s="42"/>
      <c r="F166" s="40"/>
      <c r="G166" s="40"/>
    </row>
    <row r="167" spans="1:7" x14ac:dyDescent="0.25">
      <c r="A167" s="39"/>
      <c r="B167" s="39"/>
      <c r="C167" s="40"/>
      <c r="D167" s="42"/>
      <c r="F167" s="40"/>
      <c r="G167" s="40"/>
    </row>
    <row r="168" spans="1:7" x14ac:dyDescent="0.25">
      <c r="A168" s="39"/>
      <c r="B168" s="39"/>
      <c r="C168" s="40"/>
      <c r="D168" s="42"/>
      <c r="F168" s="40"/>
      <c r="G168" s="40"/>
    </row>
    <row r="169" spans="1:7" x14ac:dyDescent="0.25">
      <c r="A169" s="39"/>
      <c r="B169" s="39"/>
      <c r="C169" s="40"/>
      <c r="D169" s="42"/>
      <c r="F169" s="40"/>
      <c r="G169" s="40"/>
    </row>
    <row r="170" spans="1:7" x14ac:dyDescent="0.25">
      <c r="A170" s="39"/>
      <c r="B170" s="39"/>
      <c r="C170" s="40"/>
      <c r="D170" s="42"/>
      <c r="F170" s="40"/>
      <c r="G170" s="40"/>
    </row>
    <row r="171" spans="1:7" x14ac:dyDescent="0.25">
      <c r="A171" s="39"/>
      <c r="B171" s="39"/>
      <c r="C171" s="40"/>
      <c r="D171" s="42"/>
      <c r="F171" s="40"/>
      <c r="G171" s="40"/>
    </row>
    <row r="172" spans="1:7" x14ac:dyDescent="0.25">
      <c r="A172" s="39"/>
      <c r="B172" s="39"/>
      <c r="C172" s="40"/>
      <c r="D172" s="42"/>
      <c r="F172" s="40"/>
      <c r="G172" s="40"/>
    </row>
    <row r="173" spans="1:7" x14ac:dyDescent="0.25">
      <c r="A173" s="39"/>
      <c r="B173" s="39"/>
      <c r="C173" s="40"/>
      <c r="D173" s="42"/>
      <c r="F173" s="40"/>
      <c r="G173" s="40"/>
    </row>
    <row r="174" spans="1:7" x14ac:dyDescent="0.25">
      <c r="A174" s="39"/>
      <c r="B174" s="39"/>
      <c r="C174" s="40"/>
      <c r="D174" s="42"/>
      <c r="F174" s="40"/>
      <c r="G174" s="40"/>
    </row>
    <row r="175" spans="1:7" x14ac:dyDescent="0.25">
      <c r="A175" s="39"/>
      <c r="B175" s="39"/>
      <c r="C175" s="40"/>
      <c r="D175" s="42"/>
      <c r="F175" s="40"/>
      <c r="G175" s="40"/>
    </row>
    <row r="176" spans="1:7" x14ac:dyDescent="0.25">
      <c r="A176" s="39"/>
      <c r="B176" s="39"/>
      <c r="C176" s="40"/>
      <c r="D176" s="42"/>
      <c r="F176" s="40"/>
      <c r="G176" s="40"/>
    </row>
    <row r="177" spans="1:7" x14ac:dyDescent="0.25">
      <c r="A177" s="39"/>
      <c r="B177" s="39"/>
      <c r="C177" s="40"/>
      <c r="D177" s="42"/>
      <c r="F177" s="40"/>
      <c r="G177" s="40"/>
    </row>
    <row r="178" spans="1:7" x14ac:dyDescent="0.25">
      <c r="A178" s="39"/>
      <c r="B178" s="39"/>
      <c r="C178" s="40"/>
      <c r="D178" s="42"/>
      <c r="F178" s="40"/>
      <c r="G178" s="40"/>
    </row>
    <row r="179" spans="1:7" x14ac:dyDescent="0.25">
      <c r="A179" s="39"/>
      <c r="B179" s="39"/>
      <c r="C179" s="40"/>
      <c r="D179" s="42"/>
      <c r="F179" s="40"/>
      <c r="G179" s="40"/>
    </row>
    <row r="180" spans="1:7" x14ac:dyDescent="0.25">
      <c r="A180" s="39"/>
      <c r="B180" s="39"/>
      <c r="C180" s="40"/>
      <c r="D180" s="42"/>
      <c r="F180" s="40"/>
      <c r="G180" s="40"/>
    </row>
    <row r="181" spans="1:7" x14ac:dyDescent="0.25">
      <c r="A181" s="39"/>
      <c r="B181" s="39"/>
      <c r="C181" s="40"/>
      <c r="D181" s="42"/>
      <c r="F181" s="40"/>
      <c r="G181" s="40"/>
    </row>
    <row r="182" spans="1:7" x14ac:dyDescent="0.25">
      <c r="A182" s="39"/>
      <c r="B182" s="39"/>
      <c r="C182" s="40"/>
      <c r="D182" s="42"/>
      <c r="F182" s="40"/>
      <c r="G182" s="40"/>
    </row>
    <row r="183" spans="1:7" x14ac:dyDescent="0.25">
      <c r="A183" s="39"/>
      <c r="B183" s="39"/>
      <c r="C183" s="40"/>
      <c r="D183" s="42"/>
      <c r="F183" s="40"/>
      <c r="G183" s="40"/>
    </row>
    <row r="184" spans="1:7" x14ac:dyDescent="0.25">
      <c r="A184" s="39"/>
      <c r="B184" s="39"/>
      <c r="C184" s="40"/>
      <c r="D184" s="42"/>
      <c r="F184" s="40"/>
      <c r="G184" s="40"/>
    </row>
    <row r="185" spans="1:7" x14ac:dyDescent="0.25">
      <c r="A185" s="39"/>
      <c r="B185" s="39"/>
      <c r="C185" s="40"/>
      <c r="D185" s="42"/>
      <c r="F185" s="40"/>
      <c r="G185" s="40"/>
    </row>
    <row r="186" spans="1:7" x14ac:dyDescent="0.25">
      <c r="A186" s="39"/>
      <c r="B186" s="39"/>
      <c r="C186" s="40"/>
      <c r="D186" s="42"/>
      <c r="F186" s="40"/>
      <c r="G186" s="40"/>
    </row>
    <row r="187" spans="1:7" x14ac:dyDescent="0.25">
      <c r="A187" s="39"/>
      <c r="B187" s="39"/>
      <c r="C187" s="40"/>
      <c r="D187" s="42"/>
      <c r="F187" s="40"/>
      <c r="G187" s="40"/>
    </row>
    <row r="188" spans="1:7" x14ac:dyDescent="0.25">
      <c r="A188" s="39"/>
      <c r="B188" s="39"/>
      <c r="C188" s="40"/>
      <c r="D188" s="42"/>
      <c r="F188" s="40"/>
      <c r="G188" s="40"/>
    </row>
    <row r="189" spans="1:7" x14ac:dyDescent="0.25">
      <c r="A189" s="39"/>
      <c r="B189" s="39"/>
      <c r="C189" s="40"/>
      <c r="D189" s="42"/>
      <c r="F189" s="40"/>
      <c r="G189" s="40"/>
    </row>
    <row r="190" spans="1:7" x14ac:dyDescent="0.25">
      <c r="A190" s="39"/>
      <c r="B190" s="39"/>
      <c r="C190" s="40"/>
      <c r="D190" s="42"/>
      <c r="F190" s="40"/>
      <c r="G190" s="40"/>
    </row>
    <row r="191" spans="1:7" x14ac:dyDescent="0.25">
      <c r="A191" s="39"/>
      <c r="B191" s="39"/>
      <c r="C191" s="40"/>
      <c r="D191" s="42"/>
      <c r="F191" s="40"/>
      <c r="G191" s="40"/>
    </row>
    <row r="192" spans="1:7" x14ac:dyDescent="0.25">
      <c r="A192" s="39"/>
      <c r="B192" s="39"/>
      <c r="C192" s="40"/>
      <c r="D192" s="42"/>
      <c r="F192" s="40"/>
      <c r="G192" s="40"/>
    </row>
    <row r="193" spans="1:7" x14ac:dyDescent="0.25">
      <c r="A193" s="39"/>
      <c r="B193" s="39"/>
      <c r="C193" s="40"/>
      <c r="D193" s="42"/>
      <c r="F193" s="40"/>
      <c r="G193" s="40"/>
    </row>
    <row r="194" spans="1:7" x14ac:dyDescent="0.25">
      <c r="A194" s="39"/>
      <c r="B194" s="39"/>
      <c r="C194" s="40"/>
      <c r="D194" s="42"/>
      <c r="F194" s="40"/>
      <c r="G194" s="40"/>
    </row>
    <row r="195" spans="1:7" x14ac:dyDescent="0.25">
      <c r="A195" s="39"/>
      <c r="B195" s="39"/>
      <c r="C195" s="40"/>
      <c r="D195" s="42"/>
      <c r="F195" s="40"/>
      <c r="G195" s="40"/>
    </row>
    <row r="196" spans="1:7" x14ac:dyDescent="0.25">
      <c r="A196" s="39"/>
      <c r="B196" s="39"/>
      <c r="C196" s="40"/>
      <c r="D196" s="42"/>
      <c r="F196" s="40"/>
      <c r="G196" s="40"/>
    </row>
    <row r="197" spans="1:7" x14ac:dyDescent="0.25">
      <c r="A197" s="39"/>
      <c r="B197" s="39"/>
      <c r="C197" s="40"/>
      <c r="D197" s="42"/>
      <c r="F197" s="40"/>
      <c r="G197" s="40"/>
    </row>
    <row r="198" spans="1:7" x14ac:dyDescent="0.25">
      <c r="A198" s="39"/>
      <c r="B198" s="39"/>
      <c r="C198" s="40"/>
      <c r="D198" s="42"/>
      <c r="F198" s="40"/>
      <c r="G198" s="40"/>
    </row>
    <row r="199" spans="1:7" x14ac:dyDescent="0.25">
      <c r="A199" s="39"/>
      <c r="B199" s="39"/>
      <c r="C199" s="40"/>
      <c r="D199" s="42"/>
      <c r="F199" s="40"/>
      <c r="G199" s="40"/>
    </row>
    <row r="200" spans="1:7" x14ac:dyDescent="0.25">
      <c r="A200" s="39"/>
      <c r="B200" s="39"/>
      <c r="C200" s="40"/>
      <c r="D200" s="42"/>
      <c r="F200" s="40"/>
      <c r="G200" s="40"/>
    </row>
    <row r="201" spans="1:7" x14ac:dyDescent="0.25">
      <c r="A201" s="39"/>
      <c r="B201" s="39"/>
      <c r="C201" s="40"/>
      <c r="D201" s="42"/>
      <c r="F201" s="40"/>
      <c r="G201" s="40"/>
    </row>
    <row r="202" spans="1:7" x14ac:dyDescent="0.25">
      <c r="A202" s="39"/>
      <c r="B202" s="39"/>
      <c r="C202" s="40"/>
      <c r="D202" s="42"/>
      <c r="F202" s="40"/>
      <c r="G202" s="40"/>
    </row>
    <row r="203" spans="1:7" x14ac:dyDescent="0.25">
      <c r="A203" s="39"/>
      <c r="B203" s="39"/>
      <c r="C203" s="40"/>
      <c r="D203" s="42"/>
      <c r="F203" s="40"/>
      <c r="G203" s="40"/>
    </row>
    <row r="204" spans="1:7" x14ac:dyDescent="0.25">
      <c r="A204" s="39"/>
      <c r="B204" s="39"/>
      <c r="C204" s="40"/>
      <c r="D204" s="42"/>
      <c r="F204" s="40"/>
      <c r="G204" s="40"/>
    </row>
    <row r="205" spans="1:7" x14ac:dyDescent="0.25">
      <c r="A205" s="39"/>
      <c r="B205" s="39"/>
      <c r="C205" s="40"/>
      <c r="D205" s="42"/>
      <c r="F205" s="40"/>
      <c r="G205" s="40"/>
    </row>
    <row r="206" spans="1:7" x14ac:dyDescent="0.25">
      <c r="A206" s="39"/>
      <c r="B206" s="39"/>
      <c r="C206" s="40"/>
      <c r="D206" s="42"/>
      <c r="F206" s="40"/>
      <c r="G206" s="40"/>
    </row>
    <row r="207" spans="1:7" x14ac:dyDescent="0.25">
      <c r="A207" s="39"/>
      <c r="B207" s="39"/>
      <c r="C207" s="40"/>
      <c r="D207" s="42"/>
      <c r="F207" s="40"/>
      <c r="G207" s="40"/>
    </row>
    <row r="208" spans="1:7" x14ac:dyDescent="0.25">
      <c r="A208" s="39"/>
      <c r="B208" s="39"/>
      <c r="C208" s="40"/>
      <c r="D208" s="42"/>
      <c r="F208" s="40"/>
      <c r="G208" s="40"/>
    </row>
    <row r="209" spans="1:7" x14ac:dyDescent="0.25">
      <c r="A209" s="39"/>
      <c r="B209" s="39"/>
      <c r="C209" s="40"/>
      <c r="D209" s="42"/>
      <c r="F209" s="40"/>
      <c r="G209" s="40"/>
    </row>
    <row r="210" spans="1:7" x14ac:dyDescent="0.25">
      <c r="A210" s="39"/>
      <c r="B210" s="39"/>
      <c r="C210" s="40"/>
      <c r="D210" s="42"/>
      <c r="F210" s="40"/>
      <c r="G210" s="40"/>
    </row>
    <row r="211" spans="1:7" x14ac:dyDescent="0.25">
      <c r="A211" s="39"/>
      <c r="B211" s="39"/>
      <c r="C211" s="40"/>
      <c r="D211" s="42"/>
      <c r="F211" s="40"/>
      <c r="G211" s="40"/>
    </row>
    <row r="212" spans="1:7" x14ac:dyDescent="0.25">
      <c r="A212" s="39"/>
      <c r="B212" s="39"/>
      <c r="C212" s="40"/>
      <c r="D212" s="42"/>
      <c r="F212" s="40"/>
      <c r="G212" s="40"/>
    </row>
    <row r="213" spans="1:7" x14ac:dyDescent="0.25">
      <c r="A213" s="39"/>
      <c r="B213" s="39"/>
      <c r="C213" s="40"/>
      <c r="D213" s="42"/>
      <c r="F213" s="40"/>
      <c r="G213" s="40"/>
    </row>
    <row r="214" spans="1:7" x14ac:dyDescent="0.25">
      <c r="A214" s="39"/>
      <c r="B214" s="39"/>
      <c r="C214" s="40"/>
      <c r="D214" s="42"/>
      <c r="F214" s="40"/>
      <c r="G214" s="40"/>
    </row>
    <row r="215" spans="1:7" x14ac:dyDescent="0.25">
      <c r="A215" s="39"/>
      <c r="B215" s="39"/>
      <c r="C215" s="40"/>
      <c r="D215" s="42"/>
      <c r="F215" s="40"/>
      <c r="G215" s="40"/>
    </row>
    <row r="216" spans="1:7" x14ac:dyDescent="0.25">
      <c r="A216" s="39"/>
      <c r="B216" s="39"/>
      <c r="C216" s="40"/>
      <c r="D216" s="42"/>
      <c r="F216" s="40"/>
      <c r="G216" s="40"/>
    </row>
    <row r="217" spans="1:7" x14ac:dyDescent="0.25">
      <c r="A217" s="39"/>
      <c r="B217" s="39"/>
      <c r="C217" s="40"/>
      <c r="D217" s="42"/>
      <c r="F217" s="40"/>
      <c r="G217" s="40"/>
    </row>
    <row r="218" spans="1:7" x14ac:dyDescent="0.25">
      <c r="A218" s="39"/>
      <c r="B218" s="39"/>
      <c r="C218" s="40"/>
      <c r="D218" s="42"/>
      <c r="F218" s="40"/>
      <c r="G218" s="40"/>
    </row>
    <row r="219" spans="1:7" x14ac:dyDescent="0.25">
      <c r="A219" s="39"/>
      <c r="B219" s="39"/>
      <c r="C219" s="40"/>
      <c r="D219" s="42"/>
      <c r="F219" s="40"/>
      <c r="G219" s="40"/>
    </row>
    <row r="220" spans="1:7" x14ac:dyDescent="0.25">
      <c r="A220" s="39"/>
      <c r="B220" s="39"/>
      <c r="C220" s="40"/>
      <c r="D220" s="42"/>
      <c r="F220" s="40"/>
      <c r="G220" s="40"/>
    </row>
    <row r="221" spans="1:7" x14ac:dyDescent="0.25">
      <c r="A221" s="39"/>
      <c r="B221" s="39"/>
      <c r="C221" s="40"/>
      <c r="D221" s="42"/>
      <c r="F221" s="40"/>
      <c r="G221" s="40"/>
    </row>
    <row r="222" spans="1:7" x14ac:dyDescent="0.25">
      <c r="A222" s="39"/>
      <c r="B222" s="39"/>
      <c r="C222" s="40"/>
      <c r="D222" s="42"/>
      <c r="F222" s="40"/>
      <c r="G222" s="40"/>
    </row>
    <row r="223" spans="1:7" x14ac:dyDescent="0.25">
      <c r="A223" s="39"/>
      <c r="B223" s="39"/>
      <c r="C223" s="40"/>
      <c r="D223" s="42"/>
      <c r="F223" s="40"/>
      <c r="G223" s="40"/>
    </row>
    <row r="224" spans="1:7" x14ac:dyDescent="0.25">
      <c r="A224" s="39"/>
      <c r="B224" s="39"/>
      <c r="C224" s="40"/>
      <c r="D224" s="42"/>
      <c r="F224" s="40"/>
      <c r="G224" s="40"/>
    </row>
    <row r="225" spans="1:7" x14ac:dyDescent="0.25">
      <c r="A225" s="39"/>
      <c r="B225" s="39"/>
      <c r="C225" s="40"/>
      <c r="D225" s="42"/>
      <c r="F225" s="40"/>
      <c r="G225" s="40"/>
    </row>
    <row r="226" spans="1:7" x14ac:dyDescent="0.25">
      <c r="A226" s="39"/>
      <c r="B226" s="39"/>
      <c r="C226" s="40"/>
      <c r="D226" s="42"/>
      <c r="F226" s="40"/>
      <c r="G226" s="40"/>
    </row>
    <row r="227" spans="1:7" x14ac:dyDescent="0.25">
      <c r="A227" s="39"/>
      <c r="B227" s="39"/>
      <c r="C227" s="40"/>
      <c r="D227" s="42"/>
      <c r="F227" s="40"/>
      <c r="G227" s="40"/>
    </row>
    <row r="228" spans="1:7" x14ac:dyDescent="0.25">
      <c r="A228" s="39"/>
      <c r="B228" s="39"/>
      <c r="C228" s="40"/>
      <c r="D228" s="42"/>
      <c r="F228" s="40"/>
      <c r="G228" s="40"/>
    </row>
    <row r="229" spans="1:7" x14ac:dyDescent="0.25">
      <c r="A229" s="39"/>
      <c r="B229" s="39"/>
      <c r="C229" s="40"/>
      <c r="D229" s="42"/>
      <c r="F229" s="40"/>
      <c r="G229" s="40"/>
    </row>
    <row r="230" spans="1:7" x14ac:dyDescent="0.25">
      <c r="A230" s="39"/>
      <c r="B230" s="39"/>
      <c r="C230" s="40"/>
      <c r="D230" s="42"/>
      <c r="F230" s="40"/>
      <c r="G230" s="40"/>
    </row>
    <row r="231" spans="1:7" x14ac:dyDescent="0.25">
      <c r="A231" s="39"/>
      <c r="B231" s="39"/>
      <c r="C231" s="40"/>
      <c r="D231" s="42"/>
      <c r="F231" s="40"/>
      <c r="G231" s="40"/>
    </row>
    <row r="232" spans="1:7" x14ac:dyDescent="0.25">
      <c r="A232" s="39"/>
      <c r="B232" s="39"/>
      <c r="C232" s="40"/>
      <c r="D232" s="42"/>
      <c r="F232" s="40"/>
      <c r="G232" s="40"/>
    </row>
    <row r="233" spans="1:7" x14ac:dyDescent="0.25">
      <c r="A233" s="39"/>
      <c r="B233" s="39"/>
      <c r="C233" s="40"/>
      <c r="D233" s="42"/>
      <c r="F233" s="40"/>
      <c r="G233" s="40"/>
    </row>
    <row r="234" spans="1:7" x14ac:dyDescent="0.25">
      <c r="A234" s="39"/>
      <c r="B234" s="39"/>
      <c r="C234" s="40"/>
      <c r="D234" s="42"/>
      <c r="F234" s="40"/>
      <c r="G234" s="40"/>
    </row>
    <row r="235" spans="1:7" x14ac:dyDescent="0.25">
      <c r="A235" s="39"/>
      <c r="B235" s="39"/>
      <c r="C235" s="40"/>
      <c r="D235" s="42"/>
      <c r="F235" s="40"/>
      <c r="G235" s="40"/>
    </row>
    <row r="236" spans="1:7" x14ac:dyDescent="0.25">
      <c r="A236" s="39"/>
      <c r="B236" s="39"/>
      <c r="C236" s="40"/>
      <c r="D236" s="42"/>
      <c r="F236" s="40"/>
      <c r="G236" s="40"/>
    </row>
    <row r="237" spans="1:7" x14ac:dyDescent="0.25">
      <c r="A237" s="39"/>
      <c r="B237" s="39"/>
      <c r="C237" s="40"/>
      <c r="D237" s="42"/>
      <c r="F237" s="40"/>
      <c r="G237" s="40"/>
    </row>
    <row r="238" spans="1:7" x14ac:dyDescent="0.25">
      <c r="A238" s="39"/>
      <c r="B238" s="39"/>
      <c r="C238" s="40"/>
      <c r="D238" s="42"/>
      <c r="F238" s="40"/>
      <c r="G238" s="40"/>
    </row>
    <row r="239" spans="1:7" x14ac:dyDescent="0.25">
      <c r="A239" s="39"/>
      <c r="B239" s="39"/>
      <c r="C239" s="40"/>
      <c r="D239" s="42"/>
      <c r="F239" s="40"/>
      <c r="G239" s="40"/>
    </row>
    <row r="240" spans="1:7" x14ac:dyDescent="0.25">
      <c r="A240" s="39"/>
      <c r="B240" s="39"/>
      <c r="C240" s="40"/>
      <c r="D240" s="42"/>
      <c r="F240" s="40"/>
      <c r="G240" s="40"/>
    </row>
    <row r="241" spans="1:7" x14ac:dyDescent="0.25">
      <c r="A241" s="39"/>
      <c r="B241" s="39"/>
      <c r="C241" s="40"/>
      <c r="D241" s="42"/>
      <c r="F241" s="40"/>
      <c r="G241" s="40"/>
    </row>
    <row r="242" spans="1:7" x14ac:dyDescent="0.25">
      <c r="A242" s="39"/>
      <c r="B242" s="39"/>
      <c r="C242" s="40"/>
      <c r="D242" s="42"/>
      <c r="F242" s="40"/>
      <c r="G242" s="40"/>
    </row>
    <row r="243" spans="1:7" x14ac:dyDescent="0.25">
      <c r="A243" s="39"/>
      <c r="B243" s="39"/>
      <c r="C243" s="40"/>
      <c r="D243" s="42"/>
      <c r="F243" s="40"/>
      <c r="G243" s="40"/>
    </row>
    <row r="244" spans="1:7" x14ac:dyDescent="0.25">
      <c r="A244" s="39"/>
      <c r="B244" s="39"/>
      <c r="C244" s="40"/>
      <c r="D244" s="42"/>
      <c r="F244" s="40"/>
      <c r="G244" s="40"/>
    </row>
    <row r="245" spans="1:7" x14ac:dyDescent="0.25">
      <c r="A245" s="39"/>
      <c r="B245" s="39"/>
      <c r="C245" s="40"/>
      <c r="D245" s="42"/>
      <c r="F245" s="40"/>
      <c r="G245" s="40"/>
    </row>
    <row r="246" spans="1:7" x14ac:dyDescent="0.25">
      <c r="A246" s="39"/>
      <c r="B246" s="39"/>
      <c r="C246" s="40"/>
      <c r="D246" s="42"/>
      <c r="F246" s="40"/>
      <c r="G246" s="40"/>
    </row>
    <row r="247" spans="1:7" x14ac:dyDescent="0.25">
      <c r="A247" s="39"/>
      <c r="B247" s="39"/>
      <c r="C247" s="40"/>
      <c r="D247" s="42"/>
      <c r="F247" s="40"/>
      <c r="G247" s="40"/>
    </row>
    <row r="248" spans="1:7" x14ac:dyDescent="0.25">
      <c r="A248" s="39"/>
      <c r="B248" s="39"/>
      <c r="C248" s="40"/>
      <c r="D248" s="42"/>
      <c r="F248" s="40"/>
      <c r="G248" s="40"/>
    </row>
    <row r="249" spans="1:7" x14ac:dyDescent="0.25">
      <c r="A249" s="39"/>
      <c r="B249" s="39"/>
      <c r="C249" s="40"/>
      <c r="D249" s="42"/>
      <c r="F249" s="40"/>
      <c r="G249" s="40"/>
    </row>
    <row r="250" spans="1:7" x14ac:dyDescent="0.25">
      <c r="A250" s="39"/>
      <c r="B250" s="39"/>
      <c r="C250" s="40"/>
      <c r="D250" s="42"/>
      <c r="F250" s="40"/>
      <c r="G250" s="40"/>
    </row>
    <row r="251" spans="1:7" x14ac:dyDescent="0.25">
      <c r="A251" s="39"/>
      <c r="B251" s="39"/>
      <c r="C251" s="40"/>
      <c r="D251" s="42"/>
      <c r="F251" s="40"/>
      <c r="G251" s="40"/>
    </row>
    <row r="252" spans="1:7" x14ac:dyDescent="0.25">
      <c r="A252" s="39"/>
      <c r="B252" s="39"/>
      <c r="C252" s="40"/>
      <c r="D252" s="42"/>
      <c r="F252" s="40"/>
      <c r="G252" s="40"/>
    </row>
    <row r="253" spans="1:7" x14ac:dyDescent="0.25">
      <c r="A253" s="39"/>
      <c r="B253" s="39"/>
      <c r="C253" s="40"/>
      <c r="D253" s="42"/>
      <c r="F253" s="40"/>
      <c r="G253" s="40"/>
    </row>
    <row r="254" spans="1:7" x14ac:dyDescent="0.25">
      <c r="A254" s="39"/>
      <c r="B254" s="39"/>
      <c r="C254" s="40"/>
      <c r="D254" s="42"/>
      <c r="F254" s="40"/>
      <c r="G254" s="40"/>
    </row>
    <row r="255" spans="1:7" x14ac:dyDescent="0.25">
      <c r="A255" s="39"/>
      <c r="B255" s="39"/>
      <c r="C255" s="40"/>
      <c r="D255" s="42"/>
      <c r="F255" s="40"/>
      <c r="G255" s="40"/>
    </row>
    <row r="256" spans="1:7" x14ac:dyDescent="0.25">
      <c r="A256" s="39"/>
      <c r="B256" s="39"/>
      <c r="C256" s="40"/>
      <c r="D256" s="42"/>
      <c r="F256" s="40"/>
      <c r="G256" s="40"/>
    </row>
    <row r="257" spans="1:7" x14ac:dyDescent="0.25">
      <c r="A257" s="39"/>
      <c r="B257" s="39"/>
      <c r="C257" s="40"/>
      <c r="D257" s="42"/>
      <c r="F257" s="40"/>
      <c r="G257" s="40"/>
    </row>
    <row r="258" spans="1:7" x14ac:dyDescent="0.25">
      <c r="A258" s="39"/>
      <c r="B258" s="39"/>
      <c r="C258" s="40"/>
      <c r="D258" s="42"/>
      <c r="F258" s="40"/>
      <c r="G258" s="40"/>
    </row>
    <row r="259" spans="1:7" x14ac:dyDescent="0.25">
      <c r="A259" s="39"/>
      <c r="B259" s="39"/>
      <c r="C259" s="40"/>
      <c r="D259" s="42"/>
      <c r="F259" s="40"/>
      <c r="G259" s="40"/>
    </row>
    <row r="260" spans="1:7" x14ac:dyDescent="0.25">
      <c r="A260" s="39"/>
      <c r="B260" s="39"/>
      <c r="C260" s="40"/>
      <c r="D260" s="42"/>
      <c r="F260" s="40"/>
      <c r="G260" s="40"/>
    </row>
    <row r="261" spans="1:7" x14ac:dyDescent="0.25">
      <c r="A261" s="39"/>
      <c r="B261" s="39"/>
      <c r="C261" s="40"/>
      <c r="D261" s="42"/>
      <c r="F261" s="40"/>
      <c r="G261" s="40"/>
    </row>
    <row r="262" spans="1:7" x14ac:dyDescent="0.25">
      <c r="A262" s="39"/>
      <c r="B262" s="39"/>
      <c r="C262" s="40"/>
      <c r="D262" s="42"/>
      <c r="F262" s="40"/>
      <c r="G262" s="40"/>
    </row>
    <row r="263" spans="1:7" x14ac:dyDescent="0.25">
      <c r="A263" s="39"/>
      <c r="B263" s="39"/>
      <c r="C263" s="40"/>
      <c r="D263" s="42"/>
      <c r="F263" s="40"/>
      <c r="G263" s="40"/>
    </row>
    <row r="264" spans="1:7" x14ac:dyDescent="0.25">
      <c r="A264" s="39"/>
      <c r="B264" s="39"/>
      <c r="C264" s="40"/>
      <c r="D264" s="42"/>
      <c r="F264" s="40"/>
      <c r="G264" s="40"/>
    </row>
    <row r="265" spans="1:7" x14ac:dyDescent="0.25">
      <c r="A265" s="39"/>
      <c r="B265" s="39"/>
      <c r="C265" s="40"/>
      <c r="D265" s="42"/>
      <c r="F265" s="40"/>
      <c r="G265" s="40"/>
    </row>
    <row r="266" spans="1:7" x14ac:dyDescent="0.25">
      <c r="A266" s="39"/>
      <c r="B266" s="39"/>
      <c r="C266" s="40"/>
      <c r="D266" s="42"/>
      <c r="F266" s="40"/>
      <c r="G266" s="40"/>
    </row>
    <row r="267" spans="1:7" x14ac:dyDescent="0.25">
      <c r="A267" s="39"/>
      <c r="B267" s="39"/>
      <c r="C267" s="40"/>
      <c r="D267" s="42"/>
      <c r="F267" s="40"/>
      <c r="G267" s="40"/>
    </row>
    <row r="268" spans="1:7" x14ac:dyDescent="0.25">
      <c r="A268" s="39"/>
      <c r="B268" s="39"/>
      <c r="C268" s="40"/>
      <c r="D268" s="42"/>
      <c r="F268" s="40"/>
      <c r="G268" s="40"/>
    </row>
    <row r="269" spans="1:7" x14ac:dyDescent="0.25">
      <c r="A269" s="39"/>
      <c r="B269" s="39"/>
      <c r="C269" s="40"/>
      <c r="D269" s="42"/>
      <c r="F269" s="40"/>
      <c r="G269" s="40"/>
    </row>
    <row r="270" spans="1:7" x14ac:dyDescent="0.25">
      <c r="A270" s="39"/>
      <c r="B270" s="39"/>
      <c r="C270" s="40"/>
      <c r="D270" s="42"/>
      <c r="F270" s="40"/>
      <c r="G270" s="40"/>
    </row>
    <row r="271" spans="1:7" x14ac:dyDescent="0.25">
      <c r="A271" s="39"/>
      <c r="B271" s="39"/>
      <c r="C271" s="40"/>
      <c r="D271" s="42"/>
      <c r="F271" s="40"/>
      <c r="G271" s="40"/>
    </row>
    <row r="272" spans="1:7" x14ac:dyDescent="0.25">
      <c r="A272" s="39"/>
      <c r="B272" s="39"/>
      <c r="C272" s="40"/>
      <c r="D272" s="42"/>
      <c r="F272" s="40"/>
      <c r="G272" s="40"/>
    </row>
    <row r="273" spans="1:7" x14ac:dyDescent="0.25">
      <c r="A273" s="39"/>
      <c r="B273" s="39"/>
      <c r="C273" s="40"/>
      <c r="D273" s="42"/>
      <c r="F273" s="40"/>
      <c r="G273" s="40"/>
    </row>
    <row r="274" spans="1:7" x14ac:dyDescent="0.25">
      <c r="A274" s="39"/>
      <c r="B274" s="39"/>
      <c r="C274" s="40"/>
      <c r="D274" s="42"/>
      <c r="F274" s="40"/>
      <c r="G274" s="40"/>
    </row>
    <row r="275" spans="1:7" x14ac:dyDescent="0.25">
      <c r="A275" s="39"/>
      <c r="B275" s="39"/>
      <c r="C275" s="40"/>
      <c r="D275" s="42"/>
      <c r="F275" s="40"/>
      <c r="G275" s="40"/>
    </row>
    <row r="276" spans="1:7" x14ac:dyDescent="0.25">
      <c r="A276" s="39"/>
      <c r="B276" s="39"/>
      <c r="C276" s="40"/>
      <c r="D276" s="42"/>
      <c r="F276" s="40"/>
      <c r="G276" s="40"/>
    </row>
    <row r="277" spans="1:7" x14ac:dyDescent="0.25">
      <c r="A277" s="39"/>
      <c r="B277" s="39"/>
      <c r="C277" s="40"/>
      <c r="D277" s="42"/>
      <c r="F277" s="40"/>
      <c r="G277" s="40"/>
    </row>
    <row r="278" spans="1:7" x14ac:dyDescent="0.25">
      <c r="A278" s="39"/>
      <c r="B278" s="39"/>
      <c r="C278" s="40"/>
      <c r="D278" s="42"/>
      <c r="F278" s="40"/>
      <c r="G278" s="40"/>
    </row>
    <row r="279" spans="1:7" x14ac:dyDescent="0.25">
      <c r="A279" s="39"/>
      <c r="B279" s="39"/>
      <c r="C279" s="40"/>
      <c r="D279" s="42"/>
      <c r="F279" s="40"/>
      <c r="G279" s="40"/>
    </row>
    <row r="280" spans="1:7" x14ac:dyDescent="0.25">
      <c r="A280" s="39"/>
      <c r="B280" s="39"/>
      <c r="C280" s="40"/>
      <c r="D280" s="42"/>
      <c r="F280" s="40"/>
      <c r="G280" s="40"/>
    </row>
    <row r="281" spans="1:7" x14ac:dyDescent="0.25">
      <c r="A281" s="39"/>
      <c r="B281" s="39"/>
      <c r="C281" s="40"/>
      <c r="D281" s="42"/>
      <c r="F281" s="40"/>
      <c r="G281" s="40"/>
    </row>
    <row r="282" spans="1:7" x14ac:dyDescent="0.25">
      <c r="A282" s="39"/>
      <c r="B282" s="39"/>
      <c r="C282" s="40"/>
      <c r="D282" s="42"/>
      <c r="F282" s="40"/>
      <c r="G282" s="40"/>
    </row>
    <row r="283" spans="1:7" x14ac:dyDescent="0.25">
      <c r="A283" s="39"/>
      <c r="B283" s="39"/>
      <c r="C283" s="40"/>
      <c r="D283" s="42"/>
      <c r="F283" s="40"/>
      <c r="G283" s="40"/>
    </row>
    <row r="284" spans="1:7" x14ac:dyDescent="0.25">
      <c r="A284" s="39"/>
      <c r="B284" s="39"/>
      <c r="C284" s="40"/>
      <c r="D284" s="42"/>
      <c r="F284" s="40"/>
      <c r="G284" s="40"/>
    </row>
    <row r="285" spans="1:7" x14ac:dyDescent="0.25">
      <c r="A285" s="39"/>
      <c r="B285" s="39"/>
      <c r="C285" s="40"/>
      <c r="D285" s="42"/>
      <c r="F285" s="40"/>
      <c r="G285" s="40"/>
    </row>
    <row r="286" spans="1:7" x14ac:dyDescent="0.25">
      <c r="A286" s="39"/>
      <c r="B286" s="39"/>
      <c r="C286" s="40"/>
      <c r="D286" s="42"/>
      <c r="F286" s="40"/>
      <c r="G286" s="40"/>
    </row>
    <row r="287" spans="1:7" x14ac:dyDescent="0.25">
      <c r="A287" s="39"/>
      <c r="B287" s="39"/>
      <c r="C287" s="40"/>
      <c r="D287" s="42"/>
      <c r="F287" s="40"/>
      <c r="G287" s="40"/>
    </row>
    <row r="288" spans="1:7" x14ac:dyDescent="0.25">
      <c r="A288" s="39"/>
      <c r="B288" s="39"/>
      <c r="C288" s="40"/>
      <c r="D288" s="42"/>
      <c r="F288" s="40"/>
      <c r="G288" s="40"/>
    </row>
    <row r="289" spans="1:7" x14ac:dyDescent="0.25">
      <c r="A289" s="39"/>
      <c r="B289" s="39"/>
      <c r="C289" s="40"/>
      <c r="D289" s="42"/>
      <c r="F289" s="40"/>
      <c r="G289" s="40"/>
    </row>
    <row r="290" spans="1:7" x14ac:dyDescent="0.25">
      <c r="A290" s="39"/>
      <c r="B290" s="39"/>
      <c r="C290" s="40"/>
      <c r="D290" s="42"/>
      <c r="F290" s="40"/>
      <c r="G290" s="40"/>
    </row>
    <row r="291" spans="1:7" x14ac:dyDescent="0.25">
      <c r="A291" s="39"/>
      <c r="B291" s="39"/>
      <c r="C291" s="40"/>
      <c r="D291" s="42"/>
      <c r="F291" s="40"/>
      <c r="G291" s="40"/>
    </row>
    <row r="292" spans="1:7" x14ac:dyDescent="0.25">
      <c r="A292" s="39"/>
      <c r="B292" s="39"/>
      <c r="C292" s="40"/>
      <c r="D292" s="42"/>
      <c r="F292" s="40"/>
      <c r="G292" s="40"/>
    </row>
    <row r="293" spans="1:7" x14ac:dyDescent="0.25">
      <c r="A293" s="39"/>
      <c r="B293" s="39"/>
      <c r="C293" s="40"/>
      <c r="D293" s="42"/>
      <c r="F293" s="40"/>
      <c r="G293" s="40"/>
    </row>
    <row r="294" spans="1:7" x14ac:dyDescent="0.25">
      <c r="A294" s="39"/>
      <c r="B294" s="39"/>
      <c r="C294" s="40"/>
      <c r="D294" s="42"/>
      <c r="F294" s="40"/>
      <c r="G294" s="40"/>
    </row>
    <row r="295" spans="1:7" x14ac:dyDescent="0.25">
      <c r="A295" s="39"/>
      <c r="B295" s="39"/>
      <c r="C295" s="40"/>
      <c r="D295" s="42"/>
      <c r="F295" s="40"/>
      <c r="G295" s="40"/>
    </row>
    <row r="296" spans="1:7" x14ac:dyDescent="0.25">
      <c r="A296" s="39"/>
      <c r="B296" s="39"/>
      <c r="C296" s="40"/>
      <c r="D296" s="42"/>
      <c r="F296" s="40"/>
      <c r="G296" s="40"/>
    </row>
    <row r="297" spans="1:7" x14ac:dyDescent="0.25">
      <c r="A297" s="39"/>
      <c r="B297" s="39"/>
      <c r="C297" s="40"/>
      <c r="D297" s="42"/>
      <c r="F297" s="40"/>
      <c r="G297" s="40"/>
    </row>
    <row r="298" spans="1:7" x14ac:dyDescent="0.25">
      <c r="A298" s="39"/>
      <c r="B298" s="39"/>
      <c r="C298" s="40"/>
      <c r="D298" s="42"/>
      <c r="F298" s="40"/>
      <c r="G298" s="40"/>
    </row>
    <row r="299" spans="1:7" x14ac:dyDescent="0.25">
      <c r="A299" s="39"/>
      <c r="B299" s="39"/>
      <c r="C299" s="40"/>
      <c r="D299" s="42"/>
      <c r="F299" s="40"/>
      <c r="G299" s="40"/>
    </row>
    <row r="300" spans="1:7" x14ac:dyDescent="0.25">
      <c r="A300" s="39"/>
      <c r="B300" s="39"/>
      <c r="C300" s="40"/>
      <c r="D300" s="42"/>
      <c r="F300" s="40"/>
      <c r="G300" s="40"/>
    </row>
    <row r="301" spans="1:7" x14ac:dyDescent="0.25">
      <c r="A301" s="39"/>
      <c r="B301" s="39"/>
      <c r="C301" s="40"/>
      <c r="D301" s="42"/>
      <c r="F301" s="40"/>
      <c r="G301" s="40"/>
    </row>
    <row r="302" spans="1:7" x14ac:dyDescent="0.25">
      <c r="A302" s="39"/>
      <c r="B302" s="39"/>
      <c r="C302" s="40"/>
      <c r="D302" s="42"/>
      <c r="F302" s="40"/>
      <c r="G302" s="40"/>
    </row>
    <row r="303" spans="1:7" x14ac:dyDescent="0.25">
      <c r="A303" s="39"/>
      <c r="B303" s="39"/>
      <c r="C303" s="40"/>
      <c r="D303" s="42"/>
      <c r="F303" s="40"/>
      <c r="G303" s="40"/>
    </row>
    <row r="304" spans="1:7" x14ac:dyDescent="0.25">
      <c r="A304" s="39"/>
      <c r="B304" s="39"/>
      <c r="C304" s="40"/>
      <c r="D304" s="42"/>
      <c r="F304" s="40"/>
      <c r="G304" s="40"/>
    </row>
    <row r="305" spans="1:7" x14ac:dyDescent="0.25">
      <c r="A305" s="39"/>
      <c r="B305" s="39"/>
      <c r="C305" s="40"/>
      <c r="D305" s="42"/>
      <c r="F305" s="40"/>
      <c r="G305" s="40"/>
    </row>
    <row r="306" spans="1:7" x14ac:dyDescent="0.25">
      <c r="A306" s="39"/>
      <c r="B306" s="39"/>
      <c r="C306" s="40"/>
      <c r="D306" s="42"/>
      <c r="F306" s="40"/>
      <c r="G306" s="40"/>
    </row>
    <row r="307" spans="1:7" x14ac:dyDescent="0.25">
      <c r="A307" s="39"/>
      <c r="B307" s="39"/>
      <c r="C307" s="40"/>
      <c r="D307" s="42"/>
      <c r="F307" s="40"/>
      <c r="G307" s="40"/>
    </row>
    <row r="308" spans="1:7" x14ac:dyDescent="0.25">
      <c r="A308" s="39"/>
      <c r="B308" s="39"/>
      <c r="C308" s="40"/>
      <c r="D308" s="42"/>
      <c r="F308" s="40"/>
      <c r="G308" s="40"/>
    </row>
    <row r="309" spans="1:7" x14ac:dyDescent="0.25">
      <c r="A309" s="39"/>
      <c r="B309" s="39"/>
      <c r="C309" s="40"/>
      <c r="D309" s="42"/>
      <c r="F309" s="40"/>
      <c r="G309" s="40"/>
    </row>
    <row r="310" spans="1:7" x14ac:dyDescent="0.25">
      <c r="A310" s="39"/>
      <c r="B310" s="39"/>
      <c r="C310" s="40"/>
      <c r="D310" s="42"/>
      <c r="F310" s="40"/>
      <c r="G310" s="40"/>
    </row>
    <row r="311" spans="1:7" x14ac:dyDescent="0.25">
      <c r="A311" s="39"/>
      <c r="B311" s="39"/>
      <c r="C311" s="40"/>
      <c r="D311" s="42"/>
      <c r="F311" s="40"/>
      <c r="G311" s="40"/>
    </row>
    <row r="312" spans="1:7" x14ac:dyDescent="0.25">
      <c r="A312" s="39"/>
      <c r="B312" s="39"/>
      <c r="C312" s="40"/>
      <c r="D312" s="42"/>
      <c r="F312" s="40"/>
      <c r="G312" s="40"/>
    </row>
    <row r="313" spans="1:7" x14ac:dyDescent="0.25">
      <c r="A313" s="39"/>
      <c r="B313" s="39"/>
      <c r="C313" s="40"/>
      <c r="D313" s="42"/>
      <c r="F313" s="40"/>
      <c r="G313" s="40"/>
    </row>
    <row r="314" spans="1:7" x14ac:dyDescent="0.25">
      <c r="A314" s="39"/>
      <c r="B314" s="39"/>
      <c r="C314" s="40"/>
      <c r="D314" s="42"/>
      <c r="F314" s="40"/>
      <c r="G314" s="40"/>
    </row>
    <row r="315" spans="1:7" x14ac:dyDescent="0.25">
      <c r="A315" s="39"/>
      <c r="B315" s="39"/>
      <c r="C315" s="40"/>
      <c r="D315" s="42"/>
      <c r="F315" s="40"/>
      <c r="G315" s="40"/>
    </row>
    <row r="316" spans="1:7" x14ac:dyDescent="0.25">
      <c r="A316" s="39"/>
      <c r="B316" s="39"/>
      <c r="C316" s="40"/>
      <c r="D316" s="42"/>
      <c r="F316" s="40"/>
      <c r="G316" s="40"/>
    </row>
    <row r="317" spans="1:7" x14ac:dyDescent="0.25">
      <c r="A317" s="39"/>
      <c r="B317" s="39"/>
      <c r="C317" s="40"/>
      <c r="D317" s="42"/>
      <c r="F317" s="40"/>
      <c r="G317" s="40"/>
    </row>
    <row r="318" spans="1:7" x14ac:dyDescent="0.25">
      <c r="A318" s="39"/>
      <c r="B318" s="39"/>
      <c r="C318" s="40"/>
      <c r="D318" s="42"/>
      <c r="F318" s="40"/>
      <c r="G318" s="40"/>
    </row>
    <row r="319" spans="1:7" x14ac:dyDescent="0.25">
      <c r="A319" s="39"/>
      <c r="B319" s="39"/>
      <c r="C319" s="40"/>
      <c r="D319" s="42"/>
      <c r="F319" s="40"/>
      <c r="G319" s="40"/>
    </row>
    <row r="320" spans="1:7" x14ac:dyDescent="0.25">
      <c r="A320" s="39"/>
      <c r="B320" s="39"/>
      <c r="C320" s="40"/>
      <c r="D320" s="42"/>
      <c r="F320" s="40"/>
      <c r="G320" s="40"/>
    </row>
    <row r="321" spans="1:7" x14ac:dyDescent="0.25">
      <c r="A321" s="39"/>
      <c r="B321" s="39"/>
      <c r="C321" s="40"/>
      <c r="D321" s="42"/>
      <c r="F321" s="40"/>
      <c r="G321" s="40"/>
    </row>
    <row r="322" spans="1:7" x14ac:dyDescent="0.25">
      <c r="A322" s="39"/>
      <c r="B322" s="39"/>
      <c r="C322" s="40"/>
      <c r="D322" s="42"/>
      <c r="F322" s="40"/>
      <c r="G322" s="40"/>
    </row>
    <row r="323" spans="1:7" x14ac:dyDescent="0.25">
      <c r="A323" s="39"/>
      <c r="B323" s="39"/>
      <c r="C323" s="40"/>
      <c r="D323" s="42"/>
      <c r="F323" s="40"/>
      <c r="G323" s="40"/>
    </row>
    <row r="324" spans="1:7" x14ac:dyDescent="0.25">
      <c r="A324" s="39"/>
      <c r="B324" s="39"/>
      <c r="C324" s="40"/>
      <c r="D324" s="42"/>
      <c r="F324" s="40"/>
      <c r="G324" s="40"/>
    </row>
    <row r="325" spans="1:7" x14ac:dyDescent="0.25">
      <c r="A325" s="39"/>
      <c r="B325" s="39"/>
      <c r="C325" s="40"/>
      <c r="D325" s="42"/>
      <c r="F325" s="40"/>
      <c r="G325" s="40"/>
    </row>
    <row r="326" spans="1:7" x14ac:dyDescent="0.25">
      <c r="A326" s="39"/>
      <c r="B326" s="39"/>
      <c r="C326" s="40"/>
      <c r="D326" s="42"/>
      <c r="F326" s="40"/>
      <c r="G326" s="40"/>
    </row>
    <row r="327" spans="1:7" x14ac:dyDescent="0.25">
      <c r="A327" s="39"/>
      <c r="B327" s="39"/>
      <c r="C327" s="40"/>
      <c r="D327" s="42"/>
      <c r="F327" s="40"/>
      <c r="G327" s="40"/>
    </row>
    <row r="328" spans="1:7" x14ac:dyDescent="0.25">
      <c r="A328" s="39"/>
      <c r="B328" s="39"/>
      <c r="C328" s="40"/>
      <c r="D328" s="42"/>
      <c r="F328" s="40"/>
      <c r="G328" s="40"/>
    </row>
    <row r="329" spans="1:7" x14ac:dyDescent="0.25">
      <c r="A329" s="39"/>
      <c r="B329" s="39"/>
      <c r="C329" s="40"/>
      <c r="D329" s="42"/>
      <c r="F329" s="40"/>
      <c r="G329" s="40"/>
    </row>
    <row r="330" spans="1:7" x14ac:dyDescent="0.25">
      <c r="A330" s="39"/>
      <c r="B330" s="39"/>
      <c r="C330" s="40"/>
      <c r="D330" s="42"/>
      <c r="F330" s="40"/>
      <c r="G330" s="40"/>
    </row>
    <row r="331" spans="1:7" x14ac:dyDescent="0.25">
      <c r="A331" s="39"/>
      <c r="B331" s="39"/>
      <c r="C331" s="40"/>
      <c r="D331" s="42"/>
      <c r="F331" s="40"/>
      <c r="G331" s="40"/>
    </row>
    <row r="332" spans="1:7" x14ac:dyDescent="0.25">
      <c r="A332" s="39"/>
      <c r="B332" s="39"/>
      <c r="C332" s="40"/>
      <c r="D332" s="42"/>
      <c r="F332" s="40"/>
      <c r="G332" s="40"/>
    </row>
    <row r="333" spans="1:7" x14ac:dyDescent="0.25">
      <c r="A333" s="39"/>
      <c r="B333" s="39"/>
      <c r="C333" s="40"/>
      <c r="D333" s="42"/>
      <c r="F333" s="40"/>
      <c r="G333" s="40"/>
    </row>
    <row r="334" spans="1:7" x14ac:dyDescent="0.25">
      <c r="A334" s="39"/>
      <c r="B334" s="39"/>
      <c r="C334" s="40"/>
      <c r="D334" s="42"/>
      <c r="F334" s="40"/>
      <c r="G334" s="40"/>
    </row>
    <row r="335" spans="1:7" x14ac:dyDescent="0.25">
      <c r="A335" s="39"/>
      <c r="B335" s="39"/>
      <c r="C335" s="40"/>
      <c r="D335" s="42"/>
      <c r="F335" s="40"/>
      <c r="G335" s="40"/>
    </row>
    <row r="336" spans="1:7" x14ac:dyDescent="0.25">
      <c r="A336" s="39"/>
      <c r="B336" s="39"/>
      <c r="C336" s="40"/>
      <c r="D336" s="42"/>
      <c r="F336" s="40"/>
      <c r="G336" s="40"/>
    </row>
    <row r="337" spans="1:7" x14ac:dyDescent="0.25">
      <c r="A337" s="39"/>
      <c r="B337" s="39"/>
      <c r="C337" s="40"/>
      <c r="D337" s="42"/>
      <c r="F337" s="40"/>
      <c r="G337" s="40"/>
    </row>
    <row r="338" spans="1:7" x14ac:dyDescent="0.25">
      <c r="A338" s="39"/>
      <c r="B338" s="39"/>
      <c r="C338" s="40"/>
      <c r="D338" s="42"/>
      <c r="F338" s="40"/>
      <c r="G338" s="40"/>
    </row>
    <row r="339" spans="1:7" x14ac:dyDescent="0.25">
      <c r="A339" s="39"/>
      <c r="B339" s="39"/>
      <c r="C339" s="40"/>
      <c r="D339" s="42"/>
      <c r="F339" s="40"/>
      <c r="G339" s="40"/>
    </row>
    <row r="340" spans="1:7" x14ac:dyDescent="0.25">
      <c r="A340" s="39"/>
      <c r="B340" s="39"/>
      <c r="C340" s="40"/>
      <c r="D340" s="42"/>
      <c r="F340" s="40"/>
      <c r="G340" s="40"/>
    </row>
    <row r="341" spans="1:7" x14ac:dyDescent="0.25">
      <c r="A341" s="39"/>
      <c r="B341" s="39"/>
      <c r="C341" s="40"/>
      <c r="D341" s="42"/>
      <c r="F341" s="40"/>
      <c r="G341" s="40"/>
    </row>
    <row r="342" spans="1:7" x14ac:dyDescent="0.25">
      <c r="A342" s="39"/>
      <c r="B342" s="39"/>
      <c r="C342" s="40"/>
      <c r="D342" s="42"/>
      <c r="F342" s="40"/>
      <c r="G342" s="40"/>
    </row>
    <row r="343" spans="1:7" x14ac:dyDescent="0.25">
      <c r="A343" s="39"/>
      <c r="B343" s="39"/>
      <c r="C343" s="40"/>
      <c r="D343" s="42"/>
      <c r="F343" s="40"/>
      <c r="G343" s="40"/>
    </row>
    <row r="344" spans="1:7" x14ac:dyDescent="0.25">
      <c r="A344" s="39"/>
      <c r="B344" s="39"/>
      <c r="C344" s="40"/>
      <c r="D344" s="42"/>
      <c r="F344" s="40"/>
      <c r="G344" s="40"/>
    </row>
    <row r="345" spans="1:7" x14ac:dyDescent="0.25">
      <c r="A345" s="39"/>
      <c r="B345" s="39"/>
      <c r="C345" s="40"/>
      <c r="D345" s="42"/>
      <c r="F345" s="40"/>
      <c r="G345" s="40"/>
    </row>
    <row r="346" spans="1:7" x14ac:dyDescent="0.25">
      <c r="A346" s="39"/>
      <c r="B346" s="39"/>
      <c r="C346" s="40"/>
      <c r="D346" s="42"/>
      <c r="F346" s="40"/>
      <c r="G346" s="40"/>
    </row>
    <row r="347" spans="1:7" x14ac:dyDescent="0.25">
      <c r="A347" s="39"/>
      <c r="B347" s="39"/>
      <c r="C347" s="40"/>
      <c r="D347" s="42"/>
      <c r="F347" s="40"/>
      <c r="G347" s="40"/>
    </row>
    <row r="348" spans="1:7" x14ac:dyDescent="0.25">
      <c r="A348" s="39"/>
      <c r="B348" s="39"/>
      <c r="C348" s="40"/>
      <c r="D348" s="42"/>
      <c r="F348" s="40"/>
      <c r="G348" s="40"/>
    </row>
    <row r="349" spans="1:7" x14ac:dyDescent="0.25">
      <c r="A349" s="39"/>
      <c r="B349" s="39"/>
      <c r="C349" s="40"/>
      <c r="D349" s="42"/>
      <c r="F349" s="40"/>
      <c r="G349" s="40"/>
    </row>
    <row r="350" spans="1:7" x14ac:dyDescent="0.25">
      <c r="A350" s="39"/>
      <c r="B350" s="39"/>
      <c r="C350" s="40"/>
      <c r="D350" s="42"/>
      <c r="F350" s="40"/>
      <c r="G350" s="40"/>
    </row>
    <row r="351" spans="1:7" x14ac:dyDescent="0.25">
      <c r="A351" s="39"/>
      <c r="B351" s="39"/>
      <c r="C351" s="40"/>
      <c r="D351" s="42"/>
      <c r="F351" s="40"/>
      <c r="G351" s="40"/>
    </row>
    <row r="352" spans="1:7" x14ac:dyDescent="0.25">
      <c r="A352" s="39"/>
      <c r="B352" s="39"/>
      <c r="C352" s="40"/>
      <c r="D352" s="42"/>
      <c r="F352" s="40"/>
      <c r="G352" s="40"/>
    </row>
    <row r="353" spans="1:7" x14ac:dyDescent="0.25">
      <c r="A353" s="39"/>
      <c r="B353" s="39"/>
      <c r="C353" s="40"/>
      <c r="D353" s="42"/>
      <c r="F353" s="40"/>
      <c r="G353" s="40"/>
    </row>
    <row r="354" spans="1:7" x14ac:dyDescent="0.25">
      <c r="A354" s="39"/>
      <c r="B354" s="39"/>
      <c r="C354" s="40"/>
      <c r="D354" s="42"/>
      <c r="F354" s="40"/>
      <c r="G354" s="40"/>
    </row>
    <row r="355" spans="1:7" x14ac:dyDescent="0.25">
      <c r="A355" s="39"/>
      <c r="B355" s="39"/>
      <c r="C355" s="40"/>
      <c r="D355" s="42"/>
      <c r="F355" s="40"/>
      <c r="G355" s="40"/>
    </row>
    <row r="356" spans="1:7" x14ac:dyDescent="0.25">
      <c r="A356" s="39"/>
      <c r="B356" s="39"/>
      <c r="C356" s="40"/>
      <c r="D356" s="42"/>
      <c r="F356" s="40"/>
      <c r="G356" s="40"/>
    </row>
    <row r="357" spans="1:7" x14ac:dyDescent="0.25">
      <c r="A357" s="39"/>
      <c r="B357" s="39"/>
      <c r="C357" s="40"/>
      <c r="D357" s="42"/>
      <c r="F357" s="40"/>
      <c r="G357" s="40"/>
    </row>
    <row r="358" spans="1:7" x14ac:dyDescent="0.25">
      <c r="A358" s="39"/>
      <c r="B358" s="39"/>
      <c r="C358" s="40"/>
      <c r="D358" s="42"/>
      <c r="F358" s="40"/>
      <c r="G358" s="40"/>
    </row>
    <row r="359" spans="1:7" x14ac:dyDescent="0.25">
      <c r="A359" s="39"/>
      <c r="B359" s="39"/>
      <c r="C359" s="40"/>
      <c r="D359" s="42"/>
      <c r="F359" s="40"/>
      <c r="G359" s="40"/>
    </row>
    <row r="360" spans="1:7" x14ac:dyDescent="0.25">
      <c r="A360" s="39"/>
      <c r="B360" s="39"/>
      <c r="C360" s="40"/>
      <c r="D360" s="42"/>
      <c r="F360" s="40"/>
      <c r="G360" s="40"/>
    </row>
    <row r="361" spans="1:7" x14ac:dyDescent="0.25">
      <c r="A361" s="39"/>
      <c r="B361" s="39"/>
      <c r="C361" s="40"/>
      <c r="D361" s="42"/>
      <c r="F361" s="40"/>
      <c r="G361" s="40"/>
    </row>
    <row r="362" spans="1:7" x14ac:dyDescent="0.25">
      <c r="A362" s="39"/>
      <c r="B362" s="39"/>
      <c r="C362" s="40"/>
      <c r="D362" s="42"/>
      <c r="F362" s="40"/>
      <c r="G362" s="40"/>
    </row>
    <row r="363" spans="1:7" x14ac:dyDescent="0.25">
      <c r="A363" s="39"/>
      <c r="B363" s="39"/>
      <c r="C363" s="40"/>
      <c r="D363" s="42"/>
      <c r="F363" s="40"/>
      <c r="G363" s="40"/>
    </row>
    <row r="364" spans="1:7" x14ac:dyDescent="0.25">
      <c r="A364" s="39"/>
      <c r="B364" s="39"/>
      <c r="C364" s="40"/>
      <c r="D364" s="42"/>
      <c r="F364" s="40"/>
      <c r="G364" s="40"/>
    </row>
    <row r="365" spans="1:7" x14ac:dyDescent="0.25">
      <c r="A365" s="39"/>
      <c r="B365" s="39"/>
      <c r="C365" s="40"/>
      <c r="D365" s="42"/>
      <c r="F365" s="40"/>
      <c r="G365" s="40"/>
    </row>
    <row r="366" spans="1:7" x14ac:dyDescent="0.25">
      <c r="A366" s="39"/>
      <c r="B366" s="39"/>
      <c r="C366" s="40"/>
      <c r="D366" s="42"/>
      <c r="F366" s="40"/>
      <c r="G366" s="40"/>
    </row>
    <row r="367" spans="1:7" x14ac:dyDescent="0.25">
      <c r="A367" s="39"/>
      <c r="B367" s="39"/>
      <c r="C367" s="40"/>
      <c r="D367" s="42"/>
      <c r="F367" s="40"/>
      <c r="G367" s="40"/>
    </row>
    <row r="368" spans="1:7" x14ac:dyDescent="0.25">
      <c r="A368" s="39"/>
      <c r="B368" s="39"/>
      <c r="C368" s="40"/>
      <c r="D368" s="42"/>
      <c r="F368" s="40"/>
      <c r="G368" s="40"/>
    </row>
    <row r="369" spans="1:7" x14ac:dyDescent="0.25">
      <c r="A369" s="39"/>
      <c r="B369" s="39"/>
      <c r="C369" s="40"/>
      <c r="D369" s="42"/>
      <c r="F369" s="40"/>
      <c r="G369" s="40"/>
    </row>
    <row r="370" spans="1:7" x14ac:dyDescent="0.25">
      <c r="A370" s="39"/>
      <c r="B370" s="39"/>
      <c r="C370" s="40"/>
      <c r="D370" s="42"/>
      <c r="F370" s="40"/>
      <c r="G370" s="40"/>
    </row>
    <row r="371" spans="1:7" x14ac:dyDescent="0.25">
      <c r="A371" s="39"/>
      <c r="B371" s="39"/>
      <c r="C371" s="40"/>
      <c r="D371" s="42"/>
      <c r="F371" s="40"/>
      <c r="G371" s="40"/>
    </row>
    <row r="372" spans="1:7" x14ac:dyDescent="0.25">
      <c r="A372" s="39"/>
      <c r="B372" s="39"/>
      <c r="C372" s="40"/>
      <c r="D372" s="42"/>
      <c r="F372" s="40"/>
      <c r="G372" s="40"/>
    </row>
    <row r="373" spans="1:7" x14ac:dyDescent="0.25">
      <c r="A373" s="39"/>
      <c r="B373" s="39"/>
      <c r="C373" s="40"/>
      <c r="D373" s="42"/>
      <c r="F373" s="40"/>
      <c r="G373" s="40"/>
    </row>
    <row r="374" spans="1:7" x14ac:dyDescent="0.25">
      <c r="A374" s="39"/>
      <c r="B374" s="39"/>
      <c r="C374" s="40"/>
      <c r="D374" s="42"/>
      <c r="F374" s="40"/>
      <c r="G374" s="40"/>
    </row>
    <row r="375" spans="1:7" x14ac:dyDescent="0.25">
      <c r="A375" s="39"/>
      <c r="B375" s="39"/>
      <c r="C375" s="40"/>
      <c r="D375" s="42"/>
      <c r="F375" s="40"/>
      <c r="G375" s="40"/>
    </row>
    <row r="376" spans="1:7" x14ac:dyDescent="0.25">
      <c r="A376" s="39"/>
      <c r="B376" s="39"/>
      <c r="C376" s="40"/>
      <c r="D376" s="42"/>
      <c r="F376" s="40"/>
      <c r="G376" s="40"/>
    </row>
    <row r="377" spans="1:7" x14ac:dyDescent="0.25">
      <c r="A377" s="39"/>
      <c r="B377" s="39"/>
      <c r="C377" s="40"/>
      <c r="D377" s="42"/>
      <c r="F377" s="40"/>
      <c r="G377" s="40"/>
    </row>
    <row r="378" spans="1:7" x14ac:dyDescent="0.25">
      <c r="A378" s="39"/>
      <c r="B378" s="39"/>
      <c r="C378" s="40"/>
      <c r="D378" s="42"/>
      <c r="F378" s="40"/>
      <c r="G378" s="40"/>
    </row>
    <row r="379" spans="1:7" x14ac:dyDescent="0.25">
      <c r="A379" s="39"/>
      <c r="B379" s="39"/>
      <c r="C379" s="40"/>
      <c r="D379" s="42"/>
      <c r="F379" s="40"/>
      <c r="G379" s="40"/>
    </row>
    <row r="380" spans="1:7" x14ac:dyDescent="0.25">
      <c r="A380" s="39"/>
      <c r="B380" s="39"/>
      <c r="C380" s="40"/>
      <c r="D380" s="42"/>
      <c r="F380" s="40"/>
      <c r="G380" s="40"/>
    </row>
    <row r="381" spans="1:7" x14ac:dyDescent="0.25">
      <c r="A381" s="39"/>
      <c r="B381" s="39"/>
      <c r="C381" s="40"/>
      <c r="D381" s="42"/>
      <c r="F381" s="40"/>
      <c r="G381" s="40"/>
    </row>
    <row r="382" spans="1:7" x14ac:dyDescent="0.25">
      <c r="A382" s="39"/>
      <c r="B382" s="39"/>
      <c r="C382" s="40"/>
      <c r="D382" s="42"/>
      <c r="F382" s="40"/>
      <c r="G382" s="40"/>
    </row>
    <row r="383" spans="1:7" x14ac:dyDescent="0.25">
      <c r="A383" s="39"/>
      <c r="B383" s="39"/>
    </row>
    <row r="384" spans="1:7" x14ac:dyDescent="0.25">
      <c r="A384" s="39"/>
      <c r="B384" s="39"/>
    </row>
    <row r="385" spans="1:2" x14ac:dyDescent="0.25">
      <c r="A385" s="39"/>
      <c r="B385" s="39"/>
    </row>
    <row r="386" spans="1:2" x14ac:dyDescent="0.25">
      <c r="A386" s="39"/>
      <c r="B386" s="39"/>
    </row>
    <row r="387" spans="1:2" x14ac:dyDescent="0.25">
      <c r="A387" s="39"/>
      <c r="B387" s="39"/>
    </row>
    <row r="388" spans="1:2" x14ac:dyDescent="0.25">
      <c r="A388" s="39"/>
      <c r="B388" s="39"/>
    </row>
    <row r="389" spans="1:2" x14ac:dyDescent="0.25">
      <c r="A389" s="39"/>
      <c r="B389" s="39"/>
    </row>
    <row r="390" spans="1:2" x14ac:dyDescent="0.25">
      <c r="A390" s="39"/>
      <c r="B390" s="39"/>
    </row>
    <row r="391" spans="1:2" x14ac:dyDescent="0.25">
      <c r="A391" s="39"/>
      <c r="B391" s="39"/>
    </row>
    <row r="392" spans="1:2" x14ac:dyDescent="0.25">
      <c r="A392" s="39"/>
      <c r="B392" s="39"/>
    </row>
    <row r="393" spans="1:2" x14ac:dyDescent="0.25">
      <c r="A393" s="39"/>
      <c r="B393" s="39"/>
    </row>
    <row r="394" spans="1:2" x14ac:dyDescent="0.25">
      <c r="A394" s="39"/>
      <c r="B394" s="39"/>
    </row>
    <row r="395" spans="1:2" x14ac:dyDescent="0.25">
      <c r="A395" s="39"/>
      <c r="B395" s="39"/>
    </row>
    <row r="396" spans="1:2" x14ac:dyDescent="0.25">
      <c r="A396" s="39"/>
      <c r="B396" s="39"/>
    </row>
    <row r="397" spans="1:2" x14ac:dyDescent="0.25">
      <c r="A397" s="39"/>
      <c r="B397" s="39"/>
    </row>
    <row r="398" spans="1:2" x14ac:dyDescent="0.25">
      <c r="A398" s="39"/>
      <c r="B398" s="39"/>
    </row>
    <row r="399" spans="1:2" x14ac:dyDescent="0.25">
      <c r="A399" s="39"/>
      <c r="B399" s="39"/>
    </row>
    <row r="400" spans="1:2" x14ac:dyDescent="0.25">
      <c r="A400" s="39"/>
      <c r="B400" s="39"/>
    </row>
    <row r="401" spans="1:2" x14ac:dyDescent="0.25">
      <c r="A401" s="39"/>
      <c r="B401" s="39"/>
    </row>
    <row r="402" spans="1:2" x14ac:dyDescent="0.25">
      <c r="A402" s="39"/>
      <c r="B402" s="39"/>
    </row>
    <row r="403" spans="1:2" x14ac:dyDescent="0.25">
      <c r="A403" s="39"/>
      <c r="B403" s="39"/>
    </row>
    <row r="404" spans="1:2" x14ac:dyDescent="0.25">
      <c r="A404" s="39"/>
      <c r="B404" s="39"/>
    </row>
    <row r="405" spans="1:2" x14ac:dyDescent="0.25">
      <c r="A405" s="39"/>
      <c r="B405" s="39"/>
    </row>
    <row r="406" spans="1:2" x14ac:dyDescent="0.25">
      <c r="A406" s="39"/>
      <c r="B406" s="39"/>
    </row>
    <row r="407" spans="1:2" x14ac:dyDescent="0.25">
      <c r="A407" s="39"/>
      <c r="B407" s="39"/>
    </row>
    <row r="408" spans="1:2" x14ac:dyDescent="0.25">
      <c r="A408" s="39"/>
      <c r="B408" s="39"/>
    </row>
    <row r="409" spans="1:2" x14ac:dyDescent="0.25">
      <c r="A409" s="39"/>
      <c r="B409" s="39"/>
    </row>
    <row r="410" spans="1:2" x14ac:dyDescent="0.25">
      <c r="A410" s="39"/>
      <c r="B410" s="39"/>
    </row>
    <row r="411" spans="1:2" x14ac:dyDescent="0.25">
      <c r="A411" s="39"/>
      <c r="B411" s="39"/>
    </row>
    <row r="412" spans="1:2" x14ac:dyDescent="0.25">
      <c r="A412" s="39"/>
      <c r="B412" s="39"/>
    </row>
    <row r="413" spans="1:2" x14ac:dyDescent="0.25">
      <c r="A413" s="39"/>
      <c r="B413" s="39"/>
    </row>
    <row r="414" spans="1:2" x14ac:dyDescent="0.25">
      <c r="A414" s="39"/>
      <c r="B414" s="39"/>
    </row>
    <row r="415" spans="1:2" x14ac:dyDescent="0.25">
      <c r="A415" s="39"/>
      <c r="B415" s="39"/>
    </row>
    <row r="416" spans="1:2" x14ac:dyDescent="0.25">
      <c r="A416" s="39"/>
      <c r="B416" s="39"/>
    </row>
    <row r="417" spans="1:2" x14ac:dyDescent="0.25">
      <c r="A417" s="39"/>
      <c r="B417" s="39"/>
    </row>
    <row r="418" spans="1:2" x14ac:dyDescent="0.25">
      <c r="A418" s="39"/>
      <c r="B418" s="39"/>
    </row>
  </sheetData>
  <printOptions horizontalCentered="1"/>
  <pageMargins left="0.95" right="0.45" top="0.5" bottom="0.5" header="0.3" footer="0"/>
  <pageSetup scale="78" fitToHeight="0" orientation="portrait" r:id="rId1"/>
  <headerFooter>
    <oddFooter>&amp;L2013/2014 Investment&amp;RPage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2"/>
  <sheetViews>
    <sheetView workbookViewId="0">
      <selection activeCell="K18" sqref="K18"/>
    </sheetView>
  </sheetViews>
  <sheetFormatPr defaultRowHeight="15" x14ac:dyDescent="0.25"/>
  <cols>
    <col min="1" max="1" width="2.7109375" style="169" customWidth="1"/>
    <col min="2" max="2" width="5.7109375" style="169" customWidth="1"/>
    <col min="3" max="3" width="7.5703125" style="169" customWidth="1"/>
    <col min="4" max="4" width="10.42578125" style="169" customWidth="1"/>
    <col min="5" max="5" width="12.140625" style="169" customWidth="1"/>
    <col min="6" max="6" width="12.7109375" style="169" customWidth="1"/>
    <col min="7" max="7" width="10.85546875" style="169" bestFit="1" customWidth="1"/>
    <col min="8" max="8" width="5.28515625" style="169" customWidth="1"/>
    <col min="9" max="9" width="12" style="169" customWidth="1"/>
    <col min="10" max="10" width="12.7109375" style="169" customWidth="1"/>
    <col min="11" max="11" width="2" style="169" customWidth="1"/>
    <col min="12" max="12" width="5.7109375" style="169" customWidth="1"/>
    <col min="13" max="13" width="7.5703125" style="169" customWidth="1"/>
    <col min="14" max="14" width="8.85546875" style="169" customWidth="1"/>
    <col min="15" max="15" width="9.5703125" style="169" customWidth="1"/>
    <col min="16" max="16" width="12.7109375" style="169" customWidth="1"/>
    <col min="17" max="17" width="10.85546875" style="169" bestFit="1" customWidth="1"/>
    <col min="18" max="18" width="9.42578125" style="169" customWidth="1"/>
    <col min="19" max="19" width="8.28515625" style="169" customWidth="1"/>
    <col min="20" max="20" width="12.7109375" style="169" customWidth="1"/>
    <col min="21" max="21" width="2.7109375" style="169" customWidth="1"/>
    <col min="22" max="22" width="12" style="169" customWidth="1"/>
    <col min="23" max="23" width="11.85546875" style="169" customWidth="1"/>
    <col min="24" max="24" width="11.7109375" style="169" customWidth="1"/>
    <col min="25" max="16384" width="9.140625" style="169"/>
  </cols>
  <sheetData>
    <row r="2" spans="2:24" x14ac:dyDescent="0.25">
      <c r="B2" s="223" t="s">
        <v>138</v>
      </c>
      <c r="C2" s="170"/>
      <c r="D2" s="222"/>
      <c r="E2" s="222"/>
      <c r="F2" s="222"/>
      <c r="G2" s="222"/>
      <c r="H2" s="222"/>
      <c r="I2" s="222"/>
      <c r="J2" s="222"/>
      <c r="K2" s="222"/>
      <c r="L2" s="223"/>
      <c r="M2" s="170"/>
      <c r="N2" s="222"/>
      <c r="O2" s="222"/>
      <c r="P2" s="222"/>
      <c r="Q2" s="222"/>
      <c r="R2" s="222"/>
      <c r="S2" s="222"/>
      <c r="T2" s="222"/>
    </row>
    <row r="3" spans="2:24" x14ac:dyDescent="0.25">
      <c r="B3" s="223" t="s">
        <v>137</v>
      </c>
      <c r="C3" s="170"/>
      <c r="D3" s="222"/>
      <c r="E3" s="222"/>
      <c r="F3" s="222"/>
      <c r="G3" s="222"/>
      <c r="H3" s="222"/>
      <c r="I3" s="222"/>
      <c r="J3" s="222"/>
      <c r="K3" s="222"/>
      <c r="L3" s="223"/>
      <c r="M3" s="170"/>
      <c r="N3" s="222"/>
      <c r="O3" s="222"/>
      <c r="P3" s="222"/>
      <c r="Q3" s="222"/>
      <c r="R3" s="222"/>
      <c r="S3" s="222"/>
      <c r="T3" s="222"/>
    </row>
    <row r="4" spans="2:24" x14ac:dyDescent="0.25">
      <c r="B4" s="223" t="s">
        <v>136</v>
      </c>
      <c r="C4" s="170"/>
      <c r="D4" s="222"/>
      <c r="E4" s="222"/>
      <c r="F4" s="222"/>
      <c r="G4" s="222"/>
      <c r="H4" s="222"/>
      <c r="I4" s="222"/>
      <c r="J4" s="222"/>
      <c r="K4" s="222"/>
      <c r="L4" s="223"/>
      <c r="M4" s="170"/>
      <c r="N4" s="222"/>
      <c r="O4" s="222"/>
      <c r="P4" s="222"/>
      <c r="Q4" s="222"/>
      <c r="R4" s="222"/>
      <c r="S4" s="222"/>
      <c r="T4" s="222"/>
    </row>
    <row r="5" spans="2:24" ht="15.75" thickBot="1" x14ac:dyDescent="0.3">
      <c r="B5" s="223" t="s">
        <v>135</v>
      </c>
      <c r="C5" s="170"/>
      <c r="D5" s="222"/>
      <c r="E5" s="222"/>
      <c r="F5" s="222"/>
      <c r="G5" s="222"/>
      <c r="H5" s="222"/>
      <c r="I5" s="222"/>
      <c r="J5" s="222"/>
      <c r="K5" s="222"/>
      <c r="L5" s="223"/>
      <c r="M5" s="170"/>
      <c r="N5" s="222"/>
      <c r="O5" s="222"/>
      <c r="P5" s="222"/>
      <c r="Q5" s="222"/>
      <c r="R5" s="222"/>
      <c r="S5" s="222"/>
      <c r="T5" s="222"/>
    </row>
    <row r="6" spans="2:24" ht="15.75" thickBot="1" x14ac:dyDescent="0.3">
      <c r="B6" s="223"/>
      <c r="C6" s="257"/>
      <c r="D6" s="258" t="s">
        <v>153</v>
      </c>
      <c r="E6" s="258"/>
      <c r="F6" s="258"/>
      <c r="G6" s="258"/>
      <c r="H6" s="258"/>
      <c r="I6" s="259"/>
      <c r="J6" s="222"/>
      <c r="K6" s="222"/>
      <c r="L6" s="223"/>
      <c r="M6" s="257"/>
      <c r="N6" s="258" t="s">
        <v>154</v>
      </c>
      <c r="O6" s="258"/>
      <c r="P6" s="258"/>
      <c r="Q6" s="258"/>
      <c r="R6" s="258"/>
      <c r="S6" s="259"/>
      <c r="T6" s="222"/>
    </row>
    <row r="7" spans="2:24" x14ac:dyDescent="0.25">
      <c r="B7" s="196"/>
      <c r="C7" s="255" t="s">
        <v>134</v>
      </c>
      <c r="D7" s="256"/>
      <c r="E7" s="256"/>
      <c r="F7" s="256"/>
      <c r="G7" s="256"/>
      <c r="H7" s="256"/>
      <c r="I7" s="256"/>
      <c r="J7" s="220"/>
      <c r="K7" s="215"/>
      <c r="L7" s="196"/>
      <c r="M7" s="255" t="s">
        <v>134</v>
      </c>
      <c r="N7" s="256"/>
      <c r="O7" s="256"/>
      <c r="P7" s="256"/>
      <c r="Q7" s="256"/>
      <c r="R7" s="256"/>
      <c r="S7" s="256"/>
      <c r="T7" s="220"/>
    </row>
    <row r="8" spans="2:24" x14ac:dyDescent="0.25">
      <c r="B8" s="182"/>
      <c r="C8" s="221"/>
      <c r="D8" s="218" t="s">
        <v>133</v>
      </c>
      <c r="E8" s="218"/>
      <c r="F8" s="220"/>
      <c r="G8" s="219" t="s">
        <v>132</v>
      </c>
      <c r="H8" s="218"/>
      <c r="I8" s="218"/>
      <c r="J8" s="217"/>
      <c r="K8" s="178"/>
      <c r="L8" s="182"/>
      <c r="M8" s="221"/>
      <c r="N8" s="218" t="s">
        <v>133</v>
      </c>
      <c r="O8" s="218"/>
      <c r="P8" s="220"/>
      <c r="Q8" s="219" t="s">
        <v>132</v>
      </c>
      <c r="R8" s="218"/>
      <c r="S8" s="218"/>
      <c r="T8" s="217"/>
    </row>
    <row r="9" spans="2:24" x14ac:dyDescent="0.25">
      <c r="B9" s="182"/>
      <c r="C9" s="179"/>
      <c r="D9" s="178"/>
      <c r="E9" s="178"/>
      <c r="F9" s="212" t="s">
        <v>131</v>
      </c>
      <c r="G9" s="216"/>
      <c r="H9" s="215"/>
      <c r="I9" s="215"/>
      <c r="J9" s="183"/>
      <c r="K9" s="178"/>
      <c r="L9" s="182"/>
      <c r="M9" s="179"/>
      <c r="N9" s="178"/>
      <c r="O9" s="178"/>
      <c r="P9" s="212" t="s">
        <v>131</v>
      </c>
      <c r="Q9" s="216"/>
      <c r="R9" s="215"/>
      <c r="S9" s="215"/>
      <c r="T9" s="183"/>
    </row>
    <row r="10" spans="2:24" x14ac:dyDescent="0.25">
      <c r="B10" s="182" t="s">
        <v>130</v>
      </c>
      <c r="C10" s="214" t="s">
        <v>129</v>
      </c>
      <c r="D10" s="213" t="s">
        <v>96</v>
      </c>
      <c r="E10" s="213" t="s">
        <v>128</v>
      </c>
      <c r="F10" s="212" t="s">
        <v>127</v>
      </c>
      <c r="G10" s="214" t="s">
        <v>126</v>
      </c>
      <c r="H10" s="213" t="s">
        <v>125</v>
      </c>
      <c r="I10" s="213" t="s">
        <v>124</v>
      </c>
      <c r="J10" s="212" t="s">
        <v>123</v>
      </c>
      <c r="K10" s="213"/>
      <c r="L10" s="182" t="s">
        <v>130</v>
      </c>
      <c r="M10" s="214" t="s">
        <v>129</v>
      </c>
      <c r="N10" s="213" t="s">
        <v>96</v>
      </c>
      <c r="O10" s="213" t="s">
        <v>128</v>
      </c>
      <c r="P10" s="212" t="s">
        <v>127</v>
      </c>
      <c r="Q10" s="214" t="s">
        <v>126</v>
      </c>
      <c r="R10" s="213" t="s">
        <v>125</v>
      </c>
      <c r="S10" s="213" t="s">
        <v>124</v>
      </c>
      <c r="T10" s="212" t="s">
        <v>123</v>
      </c>
    </row>
    <row r="11" spans="2:24" x14ac:dyDescent="0.25">
      <c r="B11" s="182"/>
      <c r="C11" s="211" t="s">
        <v>96</v>
      </c>
      <c r="D11" s="210" t="s">
        <v>122</v>
      </c>
      <c r="E11" s="210" t="s">
        <v>121</v>
      </c>
      <c r="F11" s="209" t="s">
        <v>120</v>
      </c>
      <c r="G11" s="211" t="s">
        <v>119</v>
      </c>
      <c r="H11" s="210" t="s">
        <v>118</v>
      </c>
      <c r="I11" s="210" t="s">
        <v>117</v>
      </c>
      <c r="J11" s="209" t="s">
        <v>116</v>
      </c>
      <c r="K11" s="213"/>
      <c r="L11" s="182"/>
      <c r="M11" s="211" t="s">
        <v>96</v>
      </c>
      <c r="N11" s="210" t="s">
        <v>122</v>
      </c>
      <c r="O11" s="210" t="s">
        <v>121</v>
      </c>
      <c r="P11" s="209" t="s">
        <v>120</v>
      </c>
      <c r="Q11" s="211" t="s">
        <v>119</v>
      </c>
      <c r="R11" s="210" t="s">
        <v>118</v>
      </c>
      <c r="S11" s="210" t="s">
        <v>117</v>
      </c>
      <c r="T11" s="209" t="s">
        <v>116</v>
      </c>
    </row>
    <row r="12" spans="2:24" x14ac:dyDescent="0.25">
      <c r="B12" s="182"/>
      <c r="C12" s="206" t="s">
        <v>115</v>
      </c>
      <c r="D12" s="208" t="s">
        <v>114</v>
      </c>
      <c r="E12" s="207" t="s">
        <v>113</v>
      </c>
      <c r="F12" s="203" t="s">
        <v>112</v>
      </c>
      <c r="G12" s="206" t="s">
        <v>111</v>
      </c>
      <c r="H12" s="205" t="s">
        <v>110</v>
      </c>
      <c r="I12" s="204" t="s">
        <v>109</v>
      </c>
      <c r="J12" s="203" t="s">
        <v>108</v>
      </c>
      <c r="K12" s="207"/>
      <c r="L12" s="182"/>
      <c r="M12" s="206" t="s">
        <v>115</v>
      </c>
      <c r="N12" s="208" t="s">
        <v>114</v>
      </c>
      <c r="O12" s="207" t="s">
        <v>113</v>
      </c>
      <c r="P12" s="203" t="s">
        <v>112</v>
      </c>
      <c r="Q12" s="206" t="s">
        <v>111</v>
      </c>
      <c r="R12" s="205" t="s">
        <v>110</v>
      </c>
      <c r="S12" s="204" t="s">
        <v>109</v>
      </c>
      <c r="T12" s="203" t="s">
        <v>108</v>
      </c>
    </row>
    <row r="13" spans="2:24" ht="30" x14ac:dyDescent="0.25">
      <c r="B13" s="176"/>
      <c r="C13" s="200"/>
      <c r="D13" s="202"/>
      <c r="E13" s="201"/>
      <c r="F13" s="197" t="s">
        <v>107</v>
      </c>
      <c r="G13" s="200" t="s">
        <v>106</v>
      </c>
      <c r="H13" s="199"/>
      <c r="I13" s="198"/>
      <c r="J13" s="197" t="s">
        <v>105</v>
      </c>
      <c r="K13" s="252"/>
      <c r="L13" s="176"/>
      <c r="M13" s="200"/>
      <c r="N13" s="202"/>
      <c r="O13" s="201"/>
      <c r="P13" s="197" t="s">
        <v>107</v>
      </c>
      <c r="Q13" s="200" t="s">
        <v>106</v>
      </c>
      <c r="R13" s="199"/>
      <c r="S13" s="198"/>
      <c r="T13" s="197" t="s">
        <v>105</v>
      </c>
      <c r="V13" s="169" t="s">
        <v>149</v>
      </c>
      <c r="W13" s="169" t="s">
        <v>150</v>
      </c>
      <c r="X13" s="250" t="s">
        <v>151</v>
      </c>
    </row>
    <row r="14" spans="2:24" x14ac:dyDescent="0.25">
      <c r="B14" s="196">
        <f>ROW()</f>
        <v>14</v>
      </c>
      <c r="C14" s="194"/>
      <c r="D14" s="193"/>
      <c r="E14" s="181"/>
      <c r="F14" s="185"/>
      <c r="G14" s="192"/>
      <c r="H14" s="191"/>
      <c r="I14" s="181"/>
      <c r="J14" s="185"/>
      <c r="K14" s="181"/>
      <c r="L14" s="196">
        <f>ROW()</f>
        <v>14</v>
      </c>
      <c r="M14" s="194"/>
      <c r="N14" s="193"/>
      <c r="O14" s="181"/>
      <c r="P14" s="185"/>
      <c r="Q14" s="192"/>
      <c r="R14" s="191"/>
      <c r="S14" s="181"/>
      <c r="T14" s="185"/>
    </row>
    <row r="15" spans="2:24" x14ac:dyDescent="0.25">
      <c r="B15" s="182">
        <f>ROW()</f>
        <v>15</v>
      </c>
      <c r="C15" s="194"/>
      <c r="D15" s="193">
        <v>43982</v>
      </c>
      <c r="E15" s="181"/>
      <c r="F15" s="195">
        <f>V15</f>
        <v>-1094286.5493386681</v>
      </c>
      <c r="G15" s="192"/>
      <c r="H15" s="191"/>
      <c r="I15" s="181"/>
      <c r="J15" s="195">
        <f>F15</f>
        <v>-1094286.5493386681</v>
      </c>
      <c r="K15" s="253"/>
      <c r="L15" s="182">
        <f>ROW()</f>
        <v>15</v>
      </c>
      <c r="M15" s="194"/>
      <c r="N15" s="193">
        <v>43982</v>
      </c>
      <c r="O15" s="181"/>
      <c r="P15" s="195">
        <f>W15</f>
        <v>-8027862.6070872368</v>
      </c>
      <c r="Q15" s="192"/>
      <c r="R15" s="191"/>
      <c r="S15" s="181"/>
      <c r="T15" s="195">
        <f>P15</f>
        <v>-8027862.6070872368</v>
      </c>
      <c r="U15" s="40"/>
      <c r="V15" s="248">
        <f>'2017-2018 Investment'!E41</f>
        <v>-1094286.5493386681</v>
      </c>
      <c r="W15" s="248">
        <f>'2016-2017 Investment'!E53</f>
        <v>-8027862.6070872368</v>
      </c>
      <c r="X15" s="249">
        <f>+W15+V15</f>
        <v>-9122149.1564259045</v>
      </c>
    </row>
    <row r="16" spans="2:24" x14ac:dyDescent="0.25">
      <c r="B16" s="182">
        <f>ROW()</f>
        <v>16</v>
      </c>
      <c r="C16" s="194">
        <v>30</v>
      </c>
      <c r="D16" s="193">
        <v>44012</v>
      </c>
      <c r="E16" s="181">
        <f>V16-V15</f>
        <v>-44578.358745327685</v>
      </c>
      <c r="F16" s="185">
        <f>V16</f>
        <v>-1138864.9080839958</v>
      </c>
      <c r="G16" s="192">
        <f>H16-SUM(C$16:$C16)+1</f>
        <v>336</v>
      </c>
      <c r="H16" s="191">
        <f>C28</f>
        <v>365</v>
      </c>
      <c r="I16" s="251">
        <f>+G16/H16*E16</f>
        <v>-41036.516543644117</v>
      </c>
      <c r="J16" s="185">
        <f t="shared" ref="J16:J27" si="0">+J15-I16</f>
        <v>-1053250.0327950241</v>
      </c>
      <c r="K16" s="181"/>
      <c r="L16" s="182">
        <f>ROW()</f>
        <v>16</v>
      </c>
      <c r="M16" s="194">
        <v>30</v>
      </c>
      <c r="N16" s="193">
        <v>44012</v>
      </c>
      <c r="O16" s="181">
        <f>W16-W15</f>
        <v>-4681.4876318583265</v>
      </c>
      <c r="P16" s="185">
        <f>W16</f>
        <v>-8032544.0947190952</v>
      </c>
      <c r="Q16" s="192">
        <f>+G16</f>
        <v>336</v>
      </c>
      <c r="R16" s="191">
        <f>M28</f>
        <v>365</v>
      </c>
      <c r="S16" s="251">
        <f>+Q16/R16*O16</f>
        <v>-4309.5338200120486</v>
      </c>
      <c r="T16" s="185">
        <f t="shared" ref="T16:T27" si="1">+T15-S16</f>
        <v>-8023553.0732672252</v>
      </c>
      <c r="V16" s="248">
        <f>'2017-2018 Investment'!E42</f>
        <v>-1138864.9080839958</v>
      </c>
      <c r="W16" s="248">
        <f>'2016-2017 Investment'!E54</f>
        <v>-8032544.0947190952</v>
      </c>
      <c r="X16" s="249">
        <f t="shared" ref="X16:X27" si="2">+W16+V16</f>
        <v>-9171409.002803091</v>
      </c>
    </row>
    <row r="17" spans="2:24" x14ac:dyDescent="0.25">
      <c r="B17" s="182">
        <f>ROW()</f>
        <v>17</v>
      </c>
      <c r="C17" s="194">
        <v>31</v>
      </c>
      <c r="D17" s="193">
        <v>44043</v>
      </c>
      <c r="E17" s="181">
        <f t="shared" ref="E17:E27" si="3">+E16</f>
        <v>-44578.358745327685</v>
      </c>
      <c r="F17" s="185">
        <f t="shared" ref="F17:F27" si="4">V17</f>
        <v>-1183443.2668293235</v>
      </c>
      <c r="G17" s="192">
        <f>H17-SUM(C$16:$C17)+1</f>
        <v>305</v>
      </c>
      <c r="H17" s="191">
        <f t="shared" ref="H17:H27" si="5">H16</f>
        <v>365</v>
      </c>
      <c r="I17" s="181">
        <f t="shared" ref="I17:I27" si="6">+G17/H17*E17</f>
        <v>-37250.40936253409</v>
      </c>
      <c r="J17" s="185">
        <f t="shared" si="0"/>
        <v>-1015999.62343249</v>
      </c>
      <c r="K17" s="181"/>
      <c r="L17" s="182">
        <f>ROW()</f>
        <v>17</v>
      </c>
      <c r="M17" s="194">
        <v>31</v>
      </c>
      <c r="N17" s="193">
        <v>44043</v>
      </c>
      <c r="O17" s="181">
        <f t="shared" ref="O17:O27" si="7">+O16</f>
        <v>-4681.4876318583265</v>
      </c>
      <c r="P17" s="185">
        <f t="shared" ref="P17:P27" si="8">W17</f>
        <v>-8037225.5823509535</v>
      </c>
      <c r="Q17" s="192">
        <f t="shared" ref="Q17:Q27" si="9">+G17</f>
        <v>305</v>
      </c>
      <c r="R17" s="191">
        <f t="shared" ref="R17:R27" si="10">R16</f>
        <v>365</v>
      </c>
      <c r="S17" s="181">
        <f t="shared" ref="S17:S27" si="11">+Q17/R17*O17</f>
        <v>-3911.9280211418895</v>
      </c>
      <c r="T17" s="185">
        <f t="shared" si="1"/>
        <v>-8019641.1452460829</v>
      </c>
      <c r="V17" s="248">
        <f>'2017-2018 Investment'!E43</f>
        <v>-1183443.2668293235</v>
      </c>
      <c r="W17" s="248">
        <f>'2016-2017 Investment'!E55</f>
        <v>-8037225.5823509535</v>
      </c>
      <c r="X17" s="249">
        <f t="shared" si="2"/>
        <v>-9220668.8491802774</v>
      </c>
    </row>
    <row r="18" spans="2:24" x14ac:dyDescent="0.25">
      <c r="B18" s="182">
        <f>ROW()</f>
        <v>18</v>
      </c>
      <c r="C18" s="194">
        <v>31</v>
      </c>
      <c r="D18" s="193">
        <v>44074</v>
      </c>
      <c r="E18" s="181">
        <f t="shared" si="3"/>
        <v>-44578.358745327685</v>
      </c>
      <c r="F18" s="185">
        <f t="shared" si="4"/>
        <v>-1228021.6255746512</v>
      </c>
      <c r="G18" s="192">
        <f>H18-SUM(C$16:$C18)+1</f>
        <v>274</v>
      </c>
      <c r="H18" s="191">
        <f t="shared" si="5"/>
        <v>365</v>
      </c>
      <c r="I18" s="181">
        <f t="shared" si="6"/>
        <v>-33464.302181424071</v>
      </c>
      <c r="J18" s="185">
        <f t="shared" si="0"/>
        <v>-982535.32125106594</v>
      </c>
      <c r="K18" s="181"/>
      <c r="L18" s="182">
        <f>ROW()</f>
        <v>18</v>
      </c>
      <c r="M18" s="194">
        <v>31</v>
      </c>
      <c r="N18" s="193">
        <v>44074</v>
      </c>
      <c r="O18" s="181">
        <f t="shared" si="7"/>
        <v>-4681.4876318583265</v>
      </c>
      <c r="P18" s="185">
        <f t="shared" si="8"/>
        <v>-8041907.0699828118</v>
      </c>
      <c r="Q18" s="192">
        <f t="shared" si="9"/>
        <v>274</v>
      </c>
      <c r="R18" s="191">
        <f t="shared" si="10"/>
        <v>365</v>
      </c>
      <c r="S18" s="181">
        <f t="shared" si="11"/>
        <v>-3514.32222227173</v>
      </c>
      <c r="T18" s="185">
        <f t="shared" si="1"/>
        <v>-8016126.823023811</v>
      </c>
      <c r="V18" s="248">
        <f>'2017-2018 Investment'!E44</f>
        <v>-1228021.6255746512</v>
      </c>
      <c r="W18" s="248">
        <f>'2016-2017 Investment'!E56</f>
        <v>-8041907.0699828118</v>
      </c>
      <c r="X18" s="249">
        <f t="shared" si="2"/>
        <v>-9269928.6955574639</v>
      </c>
    </row>
    <row r="19" spans="2:24" x14ac:dyDescent="0.25">
      <c r="B19" s="182">
        <f>ROW()</f>
        <v>19</v>
      </c>
      <c r="C19" s="194">
        <v>30</v>
      </c>
      <c r="D19" s="193">
        <v>44104</v>
      </c>
      <c r="E19" s="181">
        <f t="shared" si="3"/>
        <v>-44578.358745327685</v>
      </c>
      <c r="F19" s="185">
        <f t="shared" si="4"/>
        <v>-1272599.9843199789</v>
      </c>
      <c r="G19" s="192">
        <f>H19-SUM(C$16:$C19)+1</f>
        <v>244</v>
      </c>
      <c r="H19" s="191">
        <f t="shared" si="5"/>
        <v>365</v>
      </c>
      <c r="I19" s="181">
        <f t="shared" si="6"/>
        <v>-29800.327490027277</v>
      </c>
      <c r="J19" s="185">
        <f t="shared" si="0"/>
        <v>-952734.99376103864</v>
      </c>
      <c r="K19" s="181"/>
      <c r="L19" s="182">
        <f>ROW()</f>
        <v>19</v>
      </c>
      <c r="M19" s="194">
        <v>30</v>
      </c>
      <c r="N19" s="193">
        <v>44104</v>
      </c>
      <c r="O19" s="181">
        <f t="shared" si="7"/>
        <v>-4681.4876318583265</v>
      </c>
      <c r="P19" s="185">
        <f t="shared" si="8"/>
        <v>-8046588.5576146701</v>
      </c>
      <c r="Q19" s="192">
        <f t="shared" si="9"/>
        <v>244</v>
      </c>
      <c r="R19" s="191">
        <f t="shared" si="10"/>
        <v>365</v>
      </c>
      <c r="S19" s="181">
        <f t="shared" si="11"/>
        <v>-3129.5424169135117</v>
      </c>
      <c r="T19" s="185">
        <f t="shared" si="1"/>
        <v>-8012997.2806068975</v>
      </c>
      <c r="V19" s="248">
        <f>'2017-2018 Investment'!E45</f>
        <v>-1272599.9843199789</v>
      </c>
      <c r="W19" s="248">
        <f>'2016-2017 Investment'!E57</f>
        <v>-8046588.5576146701</v>
      </c>
      <c r="X19" s="249">
        <f t="shared" si="2"/>
        <v>-9319188.5419346485</v>
      </c>
    </row>
    <row r="20" spans="2:24" x14ac:dyDescent="0.25">
      <c r="B20" s="182">
        <f>ROW()</f>
        <v>20</v>
      </c>
      <c r="C20" s="194">
        <v>31</v>
      </c>
      <c r="D20" s="193">
        <v>44135</v>
      </c>
      <c r="E20" s="181">
        <f t="shared" si="3"/>
        <v>-44578.358745327685</v>
      </c>
      <c r="F20" s="185">
        <f t="shared" si="4"/>
        <v>-1317178.3430653065</v>
      </c>
      <c r="G20" s="192">
        <f>H20-SUM(C$16:$C20)+1</f>
        <v>213</v>
      </c>
      <c r="H20" s="191">
        <f t="shared" si="5"/>
        <v>365</v>
      </c>
      <c r="I20" s="181">
        <f t="shared" si="6"/>
        <v>-26014.220308917254</v>
      </c>
      <c r="J20" s="185">
        <f t="shared" si="0"/>
        <v>-926720.77345212142</v>
      </c>
      <c r="K20" s="181"/>
      <c r="L20" s="182">
        <f>ROW()</f>
        <v>20</v>
      </c>
      <c r="M20" s="194">
        <v>31</v>
      </c>
      <c r="N20" s="193">
        <v>44135</v>
      </c>
      <c r="O20" s="181">
        <f t="shared" si="7"/>
        <v>-4681.4876318583265</v>
      </c>
      <c r="P20" s="185">
        <f t="shared" si="8"/>
        <v>-8051270.0452465285</v>
      </c>
      <c r="Q20" s="192">
        <f t="shared" si="9"/>
        <v>213</v>
      </c>
      <c r="R20" s="191">
        <f t="shared" si="10"/>
        <v>365</v>
      </c>
      <c r="S20" s="181">
        <f t="shared" si="11"/>
        <v>-2731.9366180433526</v>
      </c>
      <c r="T20" s="185">
        <f t="shared" si="1"/>
        <v>-8010265.3439888544</v>
      </c>
      <c r="V20" s="248">
        <f>'2017-2018 Investment'!E46</f>
        <v>-1317178.3430653065</v>
      </c>
      <c r="W20" s="248">
        <f>'2016-2017 Investment'!E58</f>
        <v>-8051270.0452465285</v>
      </c>
      <c r="X20" s="249">
        <f t="shared" si="2"/>
        <v>-9368448.388311835</v>
      </c>
    </row>
    <row r="21" spans="2:24" x14ac:dyDescent="0.25">
      <c r="B21" s="182">
        <f>ROW()</f>
        <v>21</v>
      </c>
      <c r="C21" s="194">
        <v>30</v>
      </c>
      <c r="D21" s="193">
        <v>44165</v>
      </c>
      <c r="E21" s="181">
        <f t="shared" si="3"/>
        <v>-44578.358745327685</v>
      </c>
      <c r="F21" s="185">
        <f t="shared" si="4"/>
        <v>-1356481.7849536343</v>
      </c>
      <c r="G21" s="192">
        <f>H21-SUM(C$16:$C21)+1</f>
        <v>183</v>
      </c>
      <c r="H21" s="191">
        <f t="shared" si="5"/>
        <v>365</v>
      </c>
      <c r="I21" s="181">
        <f t="shared" si="6"/>
        <v>-22350.245617520457</v>
      </c>
      <c r="J21" s="185">
        <f t="shared" si="0"/>
        <v>-904370.527834601</v>
      </c>
      <c r="K21" s="181"/>
      <c r="L21" s="182">
        <f>ROW()</f>
        <v>21</v>
      </c>
      <c r="M21" s="194">
        <v>30</v>
      </c>
      <c r="N21" s="193">
        <v>44165</v>
      </c>
      <c r="O21" s="181">
        <f t="shared" si="7"/>
        <v>-4681.4876318583265</v>
      </c>
      <c r="P21" s="185">
        <f t="shared" si="8"/>
        <v>-8054103.5140927387</v>
      </c>
      <c r="Q21" s="192">
        <f t="shared" si="9"/>
        <v>183</v>
      </c>
      <c r="R21" s="191">
        <f t="shared" si="10"/>
        <v>365</v>
      </c>
      <c r="S21" s="181">
        <f t="shared" si="11"/>
        <v>-2347.1568126851339</v>
      </c>
      <c r="T21" s="185">
        <f t="shared" si="1"/>
        <v>-8007918.1871761689</v>
      </c>
      <c r="V21" s="248">
        <f>'2017-2018 Investment'!E47</f>
        <v>-1356481.7849536343</v>
      </c>
      <c r="W21" s="248">
        <f>'2016-2017 Investment'!E59</f>
        <v>-8054103.5140927387</v>
      </c>
      <c r="X21" s="249">
        <f t="shared" si="2"/>
        <v>-9410585.299046373</v>
      </c>
    </row>
    <row r="22" spans="2:24" x14ac:dyDescent="0.25">
      <c r="B22" s="182">
        <f>ROW()</f>
        <v>22</v>
      </c>
      <c r="C22" s="194">
        <v>31</v>
      </c>
      <c r="D22" s="193">
        <v>44196</v>
      </c>
      <c r="E22" s="181">
        <f t="shared" si="3"/>
        <v>-44578.358745327685</v>
      </c>
      <c r="F22" s="185">
        <f t="shared" si="4"/>
        <v>-1395785.226841962</v>
      </c>
      <c r="G22" s="192">
        <f>H22-SUM(C$16:$C22)+1</f>
        <v>152</v>
      </c>
      <c r="H22" s="191">
        <f t="shared" si="5"/>
        <v>365</v>
      </c>
      <c r="I22" s="181">
        <f t="shared" si="6"/>
        <v>-18564.138436410434</v>
      </c>
      <c r="J22" s="185">
        <f t="shared" si="0"/>
        <v>-885806.38939819054</v>
      </c>
      <c r="K22" s="181"/>
      <c r="L22" s="182">
        <f>ROW()</f>
        <v>22</v>
      </c>
      <c r="M22" s="194">
        <v>31</v>
      </c>
      <c r="N22" s="193">
        <v>44196</v>
      </c>
      <c r="O22" s="181">
        <f t="shared" si="7"/>
        <v>-4681.4876318583265</v>
      </c>
      <c r="P22" s="185">
        <f t="shared" si="8"/>
        <v>-8056936.982938949</v>
      </c>
      <c r="Q22" s="192">
        <f t="shared" si="9"/>
        <v>152</v>
      </c>
      <c r="R22" s="191">
        <f t="shared" si="10"/>
        <v>365</v>
      </c>
      <c r="S22" s="181">
        <f t="shared" si="11"/>
        <v>-1949.5510138149743</v>
      </c>
      <c r="T22" s="185">
        <f t="shared" si="1"/>
        <v>-8005968.6361623537</v>
      </c>
      <c r="V22" s="248">
        <f>'2017-2018 Investment'!E48</f>
        <v>-1395785.226841962</v>
      </c>
      <c r="W22" s="248">
        <f>'2016-2017 Investment'!E60</f>
        <v>-8056936.982938949</v>
      </c>
      <c r="X22" s="249">
        <f t="shared" si="2"/>
        <v>-9452722.209780911</v>
      </c>
    </row>
    <row r="23" spans="2:24" x14ac:dyDescent="0.25">
      <c r="B23" s="182">
        <f>ROW()</f>
        <v>23</v>
      </c>
      <c r="C23" s="194">
        <v>31</v>
      </c>
      <c r="D23" s="193">
        <v>44227</v>
      </c>
      <c r="E23" s="181">
        <f t="shared" si="3"/>
        <v>-44578.358745327685</v>
      </c>
      <c r="F23" s="185">
        <f t="shared" si="4"/>
        <v>-1435088.6687302897</v>
      </c>
      <c r="G23" s="192">
        <f>H23-SUM(C$16:$C23)+1</f>
        <v>121</v>
      </c>
      <c r="H23" s="191">
        <f t="shared" si="5"/>
        <v>365</v>
      </c>
      <c r="I23" s="181">
        <f t="shared" si="6"/>
        <v>-14778.031255300411</v>
      </c>
      <c r="J23" s="185">
        <f t="shared" si="0"/>
        <v>-871028.35814289015</v>
      </c>
      <c r="K23" s="181"/>
      <c r="L23" s="182">
        <f>ROW()</f>
        <v>23</v>
      </c>
      <c r="M23" s="194">
        <v>31</v>
      </c>
      <c r="N23" s="193">
        <v>44227</v>
      </c>
      <c r="O23" s="181">
        <f t="shared" si="7"/>
        <v>-4681.4876318583265</v>
      </c>
      <c r="P23" s="185">
        <f t="shared" si="8"/>
        <v>-8059770.4517851593</v>
      </c>
      <c r="Q23" s="192">
        <f t="shared" si="9"/>
        <v>121</v>
      </c>
      <c r="R23" s="191">
        <f t="shared" si="10"/>
        <v>365</v>
      </c>
      <c r="S23" s="181">
        <f t="shared" si="11"/>
        <v>-1551.9452149448152</v>
      </c>
      <c r="T23" s="185">
        <f t="shared" si="1"/>
        <v>-8004416.6909474088</v>
      </c>
      <c r="V23" s="248">
        <f>'2017-2018 Investment'!E49</f>
        <v>-1435088.6687302897</v>
      </c>
      <c r="W23" s="248">
        <f>'2016-2017 Investment'!E61</f>
        <v>-8059770.4517851593</v>
      </c>
      <c r="X23" s="249">
        <f t="shared" si="2"/>
        <v>-9494859.120515449</v>
      </c>
    </row>
    <row r="24" spans="2:24" x14ac:dyDescent="0.25">
      <c r="B24" s="182">
        <f>ROW()</f>
        <v>24</v>
      </c>
      <c r="C24" s="194">
        <v>28</v>
      </c>
      <c r="D24" s="193">
        <v>44255</v>
      </c>
      <c r="E24" s="181">
        <f t="shared" si="3"/>
        <v>-44578.358745327685</v>
      </c>
      <c r="F24" s="185">
        <f t="shared" si="4"/>
        <v>-1474392.1106186174</v>
      </c>
      <c r="G24" s="192">
        <f>H24-SUM(C$16:$C24)+1</f>
        <v>93</v>
      </c>
      <c r="H24" s="191">
        <f t="shared" si="5"/>
        <v>365</v>
      </c>
      <c r="I24" s="181">
        <f t="shared" si="6"/>
        <v>-11358.321543330068</v>
      </c>
      <c r="J24" s="185">
        <f t="shared" si="0"/>
        <v>-859670.03659956006</v>
      </c>
      <c r="K24" s="181"/>
      <c r="L24" s="182">
        <f>ROW()</f>
        <v>24</v>
      </c>
      <c r="M24" s="194">
        <v>28</v>
      </c>
      <c r="N24" s="193">
        <v>44255</v>
      </c>
      <c r="O24" s="181">
        <f t="shared" si="7"/>
        <v>-4681.4876318583265</v>
      </c>
      <c r="P24" s="185">
        <f t="shared" si="8"/>
        <v>-8062603.9206313696</v>
      </c>
      <c r="Q24" s="192">
        <f t="shared" si="9"/>
        <v>93</v>
      </c>
      <c r="R24" s="191">
        <f t="shared" si="10"/>
        <v>365</v>
      </c>
      <c r="S24" s="181">
        <f t="shared" si="11"/>
        <v>-1192.8173966104778</v>
      </c>
      <c r="T24" s="185">
        <f t="shared" si="1"/>
        <v>-8003223.8735507987</v>
      </c>
      <c r="V24" s="248">
        <f>'2017-2018 Investment'!E50</f>
        <v>-1474392.1106186174</v>
      </c>
      <c r="W24" s="248">
        <f>'2016-2017 Investment'!E62</f>
        <v>-8062603.9206313696</v>
      </c>
      <c r="X24" s="249">
        <f t="shared" si="2"/>
        <v>-9536996.031249987</v>
      </c>
    </row>
    <row r="25" spans="2:24" x14ac:dyDescent="0.25">
      <c r="B25" s="182">
        <f>ROW()</f>
        <v>25</v>
      </c>
      <c r="C25" s="194">
        <v>31</v>
      </c>
      <c r="D25" s="193">
        <v>44286</v>
      </c>
      <c r="E25" s="181">
        <f t="shared" si="3"/>
        <v>-44578.358745327685</v>
      </c>
      <c r="F25" s="185">
        <f t="shared" si="4"/>
        <v>-1513695.5525069451</v>
      </c>
      <c r="G25" s="192">
        <f>H25-SUM(C$16:$C25)+1</f>
        <v>62</v>
      </c>
      <c r="H25" s="191">
        <f t="shared" si="5"/>
        <v>365</v>
      </c>
      <c r="I25" s="181">
        <f t="shared" si="6"/>
        <v>-7572.2143622200447</v>
      </c>
      <c r="J25" s="185">
        <f t="shared" si="0"/>
        <v>-852097.82223734003</v>
      </c>
      <c r="K25" s="181"/>
      <c r="L25" s="182">
        <f>ROW()</f>
        <v>25</v>
      </c>
      <c r="M25" s="194">
        <v>31</v>
      </c>
      <c r="N25" s="193">
        <v>44286</v>
      </c>
      <c r="O25" s="181">
        <f t="shared" si="7"/>
        <v>-4681.4876318583265</v>
      </c>
      <c r="P25" s="185">
        <f t="shared" si="8"/>
        <v>-8065437.3894775799</v>
      </c>
      <c r="Q25" s="192">
        <f t="shared" si="9"/>
        <v>62</v>
      </c>
      <c r="R25" s="191">
        <f t="shared" si="10"/>
        <v>365</v>
      </c>
      <c r="S25" s="181">
        <f t="shared" si="11"/>
        <v>-795.21159774031844</v>
      </c>
      <c r="T25" s="185">
        <f t="shared" si="1"/>
        <v>-8002428.6619530581</v>
      </c>
      <c r="V25" s="248">
        <f>'2017-2018 Investment'!E51</f>
        <v>-1513695.5525069451</v>
      </c>
      <c r="W25" s="248">
        <f>'2016-2017 Investment'!E63</f>
        <v>-8065437.3894775799</v>
      </c>
      <c r="X25" s="249">
        <f t="shared" si="2"/>
        <v>-9579132.941984525</v>
      </c>
    </row>
    <row r="26" spans="2:24" x14ac:dyDescent="0.25">
      <c r="B26" s="182">
        <f>ROW()</f>
        <v>26</v>
      </c>
      <c r="C26" s="194">
        <v>30</v>
      </c>
      <c r="D26" s="193">
        <v>44316</v>
      </c>
      <c r="E26" s="181">
        <f t="shared" si="3"/>
        <v>-44578.358745327685</v>
      </c>
      <c r="F26" s="185">
        <f t="shared" si="4"/>
        <v>-1552998.9943952728</v>
      </c>
      <c r="G26" s="192">
        <f>H26-SUM(C$16:$C26)+1</f>
        <v>32</v>
      </c>
      <c r="H26" s="191">
        <f t="shared" si="5"/>
        <v>365</v>
      </c>
      <c r="I26" s="181">
        <f t="shared" si="6"/>
        <v>-3908.2396708232491</v>
      </c>
      <c r="J26" s="185">
        <f t="shared" si="0"/>
        <v>-848189.58256651682</v>
      </c>
      <c r="K26" s="181"/>
      <c r="L26" s="182">
        <f>ROW()</f>
        <v>26</v>
      </c>
      <c r="M26" s="194">
        <v>30</v>
      </c>
      <c r="N26" s="193">
        <v>44316</v>
      </c>
      <c r="O26" s="181">
        <f t="shared" si="7"/>
        <v>-4681.4876318583265</v>
      </c>
      <c r="P26" s="185">
        <f t="shared" si="8"/>
        <v>-8068270.8583237901</v>
      </c>
      <c r="Q26" s="192">
        <f t="shared" si="9"/>
        <v>32</v>
      </c>
      <c r="R26" s="191">
        <f t="shared" si="10"/>
        <v>365</v>
      </c>
      <c r="S26" s="181">
        <f t="shared" si="11"/>
        <v>-410.43179238209984</v>
      </c>
      <c r="T26" s="185">
        <f t="shared" si="1"/>
        <v>-8002018.2301606759</v>
      </c>
      <c r="V26" s="248">
        <f>'2017-2018 Investment'!E52</f>
        <v>-1552998.9943952728</v>
      </c>
      <c r="W26" s="248">
        <f>'2016-2017 Investment'!E64</f>
        <v>-8068270.8583237901</v>
      </c>
      <c r="X26" s="249">
        <f t="shared" si="2"/>
        <v>-9621269.8527190629</v>
      </c>
    </row>
    <row r="27" spans="2:24" x14ac:dyDescent="0.25">
      <c r="B27" s="182">
        <f>ROW()</f>
        <v>27</v>
      </c>
      <c r="C27" s="194">
        <v>31</v>
      </c>
      <c r="D27" s="193">
        <v>44347</v>
      </c>
      <c r="E27" s="181">
        <f t="shared" si="3"/>
        <v>-44578.358745327685</v>
      </c>
      <c r="F27" s="185">
        <f t="shared" si="4"/>
        <v>-1592302.4362836005</v>
      </c>
      <c r="G27" s="192">
        <f>H27-SUM(C$16:$C27)+1</f>
        <v>1</v>
      </c>
      <c r="H27" s="191">
        <f t="shared" si="5"/>
        <v>365</v>
      </c>
      <c r="I27" s="181">
        <f t="shared" si="6"/>
        <v>-122.13248971322653</v>
      </c>
      <c r="J27" s="185">
        <f t="shared" si="0"/>
        <v>-848067.45007680357</v>
      </c>
      <c r="K27" s="181"/>
      <c r="L27" s="182">
        <f>ROW()</f>
        <v>27</v>
      </c>
      <c r="M27" s="194">
        <v>31</v>
      </c>
      <c r="N27" s="193">
        <v>44347</v>
      </c>
      <c r="O27" s="181">
        <f t="shared" si="7"/>
        <v>-4681.4876318583265</v>
      </c>
      <c r="P27" s="185">
        <f t="shared" si="8"/>
        <v>-8071104.3271700004</v>
      </c>
      <c r="Q27" s="192">
        <f t="shared" si="9"/>
        <v>1</v>
      </c>
      <c r="R27" s="191">
        <f t="shared" si="10"/>
        <v>365</v>
      </c>
      <c r="S27" s="181">
        <f t="shared" si="11"/>
        <v>-12.82599351194062</v>
      </c>
      <c r="T27" s="185">
        <f t="shared" si="1"/>
        <v>-8002005.4041671641</v>
      </c>
      <c r="V27" s="248">
        <f>'2017-2018 Investment'!E53</f>
        <v>-1592302.4362836005</v>
      </c>
      <c r="W27" s="248">
        <f>'2016-2017 Investment'!E65</f>
        <v>-8071104.3271700004</v>
      </c>
      <c r="X27" s="249">
        <f t="shared" si="2"/>
        <v>-9663406.7634536009</v>
      </c>
    </row>
    <row r="28" spans="2:24" ht="15.75" thickBot="1" x14ac:dyDescent="0.3">
      <c r="B28" s="182">
        <f>ROW()</f>
        <v>28</v>
      </c>
      <c r="C28" s="190">
        <f>SUM(C16:C27)</f>
        <v>365</v>
      </c>
      <c r="D28" s="178"/>
      <c r="E28" s="188">
        <f>SUM(E16:E27)</f>
        <v>-534940.30494393222</v>
      </c>
      <c r="F28" s="185"/>
      <c r="G28" s="179"/>
      <c r="H28" s="189"/>
      <c r="I28" s="188">
        <f>SUM(I16:I27)</f>
        <v>-246219.09926186467</v>
      </c>
      <c r="J28" s="183"/>
      <c r="K28" s="178"/>
      <c r="L28" s="182">
        <f>ROW()</f>
        <v>28</v>
      </c>
      <c r="M28" s="190">
        <f>SUM(M16:M27)</f>
        <v>365</v>
      </c>
      <c r="N28" s="178"/>
      <c r="O28" s="188">
        <f>SUM(O16:O27)</f>
        <v>-56177.851582299918</v>
      </c>
      <c r="P28" s="185"/>
      <c r="Q28" s="179"/>
      <c r="R28" s="189"/>
      <c r="S28" s="188">
        <f>SUM(S16:S27)</f>
        <v>-25857.202920072294</v>
      </c>
      <c r="T28" s="183"/>
      <c r="V28" s="170"/>
    </row>
    <row r="29" spans="2:24" ht="16.5" thickTop="1" thickBot="1" x14ac:dyDescent="0.3">
      <c r="B29" s="182">
        <f>ROW()</f>
        <v>29</v>
      </c>
      <c r="C29" s="179"/>
      <c r="D29" s="187"/>
      <c r="E29" s="186"/>
      <c r="F29" s="185"/>
      <c r="G29" s="179"/>
      <c r="H29" s="178"/>
      <c r="I29" s="184"/>
      <c r="J29" s="183"/>
      <c r="K29" s="178"/>
      <c r="L29" s="182">
        <f>ROW()</f>
        <v>29</v>
      </c>
      <c r="M29" s="179"/>
      <c r="N29" s="187"/>
      <c r="O29" s="186"/>
      <c r="P29" s="185"/>
      <c r="Q29" s="179"/>
      <c r="R29" s="178"/>
      <c r="S29" s="184"/>
      <c r="T29" s="183"/>
      <c r="V29" s="170"/>
    </row>
    <row r="30" spans="2:24" ht="15.75" thickBot="1" x14ac:dyDescent="0.3">
      <c r="B30" s="182">
        <f>ROW()</f>
        <v>30</v>
      </c>
      <c r="C30" s="179" t="s">
        <v>104</v>
      </c>
      <c r="D30" s="178"/>
      <c r="E30" s="181"/>
      <c r="F30" s="180">
        <f>(F15+F27+SUM(F16:F26)*2)/24</f>
        <v>-1350987.0798942593</v>
      </c>
      <c r="G30" s="179"/>
      <c r="H30" s="178"/>
      <c r="I30" s="178"/>
      <c r="J30" s="177">
        <f>(J15+J27+SUM(J16:J26)*2)/24</f>
        <v>-926965.03843154793</v>
      </c>
      <c r="K30" s="254"/>
      <c r="L30" s="182">
        <f>ROW()</f>
        <v>30</v>
      </c>
      <c r="M30" s="179" t="s">
        <v>104</v>
      </c>
      <c r="N30" s="178"/>
      <c r="O30" s="181"/>
      <c r="P30" s="180">
        <f>(P15+P27+SUM(P16:P26)*2)/24</f>
        <v>-8052178.494524356</v>
      </c>
      <c r="Q30" s="179"/>
      <c r="R30" s="178"/>
      <c r="S30" s="178"/>
      <c r="T30" s="177">
        <f>(T15+T27+SUM(T16:T26)*2)/24</f>
        <v>-8010290.9959758781</v>
      </c>
      <c r="V30" s="180">
        <f>(V15+V27+SUM(V16:V26)*2)/24</f>
        <v>-1350987.0798942593</v>
      </c>
      <c r="W30" s="180">
        <f>(W15+W27+SUM(W16:W26)*2)/24</f>
        <v>-8052178.494524356</v>
      </c>
      <c r="X30" s="180">
        <f>(X15+X27+SUM(X16:X26)*2)/24</f>
        <v>-9403165.5744186137</v>
      </c>
    </row>
    <row r="31" spans="2:24" ht="15.75" thickTop="1" x14ac:dyDescent="0.25">
      <c r="B31" s="176">
        <f>ROW()</f>
        <v>31</v>
      </c>
      <c r="C31" s="173"/>
      <c r="D31" s="172"/>
      <c r="E31" s="175"/>
      <c r="F31" s="174"/>
      <c r="G31" s="173"/>
      <c r="H31" s="172"/>
      <c r="I31" s="172"/>
      <c r="J31" s="171"/>
      <c r="K31" s="178"/>
      <c r="L31" s="176">
        <f>ROW()</f>
        <v>31</v>
      </c>
      <c r="M31" s="173"/>
      <c r="N31" s="172"/>
      <c r="O31" s="175"/>
      <c r="P31" s="174"/>
      <c r="Q31" s="173"/>
      <c r="R31" s="172"/>
      <c r="S31" s="172"/>
      <c r="T31" s="171"/>
    </row>
    <row r="32" spans="2:24" x14ac:dyDescent="0.25"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</row>
  </sheetData>
  <pageMargins left="0.5" right="0.5" top="0.75" bottom="0.75" header="0.3" footer="0.3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pane ySplit="1" topLeftCell="A44" activePane="bottomLeft" state="frozen"/>
      <selection activeCell="F14" sqref="F14"/>
      <selection pane="bottomLeft" activeCell="C68" sqref="C68"/>
    </sheetView>
  </sheetViews>
  <sheetFormatPr defaultColWidth="9.140625" defaultRowHeight="15" outlineLevelRow="1" x14ac:dyDescent="0.25"/>
  <cols>
    <col min="1" max="1" width="17.5703125" style="46" customWidth="1"/>
    <col min="2" max="2" width="45.5703125" style="46" customWidth="1"/>
    <col min="3" max="3" width="14.85546875" style="46" customWidth="1"/>
    <col min="4" max="4" width="16.140625" style="46" customWidth="1"/>
    <col min="5" max="5" width="16.28515625" style="46" customWidth="1"/>
    <col min="6" max="6" width="9.140625" style="46"/>
    <col min="7" max="7" width="16.42578125" style="46" customWidth="1"/>
    <col min="8" max="8" width="21.5703125" style="46" customWidth="1"/>
    <col min="9" max="9" width="12.85546875" style="46" customWidth="1"/>
    <col min="10" max="16384" width="9.140625" style="46"/>
  </cols>
  <sheetData>
    <row r="1" spans="1:5" x14ac:dyDescent="0.25">
      <c r="A1" s="43" t="s">
        <v>56</v>
      </c>
      <c r="B1" s="44"/>
      <c r="C1" s="44"/>
      <c r="D1" s="44"/>
      <c r="E1" s="45"/>
    </row>
    <row r="3" spans="1:5" ht="15.75" hidden="1" outlineLevel="1" thickBot="1" x14ac:dyDescent="0.3">
      <c r="A3" s="57"/>
      <c r="B3" s="58" t="s">
        <v>98</v>
      </c>
      <c r="C3" s="59"/>
      <c r="D3" s="59"/>
      <c r="E3" s="60"/>
    </row>
    <row r="4" spans="1:5" ht="30" hidden="1" outlineLevel="1" x14ac:dyDescent="0.25">
      <c r="A4" s="61" t="s">
        <v>49</v>
      </c>
      <c r="B4" s="61" t="s">
        <v>48</v>
      </c>
      <c r="C4" s="62" t="s">
        <v>71</v>
      </c>
      <c r="D4" s="63" t="s">
        <v>72</v>
      </c>
      <c r="E4" s="62" t="s">
        <v>47</v>
      </c>
    </row>
    <row r="5" spans="1:5" ht="15.75" hidden="1" outlineLevel="1" x14ac:dyDescent="0.25">
      <c r="A5" s="64" t="s">
        <v>73</v>
      </c>
      <c r="B5" s="65" t="s">
        <v>74</v>
      </c>
      <c r="C5" s="66">
        <v>32093652.129999988</v>
      </c>
      <c r="D5" s="67">
        <v>2505759</v>
      </c>
      <c r="E5" s="66">
        <v>34599411.129999988</v>
      </c>
    </row>
    <row r="6" spans="1:5" ht="15.75" hidden="1" outlineLevel="1" x14ac:dyDescent="0.25">
      <c r="A6" s="64" t="s">
        <v>75</v>
      </c>
      <c r="B6" s="65" t="s">
        <v>76</v>
      </c>
      <c r="C6" s="66">
        <v>7251539.2899999935</v>
      </c>
      <c r="D6" s="67">
        <v>172193</v>
      </c>
      <c r="E6" s="66">
        <v>7423732.2899999935</v>
      </c>
    </row>
    <row r="7" spans="1:5" ht="15.75" hidden="1" outlineLevel="1" x14ac:dyDescent="0.25">
      <c r="A7" s="64" t="s">
        <v>77</v>
      </c>
      <c r="B7" s="65" t="s">
        <v>78</v>
      </c>
      <c r="C7" s="66">
        <v>3437688.6599999969</v>
      </c>
      <c r="D7" s="67">
        <v>56872</v>
      </c>
      <c r="E7" s="66">
        <v>3494560.6599999969</v>
      </c>
    </row>
    <row r="8" spans="1:5" hidden="1" outlineLevel="1" x14ac:dyDescent="0.25">
      <c r="A8" s="68" t="s">
        <v>46</v>
      </c>
      <c r="B8" s="68"/>
      <c r="C8" s="66">
        <v>42782880.079999976</v>
      </c>
      <c r="D8" s="67">
        <v>2734824</v>
      </c>
      <c r="E8" s="66">
        <v>45517704.079999976</v>
      </c>
    </row>
    <row r="9" spans="1:5" hidden="1" outlineLevel="1" x14ac:dyDescent="0.25">
      <c r="A9" s="64"/>
      <c r="B9" s="64"/>
      <c r="C9" s="64"/>
      <c r="D9" s="64"/>
      <c r="E9" s="64"/>
    </row>
    <row r="10" spans="1:5" hidden="1" outlineLevel="1" x14ac:dyDescent="0.25">
      <c r="A10" s="64"/>
      <c r="B10" s="69" t="s">
        <v>79</v>
      </c>
      <c r="C10" s="69"/>
      <c r="D10" s="69"/>
      <c r="E10" s="70">
        <v>42023143.419999979</v>
      </c>
    </row>
    <row r="11" spans="1:5" collapsed="1" x14ac:dyDescent="0.25">
      <c r="A11" s="64"/>
      <c r="B11" s="69" t="s">
        <v>45</v>
      </c>
      <c r="C11" s="69"/>
      <c r="D11" s="69"/>
      <c r="E11" s="70">
        <v>3494560.6599999969</v>
      </c>
    </row>
    <row r="12" spans="1:5" x14ac:dyDescent="0.25">
      <c r="A12" s="64"/>
      <c r="B12" s="64"/>
      <c r="C12" s="64"/>
      <c r="D12" s="64" t="s">
        <v>80</v>
      </c>
      <c r="E12" s="71">
        <v>0.92322634169205664</v>
      </c>
    </row>
    <row r="13" spans="1:5" x14ac:dyDescent="0.25">
      <c r="A13" s="64"/>
      <c r="B13" s="64"/>
      <c r="C13" s="64"/>
      <c r="D13" s="64" t="s">
        <v>81</v>
      </c>
      <c r="E13" s="71">
        <v>7.6773658307943346E-2</v>
      </c>
    </row>
    <row r="14" spans="1:5" x14ac:dyDescent="0.25">
      <c r="A14" s="72"/>
      <c r="B14" s="73" t="s">
        <v>44</v>
      </c>
      <c r="C14" s="73"/>
      <c r="D14" s="73"/>
      <c r="E14" s="64"/>
    </row>
    <row r="15" spans="1:5" x14ac:dyDescent="0.25">
      <c r="A15" s="74" t="s">
        <v>52</v>
      </c>
      <c r="B15" s="75" t="s">
        <v>43</v>
      </c>
      <c r="C15" s="76" t="s">
        <v>42</v>
      </c>
      <c r="D15" s="76" t="s">
        <v>41</v>
      </c>
      <c r="E15" s="76" t="s">
        <v>3</v>
      </c>
    </row>
    <row r="16" spans="1:5" x14ac:dyDescent="0.25">
      <c r="A16" s="68" t="s">
        <v>51</v>
      </c>
      <c r="B16" s="77">
        <f>C27</f>
        <v>2.7700000000000002E-2</v>
      </c>
      <c r="C16" s="78">
        <f>$E$10*B16</f>
        <v>1164041.0727339995</v>
      </c>
      <c r="D16" s="78"/>
      <c r="E16" s="78">
        <f>SUM(C16:D16)</f>
        <v>1164041.0727339995</v>
      </c>
    </row>
    <row r="17" spans="1:5" x14ac:dyDescent="0.25">
      <c r="A17" s="68" t="s">
        <v>45</v>
      </c>
      <c r="B17" s="77">
        <f>C28</f>
        <v>4.58E-2</v>
      </c>
      <c r="C17" s="78"/>
      <c r="D17" s="78">
        <f>$E$11*B17</f>
        <v>160050.87822799987</v>
      </c>
      <c r="E17" s="78">
        <f>SUM(C17:D17)</f>
        <v>160050.87822799987</v>
      </c>
    </row>
    <row r="18" spans="1:5" x14ac:dyDescent="0.25">
      <c r="A18" s="68" t="s">
        <v>50</v>
      </c>
      <c r="B18" s="79"/>
      <c r="C18" s="78">
        <f>SUM(C16:C17)</f>
        <v>1164041.0727339995</v>
      </c>
      <c r="D18" s="78">
        <f>SUM(D16:D17)</f>
        <v>160050.87822799987</v>
      </c>
      <c r="E18" s="78">
        <f>SUM(C18:D18)</f>
        <v>1324091.9509619994</v>
      </c>
    </row>
    <row r="19" spans="1:5" x14ac:dyDescent="0.25">
      <c r="A19" s="79"/>
      <c r="B19" s="147" t="s">
        <v>99</v>
      </c>
      <c r="C19" s="148"/>
      <c r="D19" s="148"/>
      <c r="E19" s="149">
        <f>E18/$E$8</f>
        <v>2.9089603215373776E-2</v>
      </c>
    </row>
    <row r="20" spans="1:5" x14ac:dyDescent="0.25">
      <c r="A20" s="64"/>
      <c r="B20" s="64"/>
      <c r="C20" s="64"/>
      <c r="D20" s="64"/>
      <c r="E20" s="71">
        <f>E16/E18</f>
        <v>0.87912404564372038</v>
      </c>
    </row>
    <row r="21" spans="1:5" x14ac:dyDescent="0.25">
      <c r="A21" s="64"/>
      <c r="B21" s="64"/>
      <c r="C21" s="64"/>
      <c r="D21" s="64"/>
      <c r="E21" s="71">
        <f>E17/E18</f>
        <v>0.12087595435627962</v>
      </c>
    </row>
    <row r="22" spans="1:5" ht="15.75" thickBot="1" x14ac:dyDescent="0.3">
      <c r="A22" s="143" t="s">
        <v>97</v>
      </c>
      <c r="B22" s="143"/>
      <c r="C22" s="143"/>
      <c r="D22" s="143"/>
      <c r="E22" s="64"/>
    </row>
    <row r="23" spans="1:5" x14ac:dyDescent="0.25">
      <c r="A23" s="81" t="s">
        <v>36</v>
      </c>
      <c r="B23" s="82"/>
      <c r="C23" s="82"/>
      <c r="D23" s="83"/>
      <c r="E23" s="71"/>
    </row>
    <row r="24" spans="1:5" ht="24.75" x14ac:dyDescent="0.25">
      <c r="A24" s="84" t="s">
        <v>37</v>
      </c>
      <c r="B24" s="85" t="s">
        <v>28</v>
      </c>
      <c r="C24" s="86" t="s">
        <v>82</v>
      </c>
      <c r="D24" s="87" t="s">
        <v>83</v>
      </c>
      <c r="E24" s="64"/>
    </row>
    <row r="25" spans="1:5" x14ac:dyDescent="0.25">
      <c r="A25" s="84" t="s">
        <v>38</v>
      </c>
      <c r="B25" s="85"/>
      <c r="C25" s="88" t="s">
        <v>29</v>
      </c>
      <c r="D25" s="89" t="s">
        <v>29</v>
      </c>
      <c r="E25" s="73"/>
    </row>
    <row r="26" spans="1:5" x14ac:dyDescent="0.25">
      <c r="A26" s="90"/>
      <c r="B26" s="91"/>
      <c r="C26" s="88" t="s">
        <v>39</v>
      </c>
      <c r="D26" s="92"/>
      <c r="E26" s="64"/>
    </row>
    <row r="27" spans="1:5" x14ac:dyDescent="0.25">
      <c r="A27" s="93">
        <v>376.2</v>
      </c>
      <c r="B27" s="91" t="s">
        <v>84</v>
      </c>
      <c r="C27" s="94">
        <v>2.7700000000000002E-2</v>
      </c>
      <c r="D27" s="95">
        <v>2.443056207967733E-2</v>
      </c>
      <c r="E27" s="64"/>
    </row>
    <row r="28" spans="1:5" ht="15.75" thickBot="1" x14ac:dyDescent="0.3">
      <c r="A28" s="96">
        <v>380.2</v>
      </c>
      <c r="B28" s="97" t="s">
        <v>85</v>
      </c>
      <c r="C28" s="98">
        <v>4.58E-2</v>
      </c>
      <c r="D28" s="99">
        <v>3.1950138602539598E-2</v>
      </c>
      <c r="E28" s="64"/>
    </row>
    <row r="29" spans="1:5" x14ac:dyDescent="0.25">
      <c r="A29" s="64"/>
      <c r="B29" s="64"/>
      <c r="C29" s="64"/>
      <c r="D29" s="64"/>
      <c r="E29" s="64"/>
    </row>
    <row r="30" spans="1:5" x14ac:dyDescent="0.25">
      <c r="A30" s="72"/>
      <c r="B30" s="73" t="s">
        <v>44</v>
      </c>
      <c r="C30" s="73"/>
      <c r="D30" s="73"/>
      <c r="E30" s="71"/>
    </row>
    <row r="31" spans="1:5" x14ac:dyDescent="0.25">
      <c r="A31" s="74" t="s">
        <v>52</v>
      </c>
      <c r="B31" s="75" t="s">
        <v>43</v>
      </c>
      <c r="C31" s="76" t="s">
        <v>42</v>
      </c>
      <c r="D31" s="76" t="s">
        <v>41</v>
      </c>
      <c r="E31" s="76" t="s">
        <v>3</v>
      </c>
    </row>
    <row r="32" spans="1:5" x14ac:dyDescent="0.25">
      <c r="A32" s="68" t="s">
        <v>51</v>
      </c>
      <c r="B32" s="77">
        <f>D27</f>
        <v>2.443056207967733E-2</v>
      </c>
      <c r="C32" s="78">
        <f>$E$10*B32</f>
        <v>1026649.0141054934</v>
      </c>
      <c r="D32" s="78"/>
      <c r="E32" s="78">
        <f>SUM(C32:D32)</f>
        <v>1026649.0141054934</v>
      </c>
    </row>
    <row r="33" spans="1:9" x14ac:dyDescent="0.25">
      <c r="A33" s="68" t="s">
        <v>45</v>
      </c>
      <c r="B33" s="77">
        <f>D28</f>
        <v>3.1950138602539598E-2</v>
      </c>
      <c r="C33" s="78"/>
      <c r="D33" s="78">
        <f>$E$11*B33</f>
        <v>111651.69744198215</v>
      </c>
      <c r="E33" s="78">
        <f>SUM(C33:D33)</f>
        <v>111651.69744198215</v>
      </c>
    </row>
    <row r="34" spans="1:9" x14ac:dyDescent="0.25">
      <c r="A34" s="68" t="s">
        <v>50</v>
      </c>
      <c r="B34" s="79"/>
      <c r="C34" s="78">
        <f>SUM(C32:C33)</f>
        <v>1026649.0141054934</v>
      </c>
      <c r="D34" s="78">
        <f>SUM(D32:D33)</f>
        <v>111651.69744198215</v>
      </c>
      <c r="E34" s="78">
        <f>SUM(C34:D34)</f>
        <v>1138300.7115474755</v>
      </c>
    </row>
    <row r="35" spans="1:9" x14ac:dyDescent="0.25">
      <c r="A35" s="79"/>
      <c r="B35" s="144" t="s">
        <v>100</v>
      </c>
      <c r="C35" s="145"/>
      <c r="D35" s="145"/>
      <c r="E35" s="146">
        <f>E34/$E$8</f>
        <v>2.5007867478263991E-2</v>
      </c>
    </row>
    <row r="36" spans="1:9" x14ac:dyDescent="0.25">
      <c r="A36" s="64"/>
      <c r="B36" s="64"/>
      <c r="C36" s="64"/>
      <c r="D36" s="64"/>
      <c r="E36" s="71">
        <f>E32/E34</f>
        <v>0.9019137067127051</v>
      </c>
    </row>
    <row r="37" spans="1:9" x14ac:dyDescent="0.25">
      <c r="A37" s="64"/>
      <c r="B37" s="64"/>
      <c r="C37" s="64"/>
      <c r="D37" s="64"/>
      <c r="E37" s="71">
        <f>E33/E34</f>
        <v>9.8086293287294887E-2</v>
      </c>
    </row>
    <row r="38" spans="1:9" ht="15.75" thickBot="1" x14ac:dyDescent="0.3">
      <c r="A38" s="64"/>
      <c r="B38" s="64"/>
      <c r="C38" s="64"/>
      <c r="D38" s="64"/>
      <c r="E38" s="64"/>
    </row>
    <row r="39" spans="1:9" ht="15.75" thickBot="1" x14ac:dyDescent="0.3">
      <c r="A39" s="100"/>
      <c r="B39" s="101" t="s">
        <v>95</v>
      </c>
      <c r="C39" s="102"/>
      <c r="D39" s="102"/>
      <c r="E39" s="103"/>
    </row>
    <row r="40" spans="1:9" ht="45" x14ac:dyDescent="0.25">
      <c r="A40" s="61" t="s">
        <v>49</v>
      </c>
      <c r="B40" s="61" t="s">
        <v>48</v>
      </c>
      <c r="C40" s="62" t="s">
        <v>86</v>
      </c>
      <c r="D40" s="104" t="s">
        <v>87</v>
      </c>
      <c r="E40" s="62" t="s">
        <v>47</v>
      </c>
    </row>
    <row r="41" spans="1:9" ht="15.75" x14ac:dyDescent="0.25">
      <c r="A41" s="64" t="s">
        <v>73</v>
      </c>
      <c r="B41" s="65" t="s">
        <v>74</v>
      </c>
      <c r="C41" s="135">
        <v>50181798.259999998</v>
      </c>
      <c r="D41" s="238">
        <f>4758144.48+I44</f>
        <v>4644023.4800000004</v>
      </c>
      <c r="E41" s="66">
        <f>SUM(C41:D41)</f>
        <v>54825821.739999995</v>
      </c>
    </row>
    <row r="42" spans="1:9" ht="15.75" x14ac:dyDescent="0.25">
      <c r="A42" s="64" t="s">
        <v>75</v>
      </c>
      <c r="B42" s="65" t="s">
        <v>76</v>
      </c>
      <c r="C42" s="135">
        <v>4782276.53</v>
      </c>
      <c r="D42" s="135"/>
      <c r="E42" s="66">
        <f t="shared" ref="E42:E43" si="0">SUM(C42:D42)</f>
        <v>4782276.53</v>
      </c>
      <c r="G42" s="46" t="s">
        <v>143</v>
      </c>
      <c r="H42" s="46" t="s">
        <v>143</v>
      </c>
      <c r="I42" s="46" t="s">
        <v>144</v>
      </c>
    </row>
    <row r="43" spans="1:9" ht="15.75" x14ac:dyDescent="0.25">
      <c r="A43" s="64" t="s">
        <v>77</v>
      </c>
      <c r="B43" s="65" t="s">
        <v>78</v>
      </c>
      <c r="C43" s="135">
        <v>676665.87999999989</v>
      </c>
      <c r="D43" s="135"/>
      <c r="E43" s="66">
        <f t="shared" si="0"/>
        <v>676665.87999999989</v>
      </c>
      <c r="G43" s="46" t="s">
        <v>141</v>
      </c>
      <c r="H43" s="46" t="s">
        <v>142</v>
      </c>
      <c r="I43" s="46" t="s">
        <v>145</v>
      </c>
    </row>
    <row r="44" spans="1:9" x14ac:dyDescent="0.25">
      <c r="A44" s="68" t="s">
        <v>46</v>
      </c>
      <c r="B44" s="68"/>
      <c r="C44" s="136">
        <f t="shared" ref="C44:D44" si="1">SUM(C41:C43)</f>
        <v>55640740.670000002</v>
      </c>
      <c r="D44" s="136">
        <f t="shared" si="1"/>
        <v>4644023.4800000004</v>
      </c>
      <c r="E44" s="239">
        <f>SUM(E41:E43)</f>
        <v>60284764.149999999</v>
      </c>
      <c r="G44" s="239">
        <v>60284764</v>
      </c>
      <c r="H44" s="137">
        <v>60398885</v>
      </c>
      <c r="I44" s="137">
        <f>+G44-H44</f>
        <v>-114121</v>
      </c>
    </row>
    <row r="45" spans="1:9" x14ac:dyDescent="0.25">
      <c r="A45" s="64"/>
      <c r="B45" s="64"/>
      <c r="C45" s="138"/>
      <c r="D45" s="138"/>
      <c r="E45" s="138"/>
      <c r="G45" s="137"/>
      <c r="H45" s="137"/>
      <c r="I45" s="137"/>
    </row>
    <row r="46" spans="1:9" x14ac:dyDescent="0.25">
      <c r="A46" s="64"/>
      <c r="B46" s="69" t="s">
        <v>79</v>
      </c>
      <c r="C46" s="139"/>
      <c r="D46" s="139"/>
      <c r="E46" s="140">
        <f>+E41+E42</f>
        <v>59608098.269999996</v>
      </c>
    </row>
    <row r="47" spans="1:9" x14ac:dyDescent="0.25">
      <c r="A47" s="64"/>
      <c r="B47" s="69" t="s">
        <v>45</v>
      </c>
      <c r="C47" s="139"/>
      <c r="D47" s="139"/>
      <c r="E47" s="140">
        <f>+E43</f>
        <v>676665.87999999989</v>
      </c>
    </row>
    <row r="48" spans="1:9" x14ac:dyDescent="0.25">
      <c r="A48" s="64"/>
      <c r="B48" s="64"/>
      <c r="C48" s="138"/>
      <c r="D48" s="138"/>
      <c r="E48" s="141">
        <f>+E46/E44</f>
        <v>0.98877550755085764</v>
      </c>
    </row>
    <row r="49" spans="1:7" x14ac:dyDescent="0.25">
      <c r="A49" s="64"/>
      <c r="B49" s="64"/>
      <c r="C49" s="138"/>
      <c r="D49" s="138"/>
      <c r="E49" s="141">
        <f>+E47/E44</f>
        <v>1.1224492449142308E-2</v>
      </c>
    </row>
    <row r="50" spans="1:7" x14ac:dyDescent="0.25">
      <c r="A50" s="64"/>
      <c r="B50" s="64"/>
      <c r="C50" s="64"/>
      <c r="D50" s="64"/>
      <c r="E50" s="71"/>
    </row>
    <row r="51" spans="1:7" x14ac:dyDescent="0.25">
      <c r="A51" s="72"/>
      <c r="B51" s="73" t="s">
        <v>44</v>
      </c>
      <c r="C51" s="73"/>
      <c r="D51" s="73"/>
      <c r="E51" s="73"/>
    </row>
    <row r="52" spans="1:7" x14ac:dyDescent="0.25">
      <c r="A52" s="74" t="s">
        <v>52</v>
      </c>
      <c r="B52" s="75" t="s">
        <v>88</v>
      </c>
      <c r="C52" s="76" t="s">
        <v>89</v>
      </c>
      <c r="D52" s="76" t="s">
        <v>90</v>
      </c>
      <c r="E52" s="76" t="s">
        <v>3</v>
      </c>
    </row>
    <row r="53" spans="1:7" x14ac:dyDescent="0.25">
      <c r="A53" s="68" t="s">
        <v>51</v>
      </c>
      <c r="B53" s="77">
        <f>C27</f>
        <v>2.7700000000000002E-2</v>
      </c>
      <c r="C53" s="78">
        <f>$E$46*B53</f>
        <v>1651144.3220790001</v>
      </c>
      <c r="D53" s="78"/>
      <c r="E53" s="78">
        <f>SUM(C53:D53)</f>
        <v>1651144.3220790001</v>
      </c>
    </row>
    <row r="54" spans="1:7" x14ac:dyDescent="0.25">
      <c r="A54" s="68" t="s">
        <v>45</v>
      </c>
      <c r="B54" s="77">
        <f>C28</f>
        <v>4.58E-2</v>
      </c>
      <c r="C54" s="78"/>
      <c r="D54" s="78">
        <f>$E$47*B54</f>
        <v>30991.297303999996</v>
      </c>
      <c r="E54" s="78">
        <f>SUM(C54:D54)</f>
        <v>30991.297303999996</v>
      </c>
    </row>
    <row r="55" spans="1:7" x14ac:dyDescent="0.25">
      <c r="A55" s="68" t="s">
        <v>50</v>
      </c>
      <c r="B55" s="79"/>
      <c r="C55" s="78">
        <f>SUM(C53:C54)</f>
        <v>1651144.3220790001</v>
      </c>
      <c r="D55" s="78">
        <f>SUM(D53:D54)</f>
        <v>30991.297303999996</v>
      </c>
      <c r="E55" s="78">
        <f>SUM(E53:E54)</f>
        <v>1682135.6193830001</v>
      </c>
    </row>
    <row r="56" spans="1:7" x14ac:dyDescent="0.25">
      <c r="A56" s="79"/>
      <c r="B56" s="80" t="s">
        <v>40</v>
      </c>
      <c r="C56" s="79"/>
      <c r="D56" s="79"/>
      <c r="E56" s="260">
        <f>E55/$E$44</f>
        <v>2.7903163313329479E-2</v>
      </c>
      <c r="F56" s="261"/>
      <c r="G56" s="262"/>
    </row>
    <row r="57" spans="1:7" x14ac:dyDescent="0.25">
      <c r="A57" s="64"/>
      <c r="B57" s="64"/>
      <c r="C57" s="64"/>
      <c r="D57" s="64"/>
      <c r="E57" s="71">
        <f>E53/E55</f>
        <v>0.98157621957059116</v>
      </c>
    </row>
    <row r="58" spans="1:7" x14ac:dyDescent="0.25">
      <c r="A58" s="64"/>
      <c r="B58" s="64"/>
      <c r="C58" s="64"/>
      <c r="D58" s="64"/>
      <c r="E58" s="71">
        <f>E54/E55</f>
        <v>1.8423780429408818E-2</v>
      </c>
    </row>
    <row r="59" spans="1:7" x14ac:dyDescent="0.25">
      <c r="A59" s="72"/>
      <c r="B59" s="73" t="s">
        <v>44</v>
      </c>
      <c r="C59" s="73"/>
      <c r="D59" s="73"/>
      <c r="E59" s="73"/>
    </row>
    <row r="60" spans="1:7" x14ac:dyDescent="0.25">
      <c r="A60" s="74" t="s">
        <v>52</v>
      </c>
      <c r="B60" s="75" t="s">
        <v>91</v>
      </c>
      <c r="C60" s="76" t="s">
        <v>89</v>
      </c>
      <c r="D60" s="76" t="s">
        <v>90</v>
      </c>
      <c r="E60" s="76" t="s">
        <v>3</v>
      </c>
    </row>
    <row r="61" spans="1:7" x14ac:dyDescent="0.25">
      <c r="A61" s="68" t="s">
        <v>51</v>
      </c>
      <c r="B61" s="77">
        <f>D27</f>
        <v>2.443056207967733E-2</v>
      </c>
      <c r="C61" s="78">
        <f>$E$46*B61</f>
        <v>1456259.3452367417</v>
      </c>
      <c r="D61" s="78"/>
      <c r="E61" s="78">
        <f>SUM(C61:D61)</f>
        <v>1456259.3452367417</v>
      </c>
    </row>
    <row r="62" spans="1:7" x14ac:dyDescent="0.25">
      <c r="A62" s="68" t="s">
        <v>45</v>
      </c>
      <c r="B62" s="77">
        <f>D28</f>
        <v>3.1950138602539598E-2</v>
      </c>
      <c r="C62" s="78"/>
      <c r="D62" s="78">
        <f>$E$47*B62</f>
        <v>21619.568653609422</v>
      </c>
      <c r="E62" s="78">
        <f>SUM(C62:D62)</f>
        <v>21619.568653609422</v>
      </c>
    </row>
    <row r="63" spans="1:7" x14ac:dyDescent="0.25">
      <c r="A63" s="68" t="s">
        <v>50</v>
      </c>
      <c r="B63" s="79"/>
      <c r="C63" s="78">
        <f>SUM(C61:C62)</f>
        <v>1456259.3452367417</v>
      </c>
      <c r="D63" s="78">
        <f>SUM(D61:D62)</f>
        <v>21619.568653609422</v>
      </c>
      <c r="E63" s="78">
        <f>SUM(E61:E62)</f>
        <v>1477878.9138903511</v>
      </c>
    </row>
    <row r="64" spans="1:7" x14ac:dyDescent="0.25">
      <c r="A64" s="79"/>
      <c r="B64" s="80" t="s">
        <v>40</v>
      </c>
      <c r="C64" s="79"/>
      <c r="D64" s="79"/>
      <c r="E64" s="260">
        <f>E63/$E$44</f>
        <v>2.4514965509578941E-2</v>
      </c>
    </row>
    <row r="65" spans="1:5" x14ac:dyDescent="0.25">
      <c r="A65" s="64"/>
      <c r="B65" s="64"/>
      <c r="C65" s="64"/>
      <c r="D65" s="64"/>
      <c r="E65" s="71">
        <f>E61/E63</f>
        <v>0.98537121786473136</v>
      </c>
    </row>
    <row r="66" spans="1:5" x14ac:dyDescent="0.25">
      <c r="A66" s="64"/>
      <c r="B66" s="64"/>
      <c r="C66" s="64"/>
      <c r="D66" s="64"/>
      <c r="E66" s="71">
        <f>E62/E63</f>
        <v>1.4628782135268662E-2</v>
      </c>
    </row>
  </sheetData>
  <pageMargins left="0.95" right="0.45" top="0.75" bottom="0.5" header="0.3" footer="0.3"/>
  <pageSetup scale="60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7"/>
  <sheetViews>
    <sheetView workbookViewId="0">
      <selection activeCell="J26" sqref="J26"/>
    </sheetView>
  </sheetViews>
  <sheetFormatPr defaultRowHeight="12.75" x14ac:dyDescent="0.2"/>
  <cols>
    <col min="2" max="22" width="9.28515625" bestFit="1" customWidth="1"/>
    <col min="23" max="23" width="10.28515625" bestFit="1" customWidth="1"/>
  </cols>
  <sheetData>
    <row r="3" spans="1:23" s="52" customFormat="1" x14ac:dyDescent="0.2"/>
    <row r="4" spans="1:23" s="52" customFormat="1" x14ac:dyDescent="0.2">
      <c r="A4" s="53" t="s">
        <v>67</v>
      </c>
      <c r="B4" s="54">
        <v>1</v>
      </c>
      <c r="C4" s="54">
        <v>2</v>
      </c>
      <c r="D4" s="54">
        <v>3</v>
      </c>
      <c r="E4" s="54">
        <v>4</v>
      </c>
      <c r="F4" s="54">
        <v>5</v>
      </c>
      <c r="G4" s="54">
        <v>6</v>
      </c>
      <c r="H4" s="54">
        <v>7</v>
      </c>
      <c r="I4" s="54">
        <v>8</v>
      </c>
      <c r="J4" s="54">
        <v>9</v>
      </c>
      <c r="K4" s="54">
        <v>10</v>
      </c>
      <c r="L4" s="54">
        <v>11</v>
      </c>
      <c r="M4" s="54">
        <v>12</v>
      </c>
      <c r="N4" s="54">
        <v>13</v>
      </c>
      <c r="O4" s="54">
        <v>14</v>
      </c>
      <c r="P4" s="54">
        <v>15</v>
      </c>
      <c r="Q4" s="54">
        <v>16</v>
      </c>
      <c r="R4" s="54">
        <v>17</v>
      </c>
      <c r="S4" s="54">
        <v>18</v>
      </c>
      <c r="T4" s="54">
        <v>19</v>
      </c>
      <c r="U4" s="54">
        <v>20</v>
      </c>
      <c r="V4" s="54">
        <v>21</v>
      </c>
      <c r="W4" s="54" t="s">
        <v>64</v>
      </c>
    </row>
    <row r="5" spans="1:23" s="52" customFormat="1" x14ac:dyDescent="0.2">
      <c r="A5" s="55" t="s">
        <v>68</v>
      </c>
      <c r="B5" s="56">
        <v>3.7499999999999999E-2</v>
      </c>
      <c r="C5" s="56">
        <v>7.2190000000000004E-2</v>
      </c>
      <c r="D5" s="56">
        <v>6.6769999999999996E-2</v>
      </c>
      <c r="E5" s="56">
        <v>6.1769999999999999E-2</v>
      </c>
      <c r="F5" s="56">
        <v>5.713E-2</v>
      </c>
      <c r="G5" s="56">
        <v>5.2850000000000001E-2</v>
      </c>
      <c r="H5" s="56">
        <v>4.888E-2</v>
      </c>
      <c r="I5" s="56">
        <v>4.5220000000000003E-2</v>
      </c>
      <c r="J5" s="56">
        <v>4.462E-2</v>
      </c>
      <c r="K5" s="56">
        <v>4.4610000000000004E-2</v>
      </c>
      <c r="L5" s="56">
        <v>4.462E-2</v>
      </c>
      <c r="M5" s="56">
        <v>4.4610000000000004E-2</v>
      </c>
      <c r="N5" s="56">
        <v>4.462E-2</v>
      </c>
      <c r="O5" s="56">
        <v>4.4610000000000004E-2</v>
      </c>
      <c r="P5" s="56">
        <v>4.462E-2</v>
      </c>
      <c r="Q5" s="56">
        <v>4.4610000000000004E-2</v>
      </c>
      <c r="R5" s="56">
        <v>4.462E-2</v>
      </c>
      <c r="S5" s="56">
        <v>4.4610000000000004E-2</v>
      </c>
      <c r="T5" s="56">
        <v>4.462E-2</v>
      </c>
      <c r="U5" s="56">
        <v>4.4610000000000004E-2</v>
      </c>
      <c r="V5" s="56">
        <v>2.231E-2</v>
      </c>
      <c r="W5" s="56">
        <f>SUM(B5:V5)</f>
        <v>1.0000000000000002</v>
      </c>
    </row>
    <row r="6" spans="1:23" s="52" customFormat="1" x14ac:dyDescent="0.2">
      <c r="A6" s="55" t="s">
        <v>69</v>
      </c>
      <c r="B6" s="56">
        <f>B5*0.5+0.5</f>
        <v>0.51875000000000004</v>
      </c>
      <c r="C6" s="56">
        <f>C5*0.5</f>
        <v>3.6095000000000002E-2</v>
      </c>
      <c r="D6" s="56">
        <f t="shared" ref="D6:V6" si="0">D5*0.5</f>
        <v>3.3384999999999998E-2</v>
      </c>
      <c r="E6" s="56">
        <f t="shared" si="0"/>
        <v>3.0884999999999999E-2</v>
      </c>
      <c r="F6" s="56">
        <f t="shared" si="0"/>
        <v>2.8565E-2</v>
      </c>
      <c r="G6" s="56">
        <f t="shared" si="0"/>
        <v>2.6425000000000001E-2</v>
      </c>
      <c r="H6" s="56">
        <f t="shared" si="0"/>
        <v>2.444E-2</v>
      </c>
      <c r="I6" s="56">
        <f t="shared" si="0"/>
        <v>2.2610000000000002E-2</v>
      </c>
      <c r="J6" s="56">
        <f t="shared" si="0"/>
        <v>2.231E-2</v>
      </c>
      <c r="K6" s="56">
        <f t="shared" si="0"/>
        <v>2.2305000000000002E-2</v>
      </c>
      <c r="L6" s="56">
        <f t="shared" si="0"/>
        <v>2.231E-2</v>
      </c>
      <c r="M6" s="56">
        <f t="shared" si="0"/>
        <v>2.2305000000000002E-2</v>
      </c>
      <c r="N6" s="56">
        <f t="shared" si="0"/>
        <v>2.231E-2</v>
      </c>
      <c r="O6" s="56">
        <f t="shared" si="0"/>
        <v>2.2305000000000002E-2</v>
      </c>
      <c r="P6" s="56">
        <f t="shared" si="0"/>
        <v>2.231E-2</v>
      </c>
      <c r="Q6" s="56">
        <f t="shared" si="0"/>
        <v>2.2305000000000002E-2</v>
      </c>
      <c r="R6" s="56">
        <f t="shared" si="0"/>
        <v>2.231E-2</v>
      </c>
      <c r="S6" s="56">
        <f t="shared" si="0"/>
        <v>2.2305000000000002E-2</v>
      </c>
      <c r="T6" s="56">
        <f t="shared" si="0"/>
        <v>2.231E-2</v>
      </c>
      <c r="U6" s="56">
        <f t="shared" si="0"/>
        <v>2.2305000000000002E-2</v>
      </c>
      <c r="V6" s="56">
        <f t="shared" si="0"/>
        <v>1.1155E-2</v>
      </c>
      <c r="W6" s="56">
        <f>SUM(B6:V6)</f>
        <v>1.0000000000000004</v>
      </c>
    </row>
    <row r="7" spans="1:23" s="52" customFormat="1" x14ac:dyDescent="0.2">
      <c r="A7" s="55" t="s">
        <v>70</v>
      </c>
      <c r="B7" s="56">
        <f>B5*0.6+0.4</f>
        <v>0.42250000000000004</v>
      </c>
      <c r="C7" s="56">
        <f>C5*0.6</f>
        <v>4.3313999999999998E-2</v>
      </c>
      <c r="D7" s="56">
        <f t="shared" ref="D7:V7" si="1">D5*0.6</f>
        <v>4.0061999999999993E-2</v>
      </c>
      <c r="E7" s="56">
        <f t="shared" si="1"/>
        <v>3.7061999999999998E-2</v>
      </c>
      <c r="F7" s="56">
        <f t="shared" si="1"/>
        <v>3.4277999999999996E-2</v>
      </c>
      <c r="G7" s="56">
        <f t="shared" si="1"/>
        <v>3.1710000000000002E-2</v>
      </c>
      <c r="H7" s="56">
        <f t="shared" si="1"/>
        <v>2.9328E-2</v>
      </c>
      <c r="I7" s="56">
        <f t="shared" si="1"/>
        <v>2.7132E-2</v>
      </c>
      <c r="J7" s="56">
        <f t="shared" si="1"/>
        <v>2.6772000000000001E-2</v>
      </c>
      <c r="K7" s="56">
        <f t="shared" si="1"/>
        <v>2.6766000000000002E-2</v>
      </c>
      <c r="L7" s="56">
        <f t="shared" si="1"/>
        <v>2.6772000000000001E-2</v>
      </c>
      <c r="M7" s="56">
        <f t="shared" si="1"/>
        <v>2.6766000000000002E-2</v>
      </c>
      <c r="N7" s="56">
        <f t="shared" si="1"/>
        <v>2.6772000000000001E-2</v>
      </c>
      <c r="O7" s="56">
        <f t="shared" si="1"/>
        <v>2.6766000000000002E-2</v>
      </c>
      <c r="P7" s="56">
        <f t="shared" si="1"/>
        <v>2.6772000000000001E-2</v>
      </c>
      <c r="Q7" s="56">
        <f t="shared" si="1"/>
        <v>2.6766000000000002E-2</v>
      </c>
      <c r="R7" s="56">
        <f t="shared" si="1"/>
        <v>2.6772000000000001E-2</v>
      </c>
      <c r="S7" s="56">
        <f t="shared" si="1"/>
        <v>2.6766000000000002E-2</v>
      </c>
      <c r="T7" s="56">
        <f t="shared" si="1"/>
        <v>2.6772000000000001E-2</v>
      </c>
      <c r="U7" s="56">
        <f t="shared" si="1"/>
        <v>2.6766000000000002E-2</v>
      </c>
      <c r="V7" s="56">
        <f t="shared" si="1"/>
        <v>1.3386E-2</v>
      </c>
      <c r="W7" s="56">
        <f>SUM(B7:V7)</f>
        <v>1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31428A2-AFB9-4F39-8679-923BAD309915}"/>
</file>

<file path=customXml/itemProps2.xml><?xml version="1.0" encoding="utf-8"?>
<ds:datastoreItem xmlns:ds="http://schemas.openxmlformats.org/officeDocument/2006/customXml" ds:itemID="{D1CEC98B-9407-4789-9B37-E7DE1CC4D237}"/>
</file>

<file path=customXml/itemProps3.xml><?xml version="1.0" encoding="utf-8"?>
<ds:datastoreItem xmlns:ds="http://schemas.openxmlformats.org/officeDocument/2006/customXml" ds:itemID="{74DCC9E8-D64E-40E1-B3BC-D02E250B7F61}"/>
</file>

<file path=customXml/itemProps4.xml><?xml version="1.0" encoding="utf-8"?>
<ds:datastoreItem xmlns:ds="http://schemas.openxmlformats.org/officeDocument/2006/customXml" ds:itemID="{545A8516-B89F-4FA7-91F1-48C2C229E0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G</vt:lpstr>
      <vt:lpstr>Combine</vt:lpstr>
      <vt:lpstr>2017-2018 Investment</vt:lpstr>
      <vt:lpstr>2016-2017 Investment</vt:lpstr>
      <vt:lpstr>IRS DFIT</vt:lpstr>
      <vt:lpstr>CRM Rates</vt:lpstr>
      <vt:lpstr>20MACRs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MarvelousMarina</cp:lastModifiedBy>
  <cp:lastPrinted>2018-10-27T00:38:13Z</cp:lastPrinted>
  <dcterms:created xsi:type="dcterms:W3CDTF">2016-10-27T14:26:13Z</dcterms:created>
  <dcterms:modified xsi:type="dcterms:W3CDTF">2019-06-21T21:49:18Z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