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4" activeTab="4"/>
  </bookViews>
  <sheets>
    <sheet name="WA bud vs auth" sheetId="1" state="hidden" r:id="rId1"/>
    <sheet name="WA act vs auth" sheetId="2" state="hidden" r:id="rId2"/>
    <sheet name="Directions" sheetId="3" state="hidden" r:id="rId3"/>
    <sheet name="Input Tab" sheetId="4" state="hidden" r:id="rId4"/>
    <sheet name="WA Summary " sheetId="5" r:id="rId5"/>
    <sheet name="WA Monthly" sheetId="6" r:id="rId6"/>
    <sheet name="WA RRC" sheetId="7" r:id="rId7"/>
    <sheet name="ID Rec Adjustment" sheetId="8" state="hidden" r:id="rId8"/>
    <sheet name="Notes" sheetId="9" state="hidden" r:id="rId9"/>
    <sheet name="Our Focus" sheetId="10" state="hidden" r:id="rId10"/>
    <sheet name="RRC Instructions" sheetId="11" state="hidden" r:id="rId11"/>
  </sheets>
  <definedNames>
    <definedName name="AVARpt">'WA Monthly'!$A$6:$P$134</definedName>
    <definedName name="DefRpt">'WA Monthly'!$P$81</definedName>
    <definedName name="GLAccts">'WA Monthly'!$B$83:$R$122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Monthly'!$A$1:$R$136</definedName>
    <definedName name="_xlnm.Print_Area" localSheetId="6">'WA RRC'!$A$1:$N$15</definedName>
    <definedName name="_xlnm.Print_Area" localSheetId="4">'WA Summary '!$A$1:$Q$45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21" authorId="1">
      <text>
        <r>
          <rPr>
            <b/>
            <sz val="9"/>
            <rFont val="Tahoma"/>
            <family val="0"/>
          </rPr>
          <t>CKettner:</t>
        </r>
        <r>
          <rPr>
            <sz val="9"/>
            <rFont val="Tahoma"/>
            <family val="0"/>
          </rPr>
          <t xml:space="preserve">
Power Cost Adj Credit 9/1/2016-8/31/2017 of ($248,584)</t>
        </r>
      </text>
    </comment>
  </commentList>
</comments>
</file>

<file path=xl/comments6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7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sharedStrings.xml><?xml version="1.0" encoding="utf-8"?>
<sst xmlns="http://schemas.openxmlformats.org/spreadsheetml/2006/main" count="732" uniqueCount="400">
  <si>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</si>
  <si>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</si>
  <si>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</si>
  <si>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</si>
  <si>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</si>
  <si>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</si>
  <si>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</si>
  <si>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</si>
  <si>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</si>
  <si>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</si>
  <si>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</si>
  <si>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</si>
  <si>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</si>
  <si>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</si>
  <si>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</si>
  <si>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</si>
  <si>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</si>
  <si>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</si>
  <si>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</si>
  <si>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</si>
  <si>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</si>
  <si>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</si>
  <si>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</si>
  <si>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</si>
  <si>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</si>
  <si>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</si>
  <si>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</si>
  <si>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</si>
  <si>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</si>
  <si>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</si>
  <si>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</si>
  <si>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</si>
  <si>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</si>
  <si>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</si>
  <si>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</si>
  <si>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</si>
  <si>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</si>
  <si>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</si>
  <si>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</si>
  <si>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</si>
  <si>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</si>
  <si>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</si>
  <si>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</si>
  <si>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</si>
  <si>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</si>
  <si>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</si>
  <si>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</si>
  <si>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</si>
  <si>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</si>
  <si>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</si>
  <si>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</si>
  <si>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</si>
  <si>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</si>
  <si>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</si>
  <si>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</si>
  <si>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</si>
  <si>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</si>
  <si>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</si>
  <si>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</si>
  <si>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</si>
  <si>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</si>
  <si>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</si>
  <si>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</si>
  <si>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</si>
  <si>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</si>
  <si>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</si>
  <si>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</si>
  <si>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</si>
  <si>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</si>
  <si>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</si>
  <si>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</si>
  <si>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</si>
  <si>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</si>
  <si>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</si>
  <si>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</si>
  <si>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</si>
  <si>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</si>
  <si>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</si>
  <si>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</si>
  <si>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</si>
  <si>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</si>
  <si>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</si>
  <si>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</si>
  <si>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</si>
  <si>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</si>
  <si>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</si>
  <si>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</si>
  <si>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</si>
  <si>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</si>
  <si>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</si>
  <si>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</si>
  <si>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</si>
  <si>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</si>
  <si>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</si>
  <si>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</si>
  <si>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</si>
  <si>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</si>
  <si>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</si>
  <si>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</si>
  <si>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</si>
  <si>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</si>
  <si>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</si>
  <si>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</si>
  <si>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</si>
  <si>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</si>
  <si>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</si>
  <si>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</si>
  <si>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</si>
  <si>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</si>
  <si>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</si>
  <si>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</si>
  <si>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</si>
  <si>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</si>
  <si>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</si>
  <si>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</si>
  <si>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</si>
  <si>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</si>
  <si>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</si>
  <si>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</si>
  <si>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</si>
  <si>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</si>
  <si>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</si>
  <si>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</si>
  <si>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</si>
  <si>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</si>
  <si>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</si>
  <si>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</si>
  <si>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</si>
  <si>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</si>
  <si>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</si>
  <si>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</si>
  <si>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</si>
  <si>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</si>
  <si>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</si>
  <si>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</si>
  <si>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</si>
  <si>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</si>
  <si>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</si>
  <si>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</si>
  <si>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</si>
  <si>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</si>
  <si>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</si>
  <si>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</si>
  <si>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</si>
  <si>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</si>
  <si>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</si>
  <si>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</si>
  <si>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</si>
  <si>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</si>
  <si>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</si>
  <si>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</si>
  <si>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</si>
  <si>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</si>
  <si>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</si>
  <si>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</si>
  <si>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</si>
  <si>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</si>
  <si>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</si>
  <si>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</si>
  <si>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</si>
  <si>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</si>
  <si>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</si>
  <si>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</si>
  <si>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</si>
  <si>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</si>
  <si>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</si>
  <si>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</si>
  <si>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</si>
  <si>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</si>
  <si>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</si>
  <si>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</si>
  <si>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</si>
  <si>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</si>
  <si>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</si>
  <si>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</si>
  <si>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</si>
  <si>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</si>
  <si>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</si>
  <si>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</si>
  <si>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</si>
  <si>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</si>
  <si>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</si>
  <si>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</si>
  <si>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</si>
  <si>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</si>
  <si>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</si>
  <si>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</si>
  <si>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</si>
  <si>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</si>
  <si>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</si>
  <si>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</si>
  <si>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</si>
  <si>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</si>
  <si>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</si>
  <si>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</si>
  <si>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</si>
  <si>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</si>
  <si>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</si>
  <si>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</si>
  <si>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</si>
  <si>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</si>
  <si>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</si>
  <si>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</si>
  <si>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</si>
  <si>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</si>
  <si>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</si>
  <si>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</si>
  <si>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</si>
  <si>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</si>
  <si>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</si>
  <si>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</si>
  <si>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</si>
  <si>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</si>
  <si>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</si>
  <si>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</si>
  <si>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</si>
  <si>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</si>
  <si>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</si>
  <si>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</si>
  <si>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</si>
  <si>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</si>
  <si>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</si>
  <si>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</si>
  <si>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</si>
  <si>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</si>
  <si>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</si>
  <si>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</si>
  <si>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</si>
  <si>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</si>
  <si>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</si>
  <si>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</si>
  <si>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</si>
  <si>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</si>
  <si>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</si>
  <si>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</si>
  <si>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</si>
  <si>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</si>
  <si>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</si>
  <si>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</si>
  <si>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</si>
  <si>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</si>
  <si>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</si>
  <si>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</si>
  <si>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</si>
  <si>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</si>
  <si>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</si>
  <si>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</si>
  <si>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</si>
  <si>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</si>
  <si>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</si>
  <si>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</si>
  <si>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</si>
  <si>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</si>
  <si>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</si>
  <si>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</si>
  <si>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</si>
  <si>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</si>
  <si>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</si>
  <si>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</si>
  <si>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</si>
  <si>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</si>
  <si>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</si>
  <si>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</si>
  <si>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</si>
  <si>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</si>
  <si>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</si>
  <si>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</si>
  <si>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</si>
  <si>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</si>
  <si>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</si>
  <si>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</si>
  <si>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</si>
  <si>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</si>
  <si>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</si>
  <si>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</si>
  <si>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</si>
  <si>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</si>
  <si>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</si>
  <si>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</si>
  <si>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</si>
  <si>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</si>
  <si>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</si>
  <si>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</si>
  <si>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</si>
  <si>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</si>
  <si>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</si>
  <si>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</si>
  <si>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</si>
  <si>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</si>
  <si>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</si>
  <si>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</si>
  <si>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</si>
  <si>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</si>
  <si>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</si>
  <si>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</si>
  <si>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</si>
  <si>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</si>
  <si>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</si>
  <si>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</si>
  <si>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</si>
  <si>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</si>
  <si>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</si>
  <si>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</si>
  <si>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</si>
  <si>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</si>
  <si>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</si>
  <si>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</si>
  <si>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</si>
  <si>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</si>
  <si>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</si>
  <si>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</si>
  <si>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</si>
  <si>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</si>
  <si>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</si>
  <si>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</si>
  <si>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</si>
  <si>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</si>
  <si>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</si>
  <si>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</si>
  <si>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</si>
  <si>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</si>
  <si>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</si>
  <si>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</si>
  <si>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</si>
  <si>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</si>
  <si>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</si>
  <si>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</si>
  <si>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</si>
  <si>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</si>
  <si>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</si>
  <si>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</si>
  <si>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</si>
  <si>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</si>
  <si>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</si>
  <si>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</si>
  <si>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</si>
  <si>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</si>
  <si>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</si>
  <si>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</si>
  <si>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</si>
  <si>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</si>
  <si>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</si>
  <si>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</si>
  <si>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</si>
  <si>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</si>
  <si>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</si>
  <si>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</si>
  <si>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</si>
  <si>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</si>
  <si>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</si>
  <si>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</si>
  <si>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</si>
  <si>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</si>
  <si>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</si>
  <si>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</si>
  <si>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</si>
  <si>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</si>
  <si>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</si>
  <si>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</si>
  <si>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</si>
  <si>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</si>
  <si>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</si>
  <si>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</si>
  <si>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</si>
  <si>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</si>
  <si>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</si>
  <si>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</si>
  <si>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</si>
  <si>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</si>
  <si>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</si>
  <si>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</si>
  <si>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</si>
  <si>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</si>
  <si>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</si>
  <si>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</si>
  <si>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</si>
  <si>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</si>
  <si>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</si>
  <si>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</si>
  <si>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</si>
  <si>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</si>
  <si>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</si>
  <si>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</si>
  <si>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</si>
  <si>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</si>
  <si>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</si>
  <si>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</si>
  <si>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</si>
  <si>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</si>
  <si>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</si>
  <si>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</si>
  <si>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</si>
  <si>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</si>
  <si>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</si>
  <si>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</si>
  <si>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Total through December</t>
  </si>
  <si>
    <t>(1)</t>
  </si>
  <si>
    <t>(1) includes true up for Transmission</t>
  </si>
  <si>
    <t xml:space="preserve">Revenue.  Please see ERM Report </t>
  </si>
  <si>
    <t>pages 19 and 20 for additional information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</si>
</sst>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84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5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19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2" fillId="32" borderId="0" xfId="0" applyNumberFormat="1" applyFont="1" applyFill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5" fontId="1" fillId="0" borderId="17" xfId="47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" fillId="0" borderId="15" xfId="43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5" fontId="1" fillId="0" borderId="0" xfId="47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205" fontId="70" fillId="0" borderId="10" xfId="0" applyNumberFormat="1" applyFont="1" applyBorder="1" applyAlignment="1">
      <alignment horizontal="center"/>
    </xf>
    <xf numFmtId="5" fontId="54" fillId="32" borderId="0" xfId="47" applyNumberFormat="1" applyFont="1" applyFill="1" applyBorder="1" applyAlignment="1">
      <alignment/>
    </xf>
    <xf numFmtId="5" fontId="54" fillId="32" borderId="0" xfId="43" applyNumberFormat="1" applyFont="1" applyFill="1" applyBorder="1" applyAlignment="1">
      <alignment/>
    </xf>
    <xf numFmtId="5" fontId="54" fillId="32" borderId="0" xfId="0" applyNumberFormat="1" applyFont="1" applyFill="1" applyBorder="1" applyAlignment="1">
      <alignment/>
    </xf>
    <xf numFmtId="10" fontId="54" fillId="32" borderId="0" xfId="73" applyNumberFormat="1" applyFont="1" applyFill="1" applyBorder="1" applyAlignment="1">
      <alignment/>
    </xf>
    <xf numFmtId="5" fontId="54" fillId="32" borderId="0" xfId="0" applyNumberFormat="1" applyFont="1" applyFill="1" applyBorder="1" applyAlignment="1">
      <alignment vertical="center"/>
    </xf>
    <xf numFmtId="5" fontId="1" fillId="0" borderId="17" xfId="47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5" fontId="1" fillId="0" borderId="0" xfId="0" applyNumberFormat="1" applyFont="1" applyFill="1" applyBorder="1" applyAlignment="1">
      <alignment/>
    </xf>
    <xf numFmtId="5" fontId="71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1" fillId="0" borderId="0" xfId="0" applyNumberFormat="1" applyFont="1" applyFill="1" applyAlignment="1">
      <alignment vertical="center"/>
    </xf>
    <xf numFmtId="170" fontId="73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72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0" fontId="0" fillId="42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4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2" borderId="0" xfId="43" applyFont="1" applyFill="1" applyBorder="1" applyAlignment="1">
      <alignment/>
    </xf>
    <xf numFmtId="43" fontId="0" fillId="43" borderId="0" xfId="43" applyFont="1" applyFill="1" applyAlignment="1">
      <alignment/>
    </xf>
    <xf numFmtId="43" fontId="0" fillId="44" borderId="0" xfId="43" applyFont="1" applyFill="1" applyAlignment="1">
      <alignment/>
    </xf>
    <xf numFmtId="43" fontId="0" fillId="42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2" borderId="0" xfId="43" applyFont="1" applyFill="1" applyBorder="1" applyAlignment="1">
      <alignment horizontal="center"/>
    </xf>
    <xf numFmtId="43" fontId="0" fillId="42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2" borderId="0" xfId="43" applyNumberFormat="1" applyFont="1" applyFill="1" applyAlignment="1">
      <alignment/>
    </xf>
    <xf numFmtId="165" fontId="0" fillId="42" borderId="0" xfId="0" applyNumberFormat="1" applyFill="1" applyAlignment="1">
      <alignment/>
    </xf>
    <xf numFmtId="43" fontId="0" fillId="0" borderId="0" xfId="43" applyFont="1" applyFill="1" applyAlignment="1">
      <alignment/>
    </xf>
    <xf numFmtId="10" fontId="0" fillId="42" borderId="0" xfId="74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0" fillId="0" borderId="0" xfId="43" applyFont="1" applyFill="1" applyAlignment="1">
      <alignment/>
    </xf>
    <xf numFmtId="43" fontId="0" fillId="0" borderId="0" xfId="43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2" fillId="0" borderId="0" xfId="43" applyNumberFormat="1" applyFont="1" applyFill="1" applyBorder="1" applyAlignment="1">
      <alignment/>
    </xf>
    <xf numFmtId="5" fontId="72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2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16" xfId="0" applyFont="1" applyFill="1" applyBorder="1" applyAlignment="1">
      <alignment vertical="center"/>
    </xf>
    <xf numFmtId="17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1" fillId="0" borderId="0" xfId="0" applyFont="1" applyFill="1" applyAlignment="1" quotePrefix="1">
      <alignment horizontal="left" vertical="center"/>
    </xf>
    <xf numFmtId="170" fontId="25" fillId="0" borderId="0" xfId="43" applyNumberFormat="1" applyFont="1" applyFill="1" applyAlignment="1">
      <alignment vertical="center"/>
    </xf>
    <xf numFmtId="170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170" fontId="21" fillId="0" borderId="0" xfId="43" applyNumberFormat="1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1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74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73" fillId="0" borderId="16" xfId="0" applyNumberFormat="1" applyFont="1" applyFill="1" applyBorder="1" applyAlignment="1">
      <alignment vertical="center"/>
    </xf>
    <xf numFmtId="165" fontId="75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1" fillId="0" borderId="0" xfId="0" applyFont="1" applyFill="1" applyAlignment="1" quotePrefix="1">
      <alignment horizontal="left"/>
    </xf>
    <xf numFmtId="0" fontId="26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4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1" fillId="0" borderId="0" xfId="43" applyNumberFormat="1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2" fillId="0" borderId="0" xfId="43" applyNumberFormat="1" applyFont="1" applyFill="1" applyAlignment="1">
      <alignment/>
    </xf>
    <xf numFmtId="5" fontId="72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2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2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9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2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5" fontId="0" fillId="0" borderId="16" xfId="47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5" fontId="0" fillId="0" borderId="0" xfId="47" applyNumberFormat="1" applyFont="1" applyFill="1" applyBorder="1" applyAlignment="1">
      <alignment horizontal="right"/>
    </xf>
    <xf numFmtId="5" fontId="1" fillId="0" borderId="17" xfId="47" applyNumberFormat="1" applyFont="1" applyFill="1" applyBorder="1" applyAlignment="1">
      <alignment horizontal="right" vertical="center"/>
    </xf>
    <xf numFmtId="5" fontId="72" fillId="0" borderId="0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80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17" fontId="74" fillId="0" borderId="0" xfId="0" applyNumberFormat="1" applyFont="1" applyFill="1" applyAlignment="1">
      <alignment horizontal="center"/>
    </xf>
    <xf numFmtId="0" fontId="81" fillId="45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70" fillId="0" borderId="16" xfId="0" applyNumberFormat="1" applyFont="1" applyBorder="1" applyAlignment="1">
      <alignment horizontal="center" wrapText="1"/>
    </xf>
    <xf numFmtId="5" fontId="54" fillId="32" borderId="17" xfId="47" applyNumberFormat="1" applyFont="1" applyFill="1" applyBorder="1" applyAlignment="1">
      <alignment horizontal="right"/>
    </xf>
    <xf numFmtId="5" fontId="54" fillId="32" borderId="0" xfId="47" applyNumberFormat="1" applyFont="1" applyFill="1" applyBorder="1" applyAlignment="1">
      <alignment horizontal="right"/>
    </xf>
    <xf numFmtId="5" fontId="54" fillId="32" borderId="10" xfId="47" applyNumberFormat="1" applyFont="1" applyFill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2" fillId="46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2:52" ht="12.75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44" ht="12.75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 ht="12.75">
      <c r="A5" t="str">
        <f>'WA Summary '!B8</f>
        <v>501 Thermal Fuel</v>
      </c>
      <c r="B5" s="20">
        <f aca="true" t="shared" si="0" ref="B5:C8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 ht="12.75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 ht="12.75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 ht="12.75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6:52" ht="12.75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 ht="12.75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 ht="12.75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6:52" ht="12.75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 ht="12.75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6:52" ht="12.75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 ht="12.75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 ht="12.75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2" ht="12.75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6:52" ht="12.75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2" ht="12.75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6:52" ht="12.75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 ht="12.75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6:52" ht="12.75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2" ht="12.75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6:52" ht="12.7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6:52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2" ht="12.75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2" ht="12.75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2" ht="12.75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2" ht="12.75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2" ht="12.75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2" ht="12.75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6:52" ht="12.75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 ht="12.75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 ht="12.75">
      <c r="A34" t="s">
        <v>43</v>
      </c>
      <c r="B34" s="12">
        <f aca="true" t="shared" si="1" ref="B34:B39">SUM(F34,J34,N34,R34,V34,Z34,AD34,AH34,AL34,AP34,AT34,AX34)</f>
        <v>352704</v>
      </c>
      <c r="C34" s="12">
        <f aca="true" t="shared" si="2" ref="C34:C39">SUM(G34,K34,O34,S34,W34,AA34,AE34,AI34,AM34,AQ34,AU34,AY34)</f>
        <v>357400</v>
      </c>
      <c r="D34" s="22">
        <f aca="true" t="shared" si="3" ref="D34:D40">B34-C34</f>
        <v>-4696</v>
      </c>
      <c r="F34" s="22">
        <v>32736</v>
      </c>
      <c r="G34" s="22">
        <v>32000</v>
      </c>
      <c r="H34" s="22">
        <f aca="true" t="shared" si="4" ref="H34:H40">F34-G34</f>
        <v>736</v>
      </c>
      <c r="J34" s="22">
        <v>29568</v>
      </c>
      <c r="K34" s="22">
        <v>28700</v>
      </c>
      <c r="L34" s="22">
        <f aca="true" t="shared" si="5" ref="L34:L40">J34-K34</f>
        <v>868</v>
      </c>
      <c r="N34" s="22">
        <v>32736</v>
      </c>
      <c r="O34" s="22">
        <v>33800</v>
      </c>
      <c r="P34" s="22">
        <f aca="true" t="shared" si="6" ref="P34:P40">N34-O34</f>
        <v>-1064</v>
      </c>
      <c r="R34" s="22">
        <v>31636</v>
      </c>
      <c r="S34" s="22">
        <v>32500</v>
      </c>
      <c r="T34" s="22">
        <f aca="true" t="shared" si="7" ref="T34:T40">R34-S34</f>
        <v>-864</v>
      </c>
      <c r="V34" s="22">
        <v>0</v>
      </c>
      <c r="W34" s="22">
        <v>17200</v>
      </c>
      <c r="X34" s="22">
        <f aca="true" t="shared" si="8" ref="X34:X40">V34-W34</f>
        <v>-17200</v>
      </c>
      <c r="Z34" s="22">
        <v>31680</v>
      </c>
      <c r="AA34" s="22">
        <v>12200</v>
      </c>
      <c r="AB34" s="22">
        <f aca="true" t="shared" si="9" ref="AB34:AB40">Z34-AA34</f>
        <v>19480</v>
      </c>
      <c r="AD34" s="22">
        <v>32736</v>
      </c>
      <c r="AE34" s="22">
        <v>32200</v>
      </c>
      <c r="AF34" s="22">
        <f aca="true" t="shared" si="10" ref="AF34:AF40">AD34-AE34</f>
        <v>536</v>
      </c>
      <c r="AH34" s="22">
        <v>32736</v>
      </c>
      <c r="AI34" s="22">
        <v>34200</v>
      </c>
      <c r="AJ34" s="22">
        <f aca="true" t="shared" si="11" ref="AJ34:AJ40">AH34-AI34</f>
        <v>-1464</v>
      </c>
      <c r="AL34" s="22">
        <v>31680</v>
      </c>
      <c r="AM34" s="22">
        <v>33100</v>
      </c>
      <c r="AN34" s="22">
        <f aca="true" t="shared" si="12" ref="AN34:AN40">AL34-AM34</f>
        <v>-1420</v>
      </c>
      <c r="AP34" s="22">
        <v>32780</v>
      </c>
      <c r="AQ34" s="22">
        <v>34200</v>
      </c>
      <c r="AR34" s="22">
        <f aca="true" t="shared" si="13" ref="AR34:AR40">AP34-AQ34</f>
        <v>-1420</v>
      </c>
      <c r="AT34" s="22">
        <v>31680</v>
      </c>
      <c r="AU34" s="22">
        <v>33100</v>
      </c>
      <c r="AV34" s="22">
        <f aca="true" t="shared" si="14" ref="AV34:AV40">AT34-AU34</f>
        <v>-1420</v>
      </c>
      <c r="AX34" s="22">
        <v>32736</v>
      </c>
      <c r="AY34" s="22">
        <v>34200</v>
      </c>
      <c r="AZ34" s="22">
        <f aca="true" t="shared" si="15" ref="AZ34:AZ40">AX34-AY34</f>
        <v>-1464</v>
      </c>
    </row>
    <row r="35" spans="1:52" ht="12.75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 ht="12.75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 ht="12.75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 ht="12.75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 ht="12.75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 ht="12.75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4:44" ht="12.75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51</v>
      </c>
      <c r="F42" s="35">
        <v>65.5</v>
      </c>
      <c r="G42" s="35">
        <v>61.06</v>
      </c>
      <c r="H42" s="38">
        <f>F42-G42</f>
        <v>4.44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 ht="12.75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68.07</v>
      </c>
      <c r="AJ43" s="38">
        <f>AH43-AI43</f>
        <v>-68.07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2:4" ht="12.75">
      <c r="B44" s="65">
        <f>10316862/B39</f>
        <v>7.0013</v>
      </c>
      <c r="D44" s="12"/>
    </row>
    <row r="45" spans="2:4" ht="12.75">
      <c r="B45" s="65"/>
      <c r="C45" s="22">
        <f>(C39)*B44</f>
        <v>10681883</v>
      </c>
      <c r="D45" s="12"/>
    </row>
    <row r="46" spans="1:52" ht="12.75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0.29</v>
      </c>
      <c r="R46">
        <v>8.08</v>
      </c>
      <c r="S46" s="18">
        <f>S48/S47</f>
        <v>6.93</v>
      </c>
      <c r="T46" s="38">
        <f>R46-S46</f>
        <v>1.15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8.29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 ht="12.75">
      <c r="A47" t="s">
        <v>65</v>
      </c>
      <c r="D47" s="38">
        <f>D46*0.6516</f>
        <v>6548206.8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6.943</v>
      </c>
      <c r="S47" s="45">
        <v>7</v>
      </c>
      <c r="T47" s="38">
        <f>R47-S47</f>
        <v>-0.06</v>
      </c>
      <c r="V47">
        <v>6.938</v>
      </c>
      <c r="W47" s="45">
        <v>7</v>
      </c>
      <c r="X47" s="38">
        <f>V47-W47</f>
        <v>-0.06</v>
      </c>
      <c r="Z47" s="3">
        <v>6.947</v>
      </c>
      <c r="AA47" s="45">
        <v>7</v>
      </c>
      <c r="AB47" s="38">
        <f>Z47-AA47</f>
        <v>-0.05</v>
      </c>
      <c r="AD47" s="3">
        <v>6.962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6.941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</v>
      </c>
      <c r="AY47" s="45">
        <v>7</v>
      </c>
      <c r="AZ47" s="38">
        <f>AX47-AY47</f>
        <v>-0.01</v>
      </c>
    </row>
    <row r="48" spans="1:52" ht="12.75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4:52" ht="12.75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6:52" ht="12.75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6:52" ht="12.75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" ht="12.75">
      <c r="A52" s="9" t="s">
        <v>100</v>
      </c>
      <c r="B52" s="9"/>
      <c r="C52" s="9"/>
      <c r="D52" s="9"/>
      <c r="E52" s="9"/>
    </row>
    <row r="53" spans="1:5" ht="12.75">
      <c r="A53" s="9" t="s">
        <v>93</v>
      </c>
      <c r="B53" s="9"/>
      <c r="C53" s="9"/>
      <c r="D53" s="9"/>
      <c r="E53" s="9"/>
    </row>
    <row r="54" spans="1:52" ht="12.75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 ht="12.75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12" ht="12.75">
      <c r="A56" t="s">
        <v>97</v>
      </c>
      <c r="D56" s="58" t="e">
        <f>D15-(D54+D55)</f>
        <v>#REF!</v>
      </c>
      <c r="H56" s="10"/>
      <c r="L56" s="10"/>
    </row>
    <row r="57" spans="1:12" ht="12.75">
      <c r="A57" t="s">
        <v>99</v>
      </c>
      <c r="D57" s="20" t="e">
        <f>SUM(D54:D56)</f>
        <v>#REF!</v>
      </c>
      <c r="H57" s="10"/>
      <c r="L57" s="10"/>
    </row>
    <row r="58" spans="8:12" ht="12.75">
      <c r="H58" s="10"/>
      <c r="L58" s="10"/>
    </row>
    <row r="59" spans="8:12" ht="12.75">
      <c r="H59" s="10"/>
      <c r="L59" s="10"/>
    </row>
    <row r="60" spans="1:12" ht="12.75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12" ht="12.75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12" ht="12.75">
      <c r="A62" t="s">
        <v>80</v>
      </c>
      <c r="H62" s="10">
        <f>525000-520000</f>
        <v>5000</v>
      </c>
      <c r="L62" s="10"/>
    </row>
    <row r="63" spans="1:8" ht="12.75">
      <c r="A63" t="s">
        <v>68</v>
      </c>
      <c r="H63" s="10"/>
    </row>
    <row r="64" spans="1:12" ht="12.75">
      <c r="A64" t="s">
        <v>69</v>
      </c>
      <c r="H64" s="10">
        <f>18200*H42</f>
        <v>80808</v>
      </c>
      <c r="L64" s="10">
        <f>-44900*L42</f>
        <v>-357404</v>
      </c>
    </row>
    <row r="65" spans="1:12" ht="12.75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12" ht="12.75">
      <c r="A66" t="s">
        <v>88</v>
      </c>
      <c r="H66" s="47">
        <f>-H34*F42</f>
        <v>-48208</v>
      </c>
      <c r="L66" s="10"/>
    </row>
    <row r="67" spans="1:12" ht="12.75">
      <c r="A67" t="s">
        <v>91</v>
      </c>
      <c r="H67" s="47">
        <f>-116000</f>
        <v>-116000</v>
      </c>
      <c r="L67" s="10"/>
    </row>
    <row r="68" spans="1:12" ht="12.75">
      <c r="A68" t="s">
        <v>92</v>
      </c>
      <c r="H68" s="47">
        <f>+H38*F42</f>
        <v>-98250</v>
      </c>
      <c r="L68" s="10"/>
    </row>
    <row r="69" spans="1:8" ht="12.75">
      <c r="A69" t="s">
        <v>71</v>
      </c>
      <c r="G69" t="s">
        <v>86</v>
      </c>
      <c r="H69" s="47">
        <f>1066171-989000</f>
        <v>77171</v>
      </c>
    </row>
    <row r="70" spans="1:8" ht="12.75">
      <c r="A70" t="s">
        <v>89</v>
      </c>
      <c r="H70" s="47">
        <f>-H33*F42</f>
        <v>191260</v>
      </c>
    </row>
    <row r="71" spans="1:8" ht="12.75">
      <c r="A71" t="s">
        <v>72</v>
      </c>
      <c r="G71" t="s">
        <v>81</v>
      </c>
      <c r="H71" s="47">
        <f>-25*4343*3</f>
        <v>-325725</v>
      </c>
    </row>
    <row r="72" spans="1:8" ht="12.75">
      <c r="A72" t="s">
        <v>73</v>
      </c>
      <c r="H72" s="47">
        <v>-69812</v>
      </c>
    </row>
    <row r="73" spans="1:8" ht="12.75">
      <c r="A73" t="s">
        <v>74</v>
      </c>
      <c r="G73" t="s">
        <v>81</v>
      </c>
      <c r="H73" s="47">
        <v>-317400</v>
      </c>
    </row>
    <row r="76" spans="1:52" ht="12.75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 ht="12.75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50" ht="12.75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64.71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20" ht="12.75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 ht="12.75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 ht="12.75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2" ht="12.75">
      <c r="A84" t="s">
        <v>79</v>
      </c>
      <c r="H84" s="55">
        <f>SUM(H54:H83)</f>
        <v>930170</v>
      </c>
      <c r="L84" s="55">
        <f>SUM(L54:L83)</f>
        <v>3112128</v>
      </c>
    </row>
    <row r="85" spans="1:8" ht="12.75">
      <c r="A85" t="s">
        <v>82</v>
      </c>
      <c r="H85" s="39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43" customWidth="1"/>
    <col min="2" max="2" width="10.7109375" style="32" customWidth="1"/>
    <col min="3" max="3" width="33.00390625" style="32" customWidth="1"/>
    <col min="4" max="4" width="11.421875" style="32" customWidth="1" outlineLevel="1"/>
    <col min="5" max="5" width="13.57421875" style="32" customWidth="1" outlineLevel="1"/>
    <col min="6" max="6" width="13.7109375" style="32" customWidth="1"/>
    <col min="7" max="8" width="13.57421875" style="32" customWidth="1"/>
    <col min="9" max="10" width="12.421875" style="32" customWidth="1"/>
    <col min="11" max="11" width="12.7109375" style="32" customWidth="1"/>
    <col min="12" max="15" width="12.421875" style="32" customWidth="1"/>
    <col min="16" max="17" width="13.57421875" style="32" customWidth="1"/>
    <col min="18" max="24" width="9.140625" style="0" customWidth="1"/>
    <col min="26" max="26" width="10.140625" style="0" bestFit="1" customWidth="1"/>
  </cols>
  <sheetData>
    <row r="1" spans="1:17" ht="12.75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ht="12.75">
      <c r="A3" s="144" t="s">
        <v>0</v>
      </c>
    </row>
    <row r="4" spans="1:17" ht="12.75">
      <c r="A4" s="143" t="s">
        <v>1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2:17" ht="12.75">
      <c r="B5" s="4" t="s">
        <v>221</v>
      </c>
      <c r="C5" s="6"/>
      <c r="D5" s="428" t="s">
        <v>10</v>
      </c>
      <c r="E5" s="428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 ht="12.75">
      <c r="A6" s="143">
        <v>1</v>
      </c>
      <c r="B6" s="32" t="s">
        <v>3</v>
      </c>
      <c r="D6" s="429">
        <f>'WA Summary '!D6:E6</f>
        <v>132500540</v>
      </c>
      <c r="E6" s="429"/>
      <c r="F6" s="188">
        <f>'WA Summary '!F6</f>
        <v>14499370</v>
      </c>
      <c r="G6" s="188">
        <f>'WA Summary '!G6</f>
        <v>14842700</v>
      </c>
      <c r="H6" s="188">
        <f>'WA Summary '!H6</f>
        <v>14555065</v>
      </c>
      <c r="I6" s="188">
        <f>'WA Summary '!I6</f>
        <v>10126189</v>
      </c>
      <c r="J6" s="188">
        <f>'WA Summary '!J6</f>
        <v>7370635</v>
      </c>
      <c r="K6" s="188">
        <f>'WA Summary '!K6</f>
        <v>7518769</v>
      </c>
      <c r="L6" s="188">
        <f>'WA Summary '!L6</f>
        <v>7684967</v>
      </c>
      <c r="M6" s="188">
        <f>'WA Summary '!M6</f>
        <v>7537349</v>
      </c>
      <c r="N6" s="188">
        <f>'WA Summary '!N6</f>
        <v>8660896</v>
      </c>
      <c r="O6" s="188">
        <f>'WA Summary '!O6</f>
        <v>11043092</v>
      </c>
      <c r="P6" s="188">
        <f>'WA Summary '!P6</f>
        <v>14579440</v>
      </c>
      <c r="Q6" s="188">
        <f>'WA Summary '!Q6</f>
        <v>14082068</v>
      </c>
    </row>
    <row r="7" spans="1:17" ht="12.75">
      <c r="A7" s="143">
        <f>A6+1</f>
        <v>2</v>
      </c>
      <c r="B7" s="32" t="s">
        <v>6</v>
      </c>
      <c r="D7" s="430">
        <f>'WA Summary '!D7:E7</f>
        <v>-88779012</v>
      </c>
      <c r="E7" s="430"/>
      <c r="F7" s="188">
        <f>'WA Summary '!F7</f>
        <v>-8245341</v>
      </c>
      <c r="G7" s="188">
        <f>'WA Summary '!G7</f>
        <v>-8280684</v>
      </c>
      <c r="H7" s="188">
        <f>'WA Summary '!H7</f>
        <v>-8096218</v>
      </c>
      <c r="I7" s="188">
        <f>'WA Summary '!I7</f>
        <v>-7288298</v>
      </c>
      <c r="J7" s="188">
        <f>'WA Summary '!J7</f>
        <v>-5808662</v>
      </c>
      <c r="K7" s="188">
        <f>'WA Summary '!K7</f>
        <v>-5422409</v>
      </c>
      <c r="L7" s="188">
        <f>'WA Summary '!L7</f>
        <v>-6790805</v>
      </c>
      <c r="M7" s="188">
        <f>'WA Summary '!M7</f>
        <v>-3837337</v>
      </c>
      <c r="N7" s="188">
        <f>'WA Summary '!N7</f>
        <v>-6861199</v>
      </c>
      <c r="O7" s="188">
        <f>'WA Summary '!O7</f>
        <v>-6614796</v>
      </c>
      <c r="P7" s="188">
        <f>'WA Summary '!P7</f>
        <v>-8918722</v>
      </c>
      <c r="Q7" s="188">
        <f>'WA Summary '!Q7</f>
        <v>-12614541</v>
      </c>
    </row>
    <row r="8" spans="1:17" ht="12.75">
      <c r="A8" s="143">
        <f>+A7+1</f>
        <v>3</v>
      </c>
      <c r="B8" s="203" t="s">
        <v>285</v>
      </c>
      <c r="D8" s="431" t="e">
        <f>'WA Summary '!#REF!</f>
        <v>#REF!</v>
      </c>
      <c r="E8" s="431"/>
      <c r="F8" s="188" t="e">
        <f>'WA Summary '!#REF!</f>
        <v>#REF!</v>
      </c>
      <c r="G8" s="188" t="e">
        <f>'WA Summary '!#REF!</f>
        <v>#REF!</v>
      </c>
      <c r="H8" s="188" t="e">
        <f>'WA Summary '!#REF!</f>
        <v>#REF!</v>
      </c>
      <c r="I8" s="188" t="e">
        <f>'WA Summary '!#REF!</f>
        <v>#REF!</v>
      </c>
      <c r="J8" s="188" t="e">
        <f>'WA Summary '!#REF!</f>
        <v>#REF!</v>
      </c>
      <c r="K8" s="188" t="e">
        <f>'WA Summary '!#REF!</f>
        <v>#REF!</v>
      </c>
      <c r="L8" s="188" t="e">
        <f>'WA Summary '!#REF!</f>
        <v>#REF!</v>
      </c>
      <c r="M8" s="188" t="e">
        <f>'WA Summary '!#REF!</f>
        <v>#REF!</v>
      </c>
      <c r="N8" s="188" t="e">
        <f>'WA Summary '!#REF!</f>
        <v>#REF!</v>
      </c>
      <c r="O8" s="188" t="e">
        <f>'WA Summary '!#REF!</f>
        <v>#REF!</v>
      </c>
      <c r="P8" s="188" t="e">
        <f>'WA Summary '!#REF!</f>
        <v>#REF!</v>
      </c>
      <c r="Q8" s="188" t="e">
        <f>'WA Summary '!#REF!</f>
        <v>#REF!</v>
      </c>
    </row>
    <row r="9" spans="1:17" ht="12.75">
      <c r="A9" s="143">
        <f aca="true" t="shared" si="0" ref="A9:A15">A8+1</f>
        <v>4</v>
      </c>
      <c r="B9" s="32" t="s">
        <v>4</v>
      </c>
      <c r="D9" s="431">
        <f>'WA Summary '!D8:E8</f>
        <v>26288939</v>
      </c>
      <c r="E9" s="431"/>
      <c r="F9" s="188">
        <f>'WA Summary '!F8</f>
        <v>3107526</v>
      </c>
      <c r="G9" s="188">
        <f>'WA Summary '!G8</f>
        <v>1445764</v>
      </c>
      <c r="H9" s="188">
        <f>'WA Summary '!H8</f>
        <v>1659485</v>
      </c>
      <c r="I9" s="188">
        <f>'WA Summary '!I8</f>
        <v>1553596</v>
      </c>
      <c r="J9" s="188">
        <f>'WA Summary '!J8</f>
        <v>593079</v>
      </c>
      <c r="K9" s="188">
        <f>'WA Summary '!K8</f>
        <v>932589</v>
      </c>
      <c r="L9" s="188">
        <f>'WA Summary '!L8</f>
        <v>3058428</v>
      </c>
      <c r="M9" s="188">
        <f>'WA Summary '!M8</f>
        <v>3762991</v>
      </c>
      <c r="N9" s="188">
        <f>'WA Summary '!N8</f>
        <v>2530191</v>
      </c>
      <c r="O9" s="188">
        <f>'WA Summary '!O8</f>
        <v>2786672</v>
      </c>
      <c r="P9" s="188">
        <f>'WA Summary '!P8</f>
        <v>2008377</v>
      </c>
      <c r="Q9" s="188">
        <f>'WA Summary '!Q8</f>
        <v>2850241</v>
      </c>
    </row>
    <row r="10" spans="1:17" ht="12.75">
      <c r="A10" s="143">
        <f t="shared" si="0"/>
        <v>5</v>
      </c>
      <c r="B10" s="32" t="s">
        <v>5</v>
      </c>
      <c r="D10" s="431">
        <f>'WA Summary '!D9:E9</f>
        <v>69526485</v>
      </c>
      <c r="E10" s="431"/>
      <c r="F10" s="188">
        <f>'WA Summary '!F9</f>
        <v>9055016</v>
      </c>
      <c r="G10" s="188">
        <f>'WA Summary '!G9</f>
        <v>4339629</v>
      </c>
      <c r="H10" s="188">
        <f>'WA Summary '!H9</f>
        <v>2734446</v>
      </c>
      <c r="I10" s="188">
        <f>'WA Summary '!I9</f>
        <v>2317057</v>
      </c>
      <c r="J10" s="188">
        <f>'WA Summary '!J9</f>
        <v>2255561</v>
      </c>
      <c r="K10" s="188">
        <f>'WA Summary '!K9</f>
        <v>2313002</v>
      </c>
      <c r="L10" s="188">
        <f>'WA Summary '!L9</f>
        <v>8249668</v>
      </c>
      <c r="M10" s="188">
        <f>'WA Summary '!M9</f>
        <v>9519606</v>
      </c>
      <c r="N10" s="188">
        <f>'WA Summary '!N9</f>
        <v>7225158</v>
      </c>
      <c r="O10" s="188">
        <f>'WA Summary '!O9</f>
        <v>6316558</v>
      </c>
      <c r="P10" s="188">
        <f>'WA Summary '!P9</f>
        <v>7150335</v>
      </c>
      <c r="Q10" s="188">
        <f>'WA Summary '!Q9</f>
        <v>8050449</v>
      </c>
    </row>
    <row r="11" spans="1:17" ht="12.75">
      <c r="A11" s="143">
        <f t="shared" si="0"/>
        <v>6</v>
      </c>
      <c r="B11" s="51" t="s">
        <v>139</v>
      </c>
      <c r="C11" s="41"/>
      <c r="D11" s="431"/>
      <c r="E11" s="431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7" ht="12.75">
      <c r="A12" s="145">
        <f t="shared" si="0"/>
        <v>7</v>
      </c>
      <c r="B12" s="51" t="s">
        <v>106</v>
      </c>
      <c r="C12" s="41"/>
      <c r="D12" s="412">
        <f>'WA Summary '!D11:E11</f>
        <v>17569671</v>
      </c>
      <c r="E12" s="412"/>
      <c r="F12" s="188">
        <f>'WA Summary '!F11</f>
        <v>1463312</v>
      </c>
      <c r="G12" s="188">
        <f>'WA Summary '!G11</f>
        <v>1494869</v>
      </c>
      <c r="H12" s="188">
        <f>'WA Summary '!H11</f>
        <v>1439098</v>
      </c>
      <c r="I12" s="188">
        <f>'WA Summary '!I11</f>
        <v>1417627</v>
      </c>
      <c r="J12" s="188">
        <f>'WA Summary '!J11</f>
        <v>1487109</v>
      </c>
      <c r="K12" s="188">
        <f>'WA Summary '!K11</f>
        <v>1422611</v>
      </c>
      <c r="L12" s="188">
        <f>'WA Summary '!L11</f>
        <v>1434301</v>
      </c>
      <c r="M12" s="188">
        <f>'WA Summary '!M11</f>
        <v>1491858</v>
      </c>
      <c r="N12" s="188">
        <f>'WA Summary '!N11</f>
        <v>1478942</v>
      </c>
      <c r="O12" s="188">
        <f>'WA Summary '!O11</f>
        <v>1454078</v>
      </c>
      <c r="P12" s="188">
        <f>'WA Summary '!P11</f>
        <v>1475183</v>
      </c>
      <c r="Q12" s="188">
        <f>'WA Summary '!Q11</f>
        <v>1510683</v>
      </c>
    </row>
    <row r="13" spans="1:17" ht="12.75">
      <c r="A13" s="145">
        <f t="shared" si="0"/>
        <v>8</v>
      </c>
      <c r="B13" s="51" t="s">
        <v>107</v>
      </c>
      <c r="C13" s="41"/>
      <c r="D13" s="412">
        <f>'WA Summary '!D12:E12</f>
        <v>728348</v>
      </c>
      <c r="E13" s="412"/>
      <c r="F13" s="188">
        <f>'WA Summary '!F12</f>
        <v>46719</v>
      </c>
      <c r="G13" s="188">
        <f>'WA Summary '!G12</f>
        <v>19336</v>
      </c>
      <c r="H13" s="188">
        <f>'WA Summary '!H12</f>
        <v>108115</v>
      </c>
      <c r="I13" s="188">
        <f>'WA Summary '!I12</f>
        <v>45185</v>
      </c>
      <c r="J13" s="188">
        <f>'WA Summary '!J12</f>
        <v>113333</v>
      </c>
      <c r="K13" s="188">
        <f>'WA Summary '!K12</f>
        <v>53560</v>
      </c>
      <c r="L13" s="188">
        <f>'WA Summary '!L12</f>
        <v>46901</v>
      </c>
      <c r="M13" s="188">
        <f>'WA Summary '!M12</f>
        <v>64239</v>
      </c>
      <c r="N13" s="188">
        <f>'WA Summary '!N12</f>
        <v>62515</v>
      </c>
      <c r="O13" s="188">
        <f>'WA Summary '!O12</f>
        <v>51367</v>
      </c>
      <c r="P13" s="188">
        <f>'WA Summary '!P12</f>
        <v>55488</v>
      </c>
      <c r="Q13" s="188">
        <f>'WA Summary '!Q12</f>
        <v>61590</v>
      </c>
    </row>
    <row r="14" spans="1:17" ht="12.75">
      <c r="A14" s="143">
        <f t="shared" si="0"/>
        <v>9</v>
      </c>
      <c r="B14" s="52" t="s">
        <v>188</v>
      </c>
      <c r="D14" s="432" t="e">
        <f>'WA Summary '!#REF!</f>
        <v>#REF!</v>
      </c>
      <c r="E14" s="432"/>
      <c r="F14" s="188" t="e">
        <f>'WA Summary '!#REF!</f>
        <v>#REF!</v>
      </c>
      <c r="G14" s="188" t="e">
        <f>'WA Summary '!#REF!</f>
        <v>#REF!</v>
      </c>
      <c r="H14" s="188" t="e">
        <f>'WA Summary '!#REF!</f>
        <v>#REF!</v>
      </c>
      <c r="I14" s="188" t="e">
        <f>'WA Summary '!#REF!</f>
        <v>#REF!</v>
      </c>
      <c r="J14" s="188" t="e">
        <f>'WA Summary '!#REF!</f>
        <v>#REF!</v>
      </c>
      <c r="K14" s="188" t="e">
        <f>'WA Summary '!#REF!</f>
        <v>#REF!</v>
      </c>
      <c r="L14" s="188" t="e">
        <f>'WA Summary '!#REF!</f>
        <v>#REF!</v>
      </c>
      <c r="M14" s="188" t="e">
        <f>'WA Summary '!#REF!</f>
        <v>#REF!</v>
      </c>
      <c r="N14" s="188" t="e">
        <f>'WA Summary '!#REF!</f>
        <v>#REF!</v>
      </c>
      <c r="O14" s="188" t="e">
        <f>'WA Summary '!#REF!</f>
        <v>#REF!</v>
      </c>
      <c r="P14" s="188" t="e">
        <f>'WA Summary '!#REF!</f>
        <v>#REF!</v>
      </c>
      <c r="Q14" s="188" t="e">
        <f>'WA Summary '!#REF!</f>
        <v>#REF!</v>
      </c>
    </row>
    <row r="15" spans="1:17" ht="12.75">
      <c r="A15" s="143">
        <f t="shared" si="0"/>
        <v>10</v>
      </c>
      <c r="B15" s="164" t="s">
        <v>11</v>
      </c>
      <c r="C15" s="164"/>
      <c r="D15" s="433" t="e">
        <f>SUM(D6:E14)</f>
        <v>#REF!</v>
      </c>
      <c r="E15" s="433"/>
      <c r="F15" s="189" t="e">
        <f>SUM(F6:F14)</f>
        <v>#REF!</v>
      </c>
      <c r="G15" s="189" t="e">
        <f aca="true" t="shared" si="1" ref="G15:Q15">SUM(G6:G14)</f>
        <v>#REF!</v>
      </c>
      <c r="H15" s="189" t="e">
        <f t="shared" si="1"/>
        <v>#REF!</v>
      </c>
      <c r="I15" s="189" t="e">
        <f t="shared" si="1"/>
        <v>#REF!</v>
      </c>
      <c r="J15" s="189" t="e">
        <f t="shared" si="1"/>
        <v>#REF!</v>
      </c>
      <c r="K15" s="189" t="e">
        <f t="shared" si="1"/>
        <v>#REF!</v>
      </c>
      <c r="L15" s="189" t="e">
        <f t="shared" si="1"/>
        <v>#REF!</v>
      </c>
      <c r="M15" s="189" t="e">
        <f t="shared" si="1"/>
        <v>#REF!</v>
      </c>
      <c r="N15" s="189" t="e">
        <f t="shared" si="1"/>
        <v>#REF!</v>
      </c>
      <c r="O15" s="189" t="e">
        <f t="shared" si="1"/>
        <v>#REF!</v>
      </c>
      <c r="P15" s="189" t="e">
        <f t="shared" si="1"/>
        <v>#REF!</v>
      </c>
      <c r="Q15" s="189" t="e">
        <f t="shared" si="1"/>
        <v>#REF!</v>
      </c>
    </row>
    <row r="16" spans="2:17" ht="25.5" customHeight="1">
      <c r="B16" s="4" t="s">
        <v>13</v>
      </c>
      <c r="C16" s="6"/>
      <c r="D16" s="434" t="str">
        <f>'WA Summary '!D14:E14</f>
        <v>Total through December</v>
      </c>
      <c r="E16" s="434"/>
      <c r="F16" s="206">
        <f>F5</f>
        <v>41305</v>
      </c>
      <c r="G16" s="206">
        <f>G5</f>
        <v>41333</v>
      </c>
      <c r="H16" s="206">
        <f aca="true" t="shared" si="2" ref="H16:Q16">H5</f>
        <v>41364</v>
      </c>
      <c r="I16" s="206">
        <f t="shared" si="2"/>
        <v>41394</v>
      </c>
      <c r="J16" s="206">
        <f t="shared" si="2"/>
        <v>41425</v>
      </c>
      <c r="K16" s="206">
        <f t="shared" si="2"/>
        <v>41455</v>
      </c>
      <c r="L16" s="206">
        <f t="shared" si="2"/>
        <v>41486</v>
      </c>
      <c r="M16" s="206">
        <f t="shared" si="2"/>
        <v>41517</v>
      </c>
      <c r="N16" s="206">
        <f t="shared" si="2"/>
        <v>41547</v>
      </c>
      <c r="O16" s="206">
        <f t="shared" si="2"/>
        <v>41578</v>
      </c>
      <c r="P16" s="206">
        <f t="shared" si="2"/>
        <v>41608</v>
      </c>
      <c r="Q16" s="206">
        <f t="shared" si="2"/>
        <v>41639</v>
      </c>
    </row>
    <row r="17" spans="1:17" ht="12.75">
      <c r="A17" s="143">
        <f>A15+1</f>
        <v>11</v>
      </c>
      <c r="B17" s="154" t="s">
        <v>3</v>
      </c>
      <c r="C17" s="153"/>
      <c r="D17" s="435">
        <f>'WA Summary '!D15:E15</f>
        <v>119195329</v>
      </c>
      <c r="E17" s="435"/>
      <c r="F17" s="207">
        <f>'WA Summary '!F15</f>
        <v>12127251</v>
      </c>
      <c r="G17" s="207">
        <f>'WA Summary '!G15</f>
        <v>11591985</v>
      </c>
      <c r="H17" s="207">
        <f>'WA Summary '!H15</f>
        <v>10660401</v>
      </c>
      <c r="I17" s="207">
        <f>'WA Summary '!I15</f>
        <v>10031882</v>
      </c>
      <c r="J17" s="207">
        <f>'WA Summary '!J15</f>
        <v>8675133</v>
      </c>
      <c r="K17" s="207">
        <f>'WA Summary '!K15</f>
        <v>8326700</v>
      </c>
      <c r="L17" s="207">
        <f>'WA Summary '!L15</f>
        <v>8166121</v>
      </c>
      <c r="M17" s="207">
        <f>'WA Summary '!M15</f>
        <v>9056301</v>
      </c>
      <c r="N17" s="207">
        <f>'WA Summary '!N15</f>
        <v>7883689</v>
      </c>
      <c r="O17" s="207">
        <f>'WA Summary '!O15</f>
        <v>8186793</v>
      </c>
      <c r="P17" s="207">
        <f>'WA Summary '!P15</f>
        <v>11995843</v>
      </c>
      <c r="Q17" s="207">
        <f>'WA Summary '!Q15</f>
        <v>12493230</v>
      </c>
    </row>
    <row r="18" spans="1:17" ht="12.75">
      <c r="A18" s="143">
        <f aca="true" t="shared" si="3" ref="A18:A33">A17+1</f>
        <v>12</v>
      </c>
      <c r="B18" s="154" t="s">
        <v>6</v>
      </c>
      <c r="C18" s="153"/>
      <c r="D18" s="436">
        <f>'WA Summary '!D16:E16</f>
        <v>-88588362</v>
      </c>
      <c r="E18" s="436"/>
      <c r="F18" s="208">
        <f>'WA Summary '!F16</f>
        <v>-7154528</v>
      </c>
      <c r="G18" s="208">
        <f>'WA Summary '!G16</f>
        <v>-6331583</v>
      </c>
      <c r="H18" s="208">
        <f>'WA Summary '!H16</f>
        <v>-7373144</v>
      </c>
      <c r="I18" s="208">
        <f>'WA Summary '!I16</f>
        <v>-9451450</v>
      </c>
      <c r="J18" s="208">
        <f>'WA Summary '!J16</f>
        <v>-8788449</v>
      </c>
      <c r="K18" s="208">
        <f>'WA Summary '!K16</f>
        <v>-8347826</v>
      </c>
      <c r="L18" s="208">
        <f>'WA Summary '!L16</f>
        <v>-7766255</v>
      </c>
      <c r="M18" s="208">
        <f>'WA Summary '!M16</f>
        <v>-5454044</v>
      </c>
      <c r="N18" s="208">
        <f>'WA Summary '!N16</f>
        <v>-6343594</v>
      </c>
      <c r="O18" s="208">
        <f>'WA Summary '!O16</f>
        <v>-6461587</v>
      </c>
      <c r="P18" s="208">
        <f>'WA Summary '!P16</f>
        <v>-7582420</v>
      </c>
      <c r="Q18" s="208">
        <f>'WA Summary '!Q16</f>
        <v>-7533482</v>
      </c>
    </row>
    <row r="19" spans="1:17" ht="12.75">
      <c r="A19" s="143">
        <f>+A18+1</f>
        <v>13</v>
      </c>
      <c r="B19" s="204" t="s">
        <v>285</v>
      </c>
      <c r="C19" s="153"/>
      <c r="D19" s="436" t="e">
        <f>'WA Summary '!#REF!</f>
        <v>#REF!</v>
      </c>
      <c r="E19" s="436"/>
      <c r="F19" s="208" t="e">
        <f>'WA Summary '!#REF!</f>
        <v>#REF!</v>
      </c>
      <c r="G19" s="208" t="e">
        <f>'WA Summary '!#REF!</f>
        <v>#REF!</v>
      </c>
      <c r="H19" s="208" t="e">
        <f>'WA Summary '!#REF!</f>
        <v>#REF!</v>
      </c>
      <c r="I19" s="208" t="e">
        <f>'WA Summary '!#REF!</f>
        <v>#REF!</v>
      </c>
      <c r="J19" s="208" t="e">
        <f>'WA Summary '!#REF!</f>
        <v>#REF!</v>
      </c>
      <c r="K19" s="208" t="e">
        <f>'WA Summary '!#REF!</f>
        <v>#REF!</v>
      </c>
      <c r="L19" s="208" t="e">
        <f>'WA Summary '!#REF!</f>
        <v>#REF!</v>
      </c>
      <c r="M19" s="208" t="e">
        <f>'WA Summary '!#REF!</f>
        <v>#REF!</v>
      </c>
      <c r="N19" s="208" t="e">
        <f>'WA Summary '!#REF!</f>
        <v>#REF!</v>
      </c>
      <c r="O19" s="208" t="e">
        <f>'WA Summary '!#REF!</f>
        <v>#REF!</v>
      </c>
      <c r="P19" s="208" t="e">
        <f>'WA Summary '!#REF!</f>
        <v>#REF!</v>
      </c>
      <c r="Q19" s="208" t="e">
        <f>'WA Summary '!#REF!</f>
        <v>#REF!</v>
      </c>
    </row>
    <row r="20" spans="1:17" ht="12.75">
      <c r="A20" s="143">
        <f>+A19+1</f>
        <v>14</v>
      </c>
      <c r="B20" s="154" t="s">
        <v>4</v>
      </c>
      <c r="C20" s="153"/>
      <c r="D20" s="436">
        <f>'WA Summary '!D17:E17</f>
        <v>29123409</v>
      </c>
      <c r="E20" s="436"/>
      <c r="F20" s="207">
        <f>'WA Summary '!F17</f>
        <v>2667343</v>
      </c>
      <c r="G20" s="207">
        <f>'WA Summary '!G17</f>
        <v>2503517</v>
      </c>
      <c r="H20" s="207">
        <f>'WA Summary '!H17</f>
        <v>2494287</v>
      </c>
      <c r="I20" s="207">
        <f>'WA Summary '!I17</f>
        <v>2179004</v>
      </c>
      <c r="J20" s="207">
        <f>'WA Summary '!J17</f>
        <v>1851578</v>
      </c>
      <c r="K20" s="207">
        <f>'WA Summary '!K17</f>
        <v>1612580</v>
      </c>
      <c r="L20" s="207">
        <f>'WA Summary '!L17</f>
        <v>2427227</v>
      </c>
      <c r="M20" s="207">
        <f>'WA Summary '!M17</f>
        <v>2652598</v>
      </c>
      <c r="N20" s="207">
        <f>'WA Summary '!N17</f>
        <v>2644728</v>
      </c>
      <c r="O20" s="207">
        <f>'WA Summary '!O17</f>
        <v>2706850</v>
      </c>
      <c r="P20" s="207">
        <f>'WA Summary '!P17</f>
        <v>2628470</v>
      </c>
      <c r="Q20" s="207">
        <f>'WA Summary '!Q17</f>
        <v>2755227</v>
      </c>
    </row>
    <row r="21" spans="1:17" ht="12.75">
      <c r="A21" s="143">
        <f t="shared" si="3"/>
        <v>15</v>
      </c>
      <c r="B21" s="154" t="s">
        <v>5</v>
      </c>
      <c r="C21" s="153"/>
      <c r="D21" s="436">
        <f>'WA Summary '!D18:E18</f>
        <v>77293436</v>
      </c>
      <c r="E21" s="436"/>
      <c r="F21" s="207">
        <f>'WA Summary '!F18</f>
        <v>8481668</v>
      </c>
      <c r="G21" s="207">
        <f>'WA Summary '!G18</f>
        <v>7698692</v>
      </c>
      <c r="H21" s="207">
        <f>'WA Summary '!H18</f>
        <v>7292619</v>
      </c>
      <c r="I21" s="207">
        <f>'WA Summary '!I18</f>
        <v>5265751</v>
      </c>
      <c r="J21" s="207">
        <f>'WA Summary '!J18</f>
        <v>2664694</v>
      </c>
      <c r="K21" s="207">
        <f>'WA Summary '!K18</f>
        <v>2712482</v>
      </c>
      <c r="L21" s="207">
        <f>'WA Summary '!L18</f>
        <v>5239795</v>
      </c>
      <c r="M21" s="207">
        <f>'WA Summary '!M18</f>
        <v>6788998</v>
      </c>
      <c r="N21" s="207">
        <f>'WA Summary '!N18</f>
        <v>6983768</v>
      </c>
      <c r="O21" s="207">
        <f>'WA Summary '!O18</f>
        <v>7442560</v>
      </c>
      <c r="P21" s="207">
        <f>'WA Summary '!P18</f>
        <v>7920542</v>
      </c>
      <c r="Q21" s="207">
        <f>'WA Summary '!Q18</f>
        <v>8801867</v>
      </c>
    </row>
    <row r="22" spans="1:17" ht="12.75">
      <c r="A22" s="143">
        <f t="shared" si="3"/>
        <v>16</v>
      </c>
      <c r="B22" s="154" t="s">
        <v>139</v>
      </c>
      <c r="C22" s="153"/>
      <c r="D22" s="436"/>
      <c r="E22" s="436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</row>
    <row r="23" spans="1:17" ht="12.75">
      <c r="A23" s="143">
        <f t="shared" si="3"/>
        <v>17</v>
      </c>
      <c r="B23" s="154" t="s">
        <v>106</v>
      </c>
      <c r="C23" s="153"/>
      <c r="D23" s="436">
        <f>'WA Summary '!D20:E20</f>
        <v>17237232</v>
      </c>
      <c r="E23" s="436"/>
      <c r="F23" s="209">
        <f>'WA Summary '!F20</f>
        <v>1503379</v>
      </c>
      <c r="G23" s="209">
        <f>'WA Summary '!G20</f>
        <v>1417562</v>
      </c>
      <c r="H23" s="209">
        <f>'WA Summary '!H20</f>
        <v>1557827</v>
      </c>
      <c r="I23" s="209">
        <f>'WA Summary '!I20</f>
        <v>1347286</v>
      </c>
      <c r="J23" s="209">
        <f>'WA Summary '!J20</f>
        <v>1410951</v>
      </c>
      <c r="K23" s="209">
        <f>'WA Summary '!K20</f>
        <v>1401574</v>
      </c>
      <c r="L23" s="207">
        <f>'WA Summary '!L20</f>
        <v>1411206</v>
      </c>
      <c r="M23" s="207">
        <f>'WA Summary '!M20</f>
        <v>1443939</v>
      </c>
      <c r="N23" s="207">
        <f>'WA Summary '!N20</f>
        <v>1441121</v>
      </c>
      <c r="O23" s="207">
        <f>'WA Summary '!O20</f>
        <v>1400226</v>
      </c>
      <c r="P23" s="207">
        <f>'WA Summary '!P20</f>
        <v>1464406</v>
      </c>
      <c r="Q23" s="207">
        <f>'WA Summary '!Q20</f>
        <v>1437755</v>
      </c>
    </row>
    <row r="24" spans="1:17" ht="12.75">
      <c r="A24" s="143">
        <f t="shared" si="3"/>
        <v>18</v>
      </c>
      <c r="B24" s="154" t="s">
        <v>107</v>
      </c>
      <c r="C24" s="154"/>
      <c r="D24" s="437">
        <f>'WA Summary '!D21:E21</f>
        <v>690000</v>
      </c>
      <c r="E24" s="437"/>
      <c r="F24" s="207">
        <f>'WA Summary '!F21</f>
        <v>57500</v>
      </c>
      <c r="G24" s="207">
        <f>'WA Summary '!G21</f>
        <v>57500</v>
      </c>
      <c r="H24" s="207">
        <f>'WA Summary '!H21</f>
        <v>57500</v>
      </c>
      <c r="I24" s="207">
        <f>'WA Summary '!I21</f>
        <v>57500</v>
      </c>
      <c r="J24" s="207">
        <f>'WA Summary '!J21</f>
        <v>57500</v>
      </c>
      <c r="K24" s="207">
        <f>'WA Summary '!K21</f>
        <v>57500</v>
      </c>
      <c r="L24" s="207">
        <f>'WA Summary '!L21</f>
        <v>57500</v>
      </c>
      <c r="M24" s="207">
        <f>'WA Summary '!M21</f>
        <v>57500</v>
      </c>
      <c r="N24" s="207">
        <f>'WA Summary '!N21</f>
        <v>57500</v>
      </c>
      <c r="O24" s="207">
        <f>'WA Summary '!O21</f>
        <v>57500</v>
      </c>
      <c r="P24" s="207">
        <f>'WA Summary '!P21</f>
        <v>57500</v>
      </c>
      <c r="Q24" s="207">
        <f>'WA Summary '!Q21</f>
        <v>57500</v>
      </c>
    </row>
    <row r="25" spans="1:17" ht="12.75">
      <c r="A25" s="143">
        <f t="shared" si="3"/>
        <v>19</v>
      </c>
      <c r="B25" s="164" t="s">
        <v>7</v>
      </c>
      <c r="C25" s="164"/>
      <c r="D25" s="433" t="e">
        <f>SUM(D17:E24)</f>
        <v>#REF!</v>
      </c>
      <c r="E25" s="433"/>
      <c r="F25" s="165" t="e">
        <f>SUM(F17:F24)</f>
        <v>#REF!</v>
      </c>
      <c r="G25" s="165" t="e">
        <f aca="true" t="shared" si="4" ref="G25:Q25">SUM(G17:G24)</f>
        <v>#REF!</v>
      </c>
      <c r="H25" s="165" t="e">
        <f t="shared" si="4"/>
        <v>#REF!</v>
      </c>
      <c r="I25" s="165" t="e">
        <f t="shared" si="4"/>
        <v>#REF!</v>
      </c>
      <c r="J25" s="165" t="e">
        <f t="shared" si="4"/>
        <v>#REF!</v>
      </c>
      <c r="K25" s="165" t="e">
        <f t="shared" si="4"/>
        <v>#REF!</v>
      </c>
      <c r="L25" s="165" t="e">
        <f t="shared" si="4"/>
        <v>#REF!</v>
      </c>
      <c r="M25" s="165" t="e">
        <f t="shared" si="4"/>
        <v>#REF!</v>
      </c>
      <c r="N25" s="165" t="e">
        <f t="shared" si="4"/>
        <v>#REF!</v>
      </c>
      <c r="O25" s="165" t="e">
        <f t="shared" si="4"/>
        <v>#REF!</v>
      </c>
      <c r="P25" s="165" t="e">
        <f t="shared" si="4"/>
        <v>#REF!</v>
      </c>
      <c r="Q25" s="165" t="e">
        <f t="shared" si="4"/>
        <v>#REF!</v>
      </c>
    </row>
    <row r="26" spans="1:26" ht="12.75">
      <c r="A26" s="143">
        <f t="shared" si="3"/>
        <v>20</v>
      </c>
      <c r="B26" s="164" t="s">
        <v>8</v>
      </c>
      <c r="C26" s="164"/>
      <c r="D26" s="438" t="e">
        <f>D15-D25</f>
        <v>#REF!</v>
      </c>
      <c r="E26" s="438" t="str">
        <f>IF(E15=0," ",E15-E25)</f>
        <v> </v>
      </c>
      <c r="F26" s="165" t="e">
        <f>IF(F15=0," ",F15-F25)</f>
        <v>#REF!</v>
      </c>
      <c r="G26" s="165" t="e">
        <f aca="true" t="shared" si="5" ref="G26:Q26">IF(G15=0," ",G15-G25)</f>
        <v>#REF!</v>
      </c>
      <c r="H26" s="165" t="e">
        <f t="shared" si="5"/>
        <v>#REF!</v>
      </c>
      <c r="I26" s="165" t="e">
        <f t="shared" si="5"/>
        <v>#REF!</v>
      </c>
      <c r="J26" s="165" t="e">
        <f t="shared" si="5"/>
        <v>#REF!</v>
      </c>
      <c r="K26" s="165" t="e">
        <f t="shared" si="5"/>
        <v>#REF!</v>
      </c>
      <c r="L26" s="165" t="e">
        <f>IF(L15=0," ",L15-L25)</f>
        <v>#REF!</v>
      </c>
      <c r="M26" s="165" t="e">
        <f t="shared" si="5"/>
        <v>#REF!</v>
      </c>
      <c r="N26" s="165" t="e">
        <f t="shared" si="5"/>
        <v>#REF!</v>
      </c>
      <c r="O26" s="165" t="e">
        <f t="shared" si="5"/>
        <v>#REF!</v>
      </c>
      <c r="P26" s="165" t="e">
        <f t="shared" si="5"/>
        <v>#REF!</v>
      </c>
      <c r="Q26" s="165" t="e">
        <f t="shared" si="5"/>
        <v>#REF!</v>
      </c>
      <c r="Z26" s="8"/>
    </row>
    <row r="27" spans="1:17" ht="12.75">
      <c r="A27" s="145">
        <f t="shared" si="3"/>
        <v>21</v>
      </c>
      <c r="B27" s="186" t="s">
        <v>165</v>
      </c>
      <c r="C27" s="186"/>
      <c r="D27" s="441">
        <f>SUM(F27:Q27)</f>
        <v>-6059188</v>
      </c>
      <c r="E27" s="441"/>
      <c r="F27" s="187">
        <f>'WA Summary '!F25</f>
        <v>-421402</v>
      </c>
      <c r="G27" s="187">
        <f>'WA Summary '!G25</f>
        <v>-135869</v>
      </c>
      <c r="H27" s="187">
        <f>'WA Summary '!H25</f>
        <v>-720656</v>
      </c>
      <c r="I27" s="187">
        <f>'WA Summary '!I25</f>
        <v>-674229</v>
      </c>
      <c r="J27" s="187">
        <f>'WA Summary '!J25</f>
        <v>-962887</v>
      </c>
      <c r="K27" s="187">
        <f>'WA Monthly'!J134</f>
        <v>-682514</v>
      </c>
      <c r="L27" s="187">
        <f>'WA Monthly'!K134</f>
        <v>-660516</v>
      </c>
      <c r="M27" s="187">
        <f>'WA Monthly'!L134</f>
        <v>-371017</v>
      </c>
      <c r="N27" s="187">
        <f>'WA Monthly'!M134</f>
        <v>-69406</v>
      </c>
      <c r="O27" s="187">
        <f>'WA Monthly'!N134</f>
        <v>-705794</v>
      </c>
      <c r="P27" s="187">
        <f>'WA Monthly'!O134</f>
        <v>-302381</v>
      </c>
      <c r="Q27" s="187">
        <f>'WA Monthly'!P134</f>
        <v>-352517</v>
      </c>
    </row>
    <row r="28" spans="1:17" ht="15">
      <c r="A28" s="143">
        <f t="shared" si="3"/>
        <v>22</v>
      </c>
      <c r="B28" s="32" t="s">
        <v>116</v>
      </c>
      <c r="D28" s="442" t="e">
        <f>D26+D27</f>
        <v>#REF!</v>
      </c>
      <c r="E28" s="442"/>
      <c r="F28" s="156" t="e">
        <f aca="true" t="shared" si="6" ref="F28:Q28">SUM(F26:F27)</f>
        <v>#REF!</v>
      </c>
      <c r="G28" s="138" t="e">
        <f t="shared" si="6"/>
        <v>#REF!</v>
      </c>
      <c r="H28" s="138" t="e">
        <f t="shared" si="6"/>
        <v>#REF!</v>
      </c>
      <c r="I28" s="138" t="e">
        <f t="shared" si="6"/>
        <v>#REF!</v>
      </c>
      <c r="J28" s="138" t="e">
        <f t="shared" si="6"/>
        <v>#REF!</v>
      </c>
      <c r="K28" s="138" t="e">
        <f t="shared" si="6"/>
        <v>#REF!</v>
      </c>
      <c r="L28" s="138" t="e">
        <f t="shared" si="6"/>
        <v>#REF!</v>
      </c>
      <c r="M28" s="138" t="e">
        <f t="shared" si="6"/>
        <v>#REF!</v>
      </c>
      <c r="N28" s="138" t="e">
        <f t="shared" si="6"/>
        <v>#REF!</v>
      </c>
      <c r="O28" s="138" t="e">
        <f t="shared" si="6"/>
        <v>#REF!</v>
      </c>
      <c r="P28" s="138" t="e">
        <f t="shared" si="6"/>
        <v>#REF!</v>
      </c>
      <c r="Q28" s="138" t="e">
        <f t="shared" si="6"/>
        <v>#REF!</v>
      </c>
    </row>
    <row r="29" spans="1:17" ht="12.75">
      <c r="A29" s="145">
        <f t="shared" si="3"/>
        <v>23</v>
      </c>
      <c r="B29" s="51" t="s">
        <v>218</v>
      </c>
      <c r="D29" s="158"/>
      <c r="E29" s="158"/>
      <c r="F29" s="210">
        <v>0.6524</v>
      </c>
      <c r="G29" s="210">
        <v>0.6524</v>
      </c>
      <c r="H29" s="210">
        <v>0.6524</v>
      </c>
      <c r="I29" s="210">
        <v>0.6524</v>
      </c>
      <c r="J29" s="210">
        <v>0.6524</v>
      </c>
      <c r="K29" s="210">
        <v>0.6524</v>
      </c>
      <c r="L29" s="210">
        <v>0.6524</v>
      </c>
      <c r="M29" s="210">
        <v>0.6524</v>
      </c>
      <c r="N29" s="210">
        <v>0.6524</v>
      </c>
      <c r="O29" s="210">
        <v>0.6524</v>
      </c>
      <c r="P29" s="210">
        <v>0.6524</v>
      </c>
      <c r="Q29" s="210">
        <v>0.6524</v>
      </c>
    </row>
    <row r="30" spans="1:17" ht="12.75">
      <c r="A30" s="143">
        <f t="shared" si="3"/>
        <v>24</v>
      </c>
      <c r="B30" s="32" t="s">
        <v>219</v>
      </c>
      <c r="D30" s="408" t="e">
        <f>SUM(F30:Q30)</f>
        <v>#REF!</v>
      </c>
      <c r="E30" s="408"/>
      <c r="F30" s="162" t="e">
        <f>+F28*F29</f>
        <v>#REF!</v>
      </c>
      <c r="G30" s="162" t="e">
        <f>+G28*G29</f>
        <v>#REF!</v>
      </c>
      <c r="H30" s="162" t="e">
        <f>+H28*H29</f>
        <v>#REF!</v>
      </c>
      <c r="I30" s="162" t="e">
        <f aca="true" t="shared" si="7" ref="I30:Q30">+I28*I29</f>
        <v>#REF!</v>
      </c>
      <c r="J30" s="162" t="e">
        <f t="shared" si="7"/>
        <v>#REF!</v>
      </c>
      <c r="K30" s="162" t="e">
        <f t="shared" si="7"/>
        <v>#REF!</v>
      </c>
      <c r="L30" s="162" t="e">
        <f t="shared" si="7"/>
        <v>#REF!</v>
      </c>
      <c r="M30" s="162" t="e">
        <f t="shared" si="7"/>
        <v>#REF!</v>
      </c>
      <c r="N30" s="162" t="e">
        <f t="shared" si="7"/>
        <v>#REF!</v>
      </c>
      <c r="O30" s="162" t="e">
        <f t="shared" si="7"/>
        <v>#REF!</v>
      </c>
      <c r="P30" s="162" t="e">
        <f t="shared" si="7"/>
        <v>#REF!</v>
      </c>
      <c r="Q30" s="162" t="e">
        <f t="shared" si="7"/>
        <v>#REF!</v>
      </c>
    </row>
    <row r="31" spans="1:17" ht="12.75">
      <c r="A31" s="181">
        <f t="shared" si="3"/>
        <v>25</v>
      </c>
      <c r="B31" s="443" t="s">
        <v>248</v>
      </c>
      <c r="C31" s="443"/>
      <c r="D31" s="408">
        <f>SUM(F31:Q31)</f>
        <v>-2492101</v>
      </c>
      <c r="E31" s="408"/>
      <c r="F31" s="211">
        <f>'WA Summary '!F30</f>
        <v>-899103</v>
      </c>
      <c r="G31" s="211">
        <f>'WA Summary '!G30</f>
        <v>-134989</v>
      </c>
      <c r="H31" s="211">
        <f>'WA Summary '!H30</f>
        <v>66915</v>
      </c>
      <c r="I31" s="211">
        <f>'WA Summary '!I30</f>
        <v>59414</v>
      </c>
      <c r="J31" s="211">
        <f>'WA Summary '!J30</f>
        <v>223625</v>
      </c>
      <c r="K31" s="211">
        <f>'WA Summary '!K30</f>
        <v>-16866</v>
      </c>
      <c r="L31" s="211">
        <f>'WA Summary '!L30</f>
        <v>-830278</v>
      </c>
      <c r="M31" s="211">
        <f>'WA Summary '!M30</f>
        <v>-758570</v>
      </c>
      <c r="N31" s="211">
        <f>'WA Summary '!N30</f>
        <v>-202249</v>
      </c>
      <c r="O31" s="169"/>
      <c r="P31" s="169"/>
      <c r="Q31" s="169"/>
    </row>
    <row r="32" spans="1:17" ht="12.75">
      <c r="A32" s="168">
        <f t="shared" si="3"/>
        <v>26</v>
      </c>
      <c r="B32" s="406" t="s">
        <v>193</v>
      </c>
      <c r="C32" s="406"/>
      <c r="D32" s="409" t="e">
        <f>SUM(F32:Q32)</f>
        <v>#REF!</v>
      </c>
      <c r="E32" s="409"/>
      <c r="F32" s="184" t="e">
        <f>IF(F15=0," ",F30+F31)</f>
        <v>#REF!</v>
      </c>
      <c r="G32" s="184" t="e">
        <f aca="true" t="shared" si="8" ref="G32:Q32">IF(G15=0," ",G30+G31)</f>
        <v>#REF!</v>
      </c>
      <c r="H32" s="184" t="e">
        <f t="shared" si="8"/>
        <v>#REF!</v>
      </c>
      <c r="I32" s="184" t="e">
        <f t="shared" si="8"/>
        <v>#REF!</v>
      </c>
      <c r="J32" s="184" t="e">
        <f t="shared" si="8"/>
        <v>#REF!</v>
      </c>
      <c r="K32" s="184" t="e">
        <f t="shared" si="8"/>
        <v>#REF!</v>
      </c>
      <c r="L32" s="184" t="e">
        <f t="shared" si="8"/>
        <v>#REF!</v>
      </c>
      <c r="M32" s="184" t="e">
        <f t="shared" si="8"/>
        <v>#REF!</v>
      </c>
      <c r="N32" s="184" t="e">
        <f t="shared" si="8"/>
        <v>#REF!</v>
      </c>
      <c r="O32" s="184" t="e">
        <f t="shared" si="8"/>
        <v>#REF!</v>
      </c>
      <c r="P32" s="184" t="e">
        <f t="shared" si="8"/>
        <v>#REF!</v>
      </c>
      <c r="Q32" s="184" t="e">
        <f t="shared" si="8"/>
        <v>#REF!</v>
      </c>
    </row>
    <row r="33" spans="1:17" ht="12.75">
      <c r="A33" s="201">
        <f t="shared" si="3"/>
        <v>27</v>
      </c>
      <c r="B33" s="164" t="s">
        <v>282</v>
      </c>
      <c r="C33" s="164"/>
      <c r="D33" s="202"/>
      <c r="E33" s="202"/>
      <c r="F33" s="155" t="e">
        <f>IF(F15=0," ",F32)</f>
        <v>#REF!</v>
      </c>
      <c r="G33" s="155" t="e">
        <f>IF(G31=0," ",+F33+G32)</f>
        <v>#REF!</v>
      </c>
      <c r="H33" s="155" t="e">
        <f>IF(H31=0," ",+G33+H32)</f>
        <v>#REF!</v>
      </c>
      <c r="I33" s="155" t="e">
        <f aca="true" t="shared" si="9" ref="I33:Q33">IF(I31=0," ",+H33+I32)</f>
        <v>#REF!</v>
      </c>
      <c r="J33" s="155" t="e">
        <f t="shared" si="9"/>
        <v>#REF!</v>
      </c>
      <c r="K33" s="155" t="e">
        <f t="shared" si="9"/>
        <v>#REF!</v>
      </c>
      <c r="L33" s="155" t="e">
        <f>IF(L31=0," ",+K33+L32)</f>
        <v>#REF!</v>
      </c>
      <c r="M33" s="155" t="e">
        <f>IF(M31=0," ",+L33+M32)</f>
        <v>#REF!</v>
      </c>
      <c r="N33" s="155" t="e">
        <f>IF(N31=0," ",+M33+N32)</f>
        <v>#REF!</v>
      </c>
      <c r="O33" s="155" t="str">
        <f t="shared" si="9"/>
        <v> </v>
      </c>
      <c r="P33" s="155" t="str">
        <f t="shared" si="9"/>
        <v> </v>
      </c>
      <c r="Q33" s="155" t="str">
        <f t="shared" si="9"/>
        <v> </v>
      </c>
    </row>
    <row r="34" spans="1:17" ht="12.75">
      <c r="A34" s="161" t="s">
        <v>102</v>
      </c>
      <c r="B34" s="166">
        <v>10000000</v>
      </c>
      <c r="C34" s="167" t="s">
        <v>103</v>
      </c>
      <c r="D34" s="68">
        <v>0.9</v>
      </c>
      <c r="E34" s="68">
        <v>0.9</v>
      </c>
      <c r="F34" s="156" t="e">
        <f>IF(F15=0," ",IF(ABS(F$33)&lt;$B34,0,(ABS(F$33)-$B34)*SIGN(F$33)))</f>
        <v>#REF!</v>
      </c>
      <c r="G34" s="156" t="e">
        <f aca="true" t="shared" si="10" ref="G34:Q34">IF(G15=0," ",IF(ABS(G$33)&lt;$B34,0,(ABS(G$33)-$B34)*SIGN(G$33)))</f>
        <v>#REF!</v>
      </c>
      <c r="H34" s="156" t="e">
        <f t="shared" si="10"/>
        <v>#REF!</v>
      </c>
      <c r="I34" s="156" t="e">
        <f t="shared" si="10"/>
        <v>#REF!</v>
      </c>
      <c r="J34" s="156" t="e">
        <f t="shared" si="10"/>
        <v>#REF!</v>
      </c>
      <c r="K34" s="156" t="e">
        <f t="shared" si="10"/>
        <v>#REF!</v>
      </c>
      <c r="L34" s="156" t="e">
        <f t="shared" si="10"/>
        <v>#REF!</v>
      </c>
      <c r="M34" s="156" t="e">
        <f t="shared" si="10"/>
        <v>#REF!</v>
      </c>
      <c r="N34" s="156" t="e">
        <f t="shared" si="10"/>
        <v>#REF!</v>
      </c>
      <c r="O34" s="156" t="e">
        <f t="shared" si="10"/>
        <v>#REF!</v>
      </c>
      <c r="P34" s="156" t="e">
        <f t="shared" si="10"/>
        <v>#REF!</v>
      </c>
      <c r="Q34" s="156" t="e">
        <f t="shared" si="10"/>
        <v>#REF!</v>
      </c>
    </row>
    <row r="35" spans="1:17" ht="12.75">
      <c r="A35" s="161" t="s">
        <v>102</v>
      </c>
      <c r="B35" s="166">
        <v>4000000</v>
      </c>
      <c r="C35" s="167" t="str">
        <f>"to "&amp;TEXT(B34,"$#,##0,,")&amp;"M"</f>
        <v>to $10M</v>
      </c>
      <c r="D35" s="68">
        <v>0.5</v>
      </c>
      <c r="E35" s="68">
        <v>0.75</v>
      </c>
      <c r="F35" s="156" t="e">
        <f>IF(F15=0," ",IF(ABS(F$33)&lt;$B35,0,MIN($B$34-$B$35,ABS(F$33)-$B35)*SIGN(F$33)))</f>
        <v>#REF!</v>
      </c>
      <c r="G35" s="156" t="e">
        <f aca="true" t="shared" si="11" ref="G35:Q35">IF(G15=0," ",IF(ABS(G$33)&lt;$B35,0,MIN($B$34-$B$35,ABS(G$33)-$B35)*SIGN(G$33)))</f>
        <v>#REF!</v>
      </c>
      <c r="H35" s="156" t="e">
        <f t="shared" si="11"/>
        <v>#REF!</v>
      </c>
      <c r="I35" s="156" t="e">
        <f t="shared" si="11"/>
        <v>#REF!</v>
      </c>
      <c r="J35" s="156" t="e">
        <f t="shared" si="11"/>
        <v>#REF!</v>
      </c>
      <c r="K35" s="156" t="e">
        <f t="shared" si="11"/>
        <v>#REF!</v>
      </c>
      <c r="L35" s="156" t="e">
        <f t="shared" si="11"/>
        <v>#REF!</v>
      </c>
      <c r="M35" s="156" t="e">
        <f t="shared" si="11"/>
        <v>#REF!</v>
      </c>
      <c r="N35" s="156" t="e">
        <f t="shared" si="11"/>
        <v>#REF!</v>
      </c>
      <c r="O35" s="156" t="e">
        <f t="shared" si="11"/>
        <v>#REF!</v>
      </c>
      <c r="P35" s="156" t="e">
        <f t="shared" si="11"/>
        <v>#REF!</v>
      </c>
      <c r="Q35" s="156" t="e">
        <f t="shared" si="11"/>
        <v>#REF!</v>
      </c>
    </row>
    <row r="36" spans="1:17" ht="12.75">
      <c r="A36" s="161" t="s">
        <v>102</v>
      </c>
      <c r="B36" s="166">
        <v>0</v>
      </c>
      <c r="C36" s="167" t="str">
        <f>"to "&amp;TEXT(B35,"$#,##0,,")&amp;"M"</f>
        <v>to $4M</v>
      </c>
      <c r="D36" s="68">
        <v>0</v>
      </c>
      <c r="E36" s="68">
        <v>0</v>
      </c>
      <c r="F36" s="156" t="e">
        <f>IF(F15=0," ",IF(ABS(F$33)&lt;$B36,0,MIN($B$35-$B$36,ABS(F$33)-$B36)*SIGN(F$33)))</f>
        <v>#REF!</v>
      </c>
      <c r="G36" s="156" t="e">
        <f aca="true" t="shared" si="12" ref="G36:Q36">IF(G15=0," ",IF(ABS(G$33)&lt;$B36,0,MIN($B$35-$B$36,ABS(G$33)-$B36)*SIGN(G$33)))</f>
        <v>#REF!</v>
      </c>
      <c r="H36" s="156" t="e">
        <f t="shared" si="12"/>
        <v>#REF!</v>
      </c>
      <c r="I36" s="156" t="e">
        <f t="shared" si="12"/>
        <v>#REF!</v>
      </c>
      <c r="J36" s="156" t="e">
        <f t="shared" si="12"/>
        <v>#REF!</v>
      </c>
      <c r="K36" s="156" t="e">
        <f t="shared" si="12"/>
        <v>#REF!</v>
      </c>
      <c r="L36" s="156" t="e">
        <f t="shared" si="12"/>
        <v>#REF!</v>
      </c>
      <c r="M36" s="156" t="e">
        <f t="shared" si="12"/>
        <v>#REF!</v>
      </c>
      <c r="N36" s="156" t="e">
        <f t="shared" si="12"/>
        <v>#REF!</v>
      </c>
      <c r="O36" s="156" t="e">
        <f t="shared" si="12"/>
        <v>#REF!</v>
      </c>
      <c r="P36" s="156" t="e">
        <f t="shared" si="12"/>
        <v>#REF!</v>
      </c>
      <c r="Q36" s="156" t="e">
        <f t="shared" si="12"/>
        <v>#REF!</v>
      </c>
    </row>
    <row r="37" spans="1:17" ht="12.75">
      <c r="A37" s="32"/>
      <c r="B37" s="69"/>
      <c r="C37" s="70" t="s">
        <v>104</v>
      </c>
      <c r="D37" s="149"/>
      <c r="E37" s="149"/>
      <c r="F37" s="160" t="e">
        <f>IF(F15=0," ",SUM(F34:F36)-F33)</f>
        <v>#REF!</v>
      </c>
      <c r="G37" s="160" t="e">
        <f aca="true" t="shared" si="13" ref="G37:Q37">IF(G15=0," ",SUM(G34:G36)-G33)</f>
        <v>#REF!</v>
      </c>
      <c r="H37" s="160" t="e">
        <f t="shared" si="13"/>
        <v>#REF!</v>
      </c>
      <c r="I37" s="160" t="e">
        <f t="shared" si="13"/>
        <v>#REF!</v>
      </c>
      <c r="J37" s="160" t="e">
        <f t="shared" si="13"/>
        <v>#REF!</v>
      </c>
      <c r="K37" s="160" t="e">
        <f t="shared" si="13"/>
        <v>#REF!</v>
      </c>
      <c r="L37" s="160" t="e">
        <f t="shared" si="13"/>
        <v>#REF!</v>
      </c>
      <c r="M37" s="160" t="e">
        <f t="shared" si="13"/>
        <v>#REF!</v>
      </c>
      <c r="N37" s="160" t="e">
        <f t="shared" si="13"/>
        <v>#REF!</v>
      </c>
      <c r="O37" s="160" t="e">
        <f t="shared" si="13"/>
        <v>#REF!</v>
      </c>
      <c r="P37" s="160" t="e">
        <f t="shared" si="13"/>
        <v>#REF!</v>
      </c>
      <c r="Q37" s="160" t="e">
        <f t="shared" si="13"/>
        <v>#REF!</v>
      </c>
    </row>
    <row r="38" spans="1:17" ht="12.75">
      <c r="A38" s="32" t="s">
        <v>249</v>
      </c>
      <c r="D38" s="151"/>
      <c r="E38" s="151"/>
      <c r="F38" s="156" t="e">
        <f>IF(F15=0," ",SUMPRODUCT(IF(F33&gt;0,$D$34:$D$36,$E$34:$E$36),F34:F36))</f>
        <v>#REF!</v>
      </c>
      <c r="G38" s="156" t="e">
        <f aca="true" t="shared" si="14" ref="G38:Q38">IF(G15=0," ",SUMPRODUCT(IF(G33&gt;0,$D$34:$D$36,$E$34:$E$36),G34:G36))</f>
        <v>#REF!</v>
      </c>
      <c r="H38" s="156" t="e">
        <f t="shared" si="14"/>
        <v>#REF!</v>
      </c>
      <c r="I38" s="156" t="e">
        <f t="shared" si="14"/>
        <v>#REF!</v>
      </c>
      <c r="J38" s="156" t="e">
        <f t="shared" si="14"/>
        <v>#REF!</v>
      </c>
      <c r="K38" s="156" t="e">
        <f t="shared" si="14"/>
        <v>#REF!</v>
      </c>
      <c r="L38" s="156" t="e">
        <f t="shared" si="14"/>
        <v>#REF!</v>
      </c>
      <c r="M38" s="156" t="e">
        <f t="shared" si="14"/>
        <v>#REF!</v>
      </c>
      <c r="N38" s="156" t="e">
        <f t="shared" si="14"/>
        <v>#REF!</v>
      </c>
      <c r="O38" s="156" t="e">
        <f t="shared" si="14"/>
        <v>#REF!</v>
      </c>
      <c r="P38" s="156" t="e">
        <f t="shared" si="14"/>
        <v>#REF!</v>
      </c>
      <c r="Q38" s="156" t="e">
        <f t="shared" si="14"/>
        <v>#REF!</v>
      </c>
    </row>
    <row r="39" spans="1:17" ht="12.75">
      <c r="A39" s="32" t="s">
        <v>105</v>
      </c>
      <c r="D39" s="152"/>
      <c r="E39" s="152"/>
      <c r="F39" s="156" t="e">
        <f>IF(F15=0," ",F38-D38)</f>
        <v>#REF!</v>
      </c>
      <c r="G39" s="156" t="e">
        <f aca="true" t="shared" si="15" ref="G39:Q39">IF(G15=0," ",G38-F38)</f>
        <v>#REF!</v>
      </c>
      <c r="H39" s="156" t="e">
        <f t="shared" si="15"/>
        <v>#REF!</v>
      </c>
      <c r="I39" s="156" t="e">
        <f t="shared" si="15"/>
        <v>#REF!</v>
      </c>
      <c r="J39" s="156" t="e">
        <f t="shared" si="15"/>
        <v>#REF!</v>
      </c>
      <c r="K39" s="156" t="e">
        <f t="shared" si="15"/>
        <v>#REF!</v>
      </c>
      <c r="L39" s="156" t="e">
        <f t="shared" si="15"/>
        <v>#REF!</v>
      </c>
      <c r="M39" s="156" t="e">
        <f t="shared" si="15"/>
        <v>#REF!</v>
      </c>
      <c r="N39" s="156" t="e">
        <f t="shared" si="15"/>
        <v>#REF!</v>
      </c>
      <c r="O39" s="156" t="e">
        <f t="shared" si="15"/>
        <v>#REF!</v>
      </c>
      <c r="P39" s="156" t="e">
        <f t="shared" si="15"/>
        <v>#REF!</v>
      </c>
      <c r="Q39" s="156" t="e">
        <f t="shared" si="15"/>
        <v>#REF!</v>
      </c>
    </row>
    <row r="40" spans="1:17" ht="12.75">
      <c r="A40" s="439" t="s">
        <v>252</v>
      </c>
      <c r="B40" s="439"/>
      <c r="C40" s="439"/>
      <c r="D40" s="409" t="e">
        <f>SUM(F40:Q40)</f>
        <v>#REF!</v>
      </c>
      <c r="E40" s="409"/>
      <c r="F40" s="170" t="e">
        <f>IF(F15=0," ",-F39-E39)</f>
        <v>#REF!</v>
      </c>
      <c r="G40" s="170" t="e">
        <f>IF(G15=0," ",-G39-F39)</f>
        <v>#REF!</v>
      </c>
      <c r="H40" s="170" t="e">
        <f>IF(H15=0," ",-H39-G39)</f>
        <v>#REF!</v>
      </c>
      <c r="I40" s="170" t="e">
        <f>IF(I15=0," ",-I39)</f>
        <v>#REF!</v>
      </c>
      <c r="J40" s="170" t="e">
        <f aca="true" t="shared" si="16" ref="J40:Q40">IF(J15=0," ",-J39)</f>
        <v>#REF!</v>
      </c>
      <c r="K40" s="170" t="e">
        <f t="shared" si="16"/>
        <v>#REF!</v>
      </c>
      <c r="L40" s="170" t="e">
        <f t="shared" si="16"/>
        <v>#REF!</v>
      </c>
      <c r="M40" s="170" t="e">
        <f t="shared" si="16"/>
        <v>#REF!</v>
      </c>
      <c r="N40" s="170" t="e">
        <f t="shared" si="16"/>
        <v>#REF!</v>
      </c>
      <c r="O40" s="170" t="e">
        <f t="shared" si="16"/>
        <v>#REF!</v>
      </c>
      <c r="P40" s="170" t="e">
        <f t="shared" si="16"/>
        <v>#REF!</v>
      </c>
      <c r="Q40" s="170" t="e">
        <f t="shared" si="16"/>
        <v>#REF!</v>
      </c>
    </row>
    <row r="41" spans="1:17" ht="13.5" thickBot="1">
      <c r="A41" s="440" t="s">
        <v>108</v>
      </c>
      <c r="B41" s="440"/>
      <c r="C41" s="440"/>
      <c r="D41" s="146"/>
      <c r="E41" s="146"/>
      <c r="F41" s="172" t="e">
        <f>IF(F15=0," ",F33-F38)</f>
        <v>#REF!</v>
      </c>
      <c r="G41" s="172" t="e">
        <f aca="true" t="shared" si="17" ref="G41:Q41">IF(G15=0," ",G33-G38)</f>
        <v>#REF!</v>
      </c>
      <c r="H41" s="172" t="e">
        <f t="shared" si="17"/>
        <v>#REF!</v>
      </c>
      <c r="I41" s="172" t="e">
        <f t="shared" si="17"/>
        <v>#REF!</v>
      </c>
      <c r="J41" s="172" t="e">
        <f t="shared" si="17"/>
        <v>#REF!</v>
      </c>
      <c r="K41" s="172" t="e">
        <f t="shared" si="17"/>
        <v>#REF!</v>
      </c>
      <c r="L41" s="172" t="e">
        <f t="shared" si="17"/>
        <v>#REF!</v>
      </c>
      <c r="M41" s="172" t="e">
        <f t="shared" si="17"/>
        <v>#REF!</v>
      </c>
      <c r="N41" s="172" t="e">
        <f t="shared" si="17"/>
        <v>#REF!</v>
      </c>
      <c r="O41" s="172" t="e">
        <f t="shared" si="17"/>
        <v>#REF!</v>
      </c>
      <c r="P41" s="172" t="e">
        <f t="shared" si="17"/>
        <v>#REF!</v>
      </c>
      <c r="Q41" s="172" t="e">
        <f t="shared" si="17"/>
        <v>#REF!</v>
      </c>
    </row>
    <row r="42" ht="13.5" thickTop="1"/>
  </sheetData>
  <sheetProtection/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444" t="s">
        <v>220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15.75">
      <c r="A2" s="427" t="s">
        <v>293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4" ht="15.75">
      <c r="A4" s="213" t="s">
        <v>294</v>
      </c>
    </row>
    <row r="5" spans="1:3" ht="15.75">
      <c r="A5" s="213"/>
      <c r="B5" s="2">
        <v>1</v>
      </c>
      <c r="C5" s="2" t="s">
        <v>295</v>
      </c>
    </row>
    <row r="6" ht="15.75">
      <c r="A6" s="213"/>
    </row>
    <row r="7" spans="2:3" ht="12.75">
      <c r="B7" s="2">
        <v>2</v>
      </c>
      <c r="C7" s="2" t="s">
        <v>296</v>
      </c>
    </row>
    <row r="8" ht="12.75">
      <c r="D8" s="26" t="s">
        <v>297</v>
      </c>
    </row>
    <row r="9" ht="12.75">
      <c r="D9" s="26" t="s">
        <v>298</v>
      </c>
    </row>
    <row r="10" ht="12.75">
      <c r="D10" s="214" t="s">
        <v>299</v>
      </c>
    </row>
    <row r="11" ht="12.75">
      <c r="D11" s="26" t="s">
        <v>300</v>
      </c>
    </row>
    <row r="12" ht="12.75">
      <c r="D12" s="26" t="s">
        <v>301</v>
      </c>
    </row>
    <row r="13" ht="12.75">
      <c r="D13" s="26" t="s">
        <v>302</v>
      </c>
    </row>
    <row r="14" ht="12.75">
      <c r="D14" s="26" t="s">
        <v>303</v>
      </c>
    </row>
    <row r="16" spans="2:3" ht="12.75">
      <c r="B16" s="2">
        <v>3</v>
      </c>
      <c r="C16" s="2" t="s">
        <v>304</v>
      </c>
    </row>
    <row r="17" ht="12.75">
      <c r="D17" s="26" t="s">
        <v>305</v>
      </c>
    </row>
    <row r="18" ht="12.75">
      <c r="D18" s="26" t="s">
        <v>306</v>
      </c>
    </row>
    <row r="19" ht="12.75">
      <c r="D19" s="26" t="s">
        <v>307</v>
      </c>
    </row>
    <row r="21" spans="2:3" ht="12.75">
      <c r="B21" s="2">
        <v>4</v>
      </c>
      <c r="C21" s="2" t="s">
        <v>308</v>
      </c>
    </row>
    <row r="22" ht="12.75">
      <c r="D22" s="26" t="s">
        <v>309</v>
      </c>
    </row>
    <row r="23" ht="12.75">
      <c r="D23" s="26" t="s">
        <v>310</v>
      </c>
    </row>
    <row r="24" ht="12.75">
      <c r="D24" s="26" t="s">
        <v>311</v>
      </c>
    </row>
    <row r="25" ht="12.75">
      <c r="D25" s="26" t="s">
        <v>312</v>
      </c>
    </row>
    <row r="27" spans="2:4" ht="12.75">
      <c r="B27" s="2">
        <v>5</v>
      </c>
      <c r="C27" s="2" t="s">
        <v>313</v>
      </c>
      <c r="D27" s="2"/>
    </row>
    <row r="28" ht="12.75">
      <c r="D28" s="26" t="s">
        <v>311</v>
      </c>
    </row>
    <row r="29" ht="12.75">
      <c r="D29" s="26" t="s">
        <v>312</v>
      </c>
    </row>
    <row r="31" spans="2:10" ht="12.75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 ht="12.75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 ht="12.75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 ht="12.75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 ht="12.75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 ht="12.75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 ht="12.75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 ht="12.75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 ht="12.75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 ht="12.7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 ht="12.75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 ht="12.75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 ht="12.75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 ht="12.75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 ht="12.75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 ht="12.75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 ht="12.75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 ht="12.75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 ht="12.75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 ht="12.75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 ht="12.75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1" customWidth="1"/>
    <col min="17" max="17" width="14.00390625" style="0" customWidth="1"/>
    <col min="18" max="19" width="14.140625" style="73" customWidth="1"/>
    <col min="20" max="20" width="12.5742187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421875" style="73" customWidth="1"/>
    <col min="25" max="25" width="13.00390625" style="73" customWidth="1"/>
    <col min="26" max="26" width="12.421875" style="73" customWidth="1"/>
    <col min="27" max="27" width="13.140625" style="73" customWidth="1"/>
    <col min="28" max="28" width="14.421875" style="73" customWidth="1"/>
    <col min="29" max="29" width="14.28125" style="73" customWidth="1"/>
    <col min="30" max="30" width="13.421875" style="73" customWidth="1"/>
    <col min="31" max="31" width="13.28125" style="73" customWidth="1"/>
    <col min="32" max="32" width="3.28125" style="73" customWidth="1"/>
    <col min="33" max="33" width="13.140625" style="73" customWidth="1"/>
    <col min="34" max="34" width="14.421875" style="73" customWidth="1"/>
    <col min="35" max="35" width="14.28125" style="73" customWidth="1"/>
    <col min="36" max="36" width="13.421875" style="73" customWidth="1"/>
    <col min="37" max="37" width="13.28125" style="73" customWidth="1"/>
    <col min="38" max="38" width="13.8515625" style="73" customWidth="1"/>
    <col min="39" max="39" width="12.7109375" style="73" customWidth="1"/>
    <col min="40" max="41" width="13.8515625" style="73" customWidth="1"/>
    <col min="42" max="42" width="13.28125" style="73" customWidth="1"/>
    <col min="43" max="43" width="13.8515625" style="73" customWidth="1"/>
    <col min="44" max="44" width="12.7109375" style="73" customWidth="1"/>
    <col min="45" max="47" width="13.8515625" style="73" customWidth="1"/>
    <col min="48" max="48" width="4.8515625" style="73" customWidth="1"/>
    <col min="49" max="49" width="13.8515625" style="73" customWidth="1"/>
    <col min="50" max="50" width="12.7109375" style="73" customWidth="1"/>
    <col min="51" max="52" width="13.8515625" style="73" customWidth="1"/>
    <col min="53" max="53" width="10.421875" style="73" customWidth="1"/>
    <col min="54" max="54" width="13.8515625" style="73" customWidth="1"/>
    <col min="55" max="55" width="12.7109375" style="73" customWidth="1"/>
    <col min="56" max="56" width="13.8515625" style="73" customWidth="1"/>
    <col min="57" max="58" width="13.28125" style="73" customWidth="1"/>
    <col min="59" max="59" width="4.421875" style="73" customWidth="1"/>
    <col min="60" max="60" width="13.8515625" style="73" customWidth="1"/>
    <col min="61" max="61" width="12.7109375" style="73" customWidth="1"/>
    <col min="62" max="62" width="13.8515625" style="73" customWidth="1"/>
    <col min="63" max="63" width="13.140625" style="73" customWidth="1"/>
    <col min="64" max="65" width="13.57421875" style="73" customWidth="1"/>
    <col min="66" max="66" width="12.8515625" style="73" customWidth="1"/>
    <col min="67" max="67" width="13.7109375" style="73" customWidth="1"/>
    <col min="68" max="68" width="14.00390625" style="73" customWidth="1"/>
    <col min="69" max="69" width="13.140625" style="73" customWidth="1"/>
    <col min="70" max="70" width="11.7109375" style="73" customWidth="1"/>
    <col min="71" max="71" width="14.57421875" style="73" customWidth="1"/>
    <col min="72" max="72" width="9.140625" style="73" customWidth="1"/>
  </cols>
  <sheetData>
    <row r="1" spans="2:69" ht="12.75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2:69" ht="12.75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5" ht="12.75">
      <c r="A3" s="88" t="s">
        <v>39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0">
        <f>F4+S4+W4+AA4+AE4+AI4+AL4+AV4+AZ4+BG4+BK4</f>
        <v>42673587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14499370</v>
      </c>
      <c r="G4" s="10">
        <f>'WA Summary '!F15</f>
        <v>12127251</v>
      </c>
      <c r="H4" s="10">
        <f aca="true" t="shared" si="0" ref="H4:H12">F4-G4</f>
        <v>2372119</v>
      </c>
      <c r="I4" s="10"/>
      <c r="J4" s="10"/>
      <c r="K4" s="10"/>
      <c r="L4" s="10">
        <f>'WA Summary '!G6</f>
        <v>14842700</v>
      </c>
      <c r="M4" s="10">
        <f>'WA Summary '!G15</f>
        <v>11591985</v>
      </c>
      <c r="N4" s="10">
        <f aca="true" t="shared" si="1" ref="N4:N14">L4-M4</f>
        <v>3250715</v>
      </c>
      <c r="O4" s="10"/>
      <c r="P4" s="39"/>
      <c r="Q4" s="10">
        <f>'WA Summary '!H6</f>
        <v>14555065</v>
      </c>
      <c r="R4" s="10">
        <f>'WA Summary '!H15</f>
        <v>10660401</v>
      </c>
      <c r="S4" s="10">
        <f>Q4-R4</f>
        <v>3894664</v>
      </c>
      <c r="T4" s="74"/>
      <c r="U4" s="74"/>
      <c r="V4" s="10">
        <f>'WA Summary '!I6</f>
        <v>10126189</v>
      </c>
      <c r="W4" s="10">
        <f>'WA Summary '!I15</f>
        <v>10031882</v>
      </c>
      <c r="X4" s="10">
        <f aca="true" t="shared" si="2" ref="X4:X12">V4-W4</f>
        <v>94307</v>
      </c>
      <c r="Y4" s="74"/>
      <c r="Z4" s="74"/>
      <c r="AA4" s="10">
        <f>'WA Summary '!J6</f>
        <v>7370635</v>
      </c>
      <c r="AB4" s="10">
        <f>'WA Summary '!J15</f>
        <v>8675133</v>
      </c>
      <c r="AC4" s="10">
        <f aca="true" t="shared" si="3" ref="AC4:AC12">AA4-AB4</f>
        <v>-1304498</v>
      </c>
      <c r="AD4" s="74"/>
      <c r="AE4" s="74"/>
      <c r="AF4" s="74"/>
      <c r="AG4" s="10">
        <f>'WA Summary '!K6</f>
        <v>7518769</v>
      </c>
      <c r="AH4" s="10">
        <f>'WA Summary '!K15</f>
        <v>8326700</v>
      </c>
      <c r="AI4" s="10">
        <f aca="true" t="shared" si="4" ref="AI4:AI12">AG4-AH4</f>
        <v>-807931</v>
      </c>
      <c r="AJ4" s="74"/>
      <c r="AK4" s="74"/>
      <c r="AL4" s="10">
        <f>'WA Summary '!L6</f>
        <v>7684967</v>
      </c>
      <c r="AM4" s="10">
        <f>'WA Summary '!L15</f>
        <v>8166121</v>
      </c>
      <c r="AN4" s="10">
        <f aca="true" t="shared" si="5" ref="AN4:AN12">AL4-AM4</f>
        <v>-481154</v>
      </c>
      <c r="AO4" s="10"/>
      <c r="AP4" s="74"/>
      <c r="AQ4" s="10">
        <f>'WA Summary '!M6</f>
        <v>7537349</v>
      </c>
      <c r="AR4" s="10">
        <f>'WA Summary '!M15</f>
        <v>9056301</v>
      </c>
      <c r="AS4" s="10">
        <f aca="true" t="shared" si="6" ref="AS4:AS12">AQ4-AR4</f>
        <v>-1518952</v>
      </c>
      <c r="AT4" s="10"/>
      <c r="AV4" s="74"/>
      <c r="AW4" s="10">
        <f>'WA Summary '!N6</f>
        <v>8660896</v>
      </c>
      <c r="AX4" s="10">
        <f>'WA Summary '!N15</f>
        <v>7883689</v>
      </c>
      <c r="AY4" s="10">
        <f aca="true" t="shared" si="7" ref="AY4:AY12">AW4-AX4</f>
        <v>777207</v>
      </c>
      <c r="BB4" s="10">
        <f>'WA Summary '!O6</f>
        <v>11043092</v>
      </c>
      <c r="BC4" s="10">
        <f>'WA Summary '!O15</f>
        <v>8186793</v>
      </c>
      <c r="BD4" s="10">
        <f aca="true" t="shared" si="8" ref="BD4:BD12">BB4-BC4</f>
        <v>2856299</v>
      </c>
      <c r="BG4" s="74"/>
      <c r="BH4" s="10">
        <f>'WA Summary '!P6</f>
        <v>14579440</v>
      </c>
      <c r="BI4" s="10">
        <f>'WA Summary '!P15</f>
        <v>11995843</v>
      </c>
      <c r="BJ4" s="10">
        <f aca="true" t="shared" si="9" ref="BJ4:BJ12">BH4-BI4</f>
        <v>2583597</v>
      </c>
      <c r="BL4" s="74"/>
      <c r="BM4" s="74"/>
      <c r="BN4" s="10">
        <f>'WA Summary '!Q6</f>
        <v>14082068</v>
      </c>
      <c r="BO4" s="10">
        <f>'WA Summary '!Q15</f>
        <v>12493230</v>
      </c>
      <c r="BP4" s="10">
        <f aca="true" t="shared" si="10" ref="BP4:BP12">BN4-BO4</f>
        <v>1588838</v>
      </c>
    </row>
    <row r="5" spans="1:68" ht="12.75">
      <c r="A5" t="str">
        <f>'WA Summary '!B8</f>
        <v>501 Thermal Fuel</v>
      </c>
      <c r="B5" s="20">
        <f>F5+S5+W5+AA5+AE5+AI5+AL5+AV5+AZ5+BG5+BK5</f>
        <v>7423244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3107526</v>
      </c>
      <c r="G5" s="10">
        <f>'WA Summary '!F17</f>
        <v>2667343</v>
      </c>
      <c r="H5" s="10">
        <f t="shared" si="0"/>
        <v>440183</v>
      </c>
      <c r="I5" s="10"/>
      <c r="J5" s="10"/>
      <c r="K5" s="10"/>
      <c r="L5" s="10">
        <f>'WA Summary '!G8</f>
        <v>1445764</v>
      </c>
      <c r="M5" s="10">
        <f>'WA Summary '!G17</f>
        <v>2503517</v>
      </c>
      <c r="N5" s="10">
        <f t="shared" si="1"/>
        <v>-1057753</v>
      </c>
      <c r="O5" s="10"/>
      <c r="P5" s="39"/>
      <c r="Q5" s="10">
        <f>'WA Summary '!H8</f>
        <v>1659485</v>
      </c>
      <c r="R5" s="10">
        <f>'WA Summary '!H17</f>
        <v>2494287</v>
      </c>
      <c r="S5" s="10">
        <f aca="true" t="shared" si="11" ref="S5:S14">Q5-R5</f>
        <v>-834802</v>
      </c>
      <c r="T5" s="74"/>
      <c r="U5" s="74"/>
      <c r="V5" s="10">
        <f>'WA Summary '!I8</f>
        <v>1553596</v>
      </c>
      <c r="W5" s="10">
        <f>'WA Summary '!I17</f>
        <v>2179004</v>
      </c>
      <c r="X5" s="10">
        <f t="shared" si="2"/>
        <v>-625408</v>
      </c>
      <c r="Y5" s="74"/>
      <c r="Z5" s="74"/>
      <c r="AA5" s="10">
        <f>'WA Summary '!J8</f>
        <v>593079</v>
      </c>
      <c r="AB5" s="10">
        <f>'WA Summary '!J17</f>
        <v>1851578</v>
      </c>
      <c r="AC5" s="10">
        <f t="shared" si="3"/>
        <v>-1258499</v>
      </c>
      <c r="AD5" s="74"/>
      <c r="AE5" s="74"/>
      <c r="AF5" s="74"/>
      <c r="AG5" s="10">
        <f>'WA Summary '!K8</f>
        <v>932589</v>
      </c>
      <c r="AH5" s="10">
        <f>'WA Summary '!K17</f>
        <v>1612580</v>
      </c>
      <c r="AI5" s="10">
        <f t="shared" si="4"/>
        <v>-679991</v>
      </c>
      <c r="AJ5" s="74"/>
      <c r="AK5" s="74"/>
      <c r="AL5" s="10">
        <f>'WA Summary '!L8</f>
        <v>3058428</v>
      </c>
      <c r="AM5" s="10">
        <f>'WA Summary '!L17</f>
        <v>2427227</v>
      </c>
      <c r="AN5" s="10">
        <f t="shared" si="5"/>
        <v>631201</v>
      </c>
      <c r="AO5" s="10"/>
      <c r="AP5" s="74"/>
      <c r="AQ5" s="10">
        <f>'WA Summary '!M8</f>
        <v>3762991</v>
      </c>
      <c r="AR5" s="10">
        <f>'WA Summary '!M17</f>
        <v>2652598</v>
      </c>
      <c r="AS5" s="10">
        <f t="shared" si="6"/>
        <v>1110393</v>
      </c>
      <c r="AT5" s="10"/>
      <c r="AV5" s="74"/>
      <c r="AW5" s="10">
        <f>'WA Summary '!N8</f>
        <v>2530191</v>
      </c>
      <c r="AX5" s="10">
        <f>'WA Summary '!N17</f>
        <v>2644728</v>
      </c>
      <c r="AY5" s="10">
        <f t="shared" si="7"/>
        <v>-114537</v>
      </c>
      <c r="BB5" s="10">
        <f>'WA Summary '!O8</f>
        <v>2786672</v>
      </c>
      <c r="BC5" s="10">
        <f>'WA Summary '!O17</f>
        <v>2706850</v>
      </c>
      <c r="BD5" s="10">
        <f t="shared" si="8"/>
        <v>79822</v>
      </c>
      <c r="BG5" s="74"/>
      <c r="BH5" s="10">
        <f>'WA Summary '!P8</f>
        <v>2008377</v>
      </c>
      <c r="BI5" s="10">
        <f>'WA Summary '!P17</f>
        <v>2628470</v>
      </c>
      <c r="BJ5" s="10">
        <f t="shared" si="9"/>
        <v>-620093</v>
      </c>
      <c r="BL5" s="74"/>
      <c r="BM5" s="74"/>
      <c r="BN5" s="10">
        <f>'WA Summary '!Q8</f>
        <v>2850241</v>
      </c>
      <c r="BO5" s="10">
        <f>'WA Summary '!Q17</f>
        <v>2755227</v>
      </c>
      <c r="BP5" s="10">
        <f t="shared" si="10"/>
        <v>95014</v>
      </c>
    </row>
    <row r="6" spans="1:79" ht="12.75">
      <c r="A6" t="str">
        <f>'WA Summary '!B9</f>
        <v>547 CT Fuel</v>
      </c>
      <c r="B6" s="20">
        <f>F6+S6+W6+AA6+AE6+AI6+AL6+AV6+AZ6+BG6+BK6</f>
        <v>19868343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9055016</v>
      </c>
      <c r="G6" s="10">
        <f>'WA Summary '!F18</f>
        <v>8481668</v>
      </c>
      <c r="H6" s="10">
        <f t="shared" si="0"/>
        <v>573348</v>
      </c>
      <c r="I6" s="10"/>
      <c r="J6" s="10"/>
      <c r="K6" s="10"/>
      <c r="L6" s="10">
        <f>'WA Summary '!G9</f>
        <v>4339629</v>
      </c>
      <c r="M6" s="10">
        <f>'WA Summary '!G18</f>
        <v>7698692</v>
      </c>
      <c r="N6" s="10">
        <f t="shared" si="1"/>
        <v>-3359063</v>
      </c>
      <c r="O6" s="10"/>
      <c r="P6" s="39"/>
      <c r="Q6" s="10">
        <f>'WA Summary '!H9</f>
        <v>2734446</v>
      </c>
      <c r="R6" s="10">
        <f>'WA Summary '!H18</f>
        <v>7292619</v>
      </c>
      <c r="S6" s="10">
        <f t="shared" si="11"/>
        <v>-4558173</v>
      </c>
      <c r="T6" s="74"/>
      <c r="U6" s="74"/>
      <c r="V6" s="10">
        <f>'WA Summary '!I9</f>
        <v>2317057</v>
      </c>
      <c r="W6" s="10">
        <f>'WA Summary '!I18</f>
        <v>5265751</v>
      </c>
      <c r="X6" s="10">
        <f t="shared" si="2"/>
        <v>-2948694</v>
      </c>
      <c r="Y6" s="74"/>
      <c r="Z6" s="74"/>
      <c r="AA6" s="10">
        <f>'WA Summary '!J9</f>
        <v>2255561</v>
      </c>
      <c r="AB6" s="10">
        <f>'WA Summary '!J18</f>
        <v>2664694</v>
      </c>
      <c r="AC6" s="10">
        <f t="shared" si="3"/>
        <v>-409133</v>
      </c>
      <c r="AD6" s="74"/>
      <c r="AE6" s="74"/>
      <c r="AF6" s="74"/>
      <c r="AG6" s="10">
        <f>'WA Summary '!K9</f>
        <v>2313002</v>
      </c>
      <c r="AH6" s="10">
        <f>'WA Summary '!K18</f>
        <v>2712482</v>
      </c>
      <c r="AI6" s="10">
        <f t="shared" si="4"/>
        <v>-399480</v>
      </c>
      <c r="AJ6" s="74"/>
      <c r="AK6" s="74"/>
      <c r="AL6" s="10">
        <f>'WA Summary '!L9</f>
        <v>8249668</v>
      </c>
      <c r="AM6" s="10">
        <f>'WA Summary '!L18</f>
        <v>5239795</v>
      </c>
      <c r="AN6" s="10">
        <f t="shared" si="5"/>
        <v>3009873</v>
      </c>
      <c r="AO6" s="10"/>
      <c r="AP6" s="74"/>
      <c r="AQ6" s="10">
        <f>'WA Summary '!M9</f>
        <v>9519606</v>
      </c>
      <c r="AR6" s="10">
        <f>'WA Summary '!M18</f>
        <v>6788998</v>
      </c>
      <c r="AS6" s="10">
        <f t="shared" si="6"/>
        <v>2730608</v>
      </c>
      <c r="AT6" s="10"/>
      <c r="AV6" s="74"/>
      <c r="AW6" s="10">
        <f>'WA Summary '!N9</f>
        <v>7225158</v>
      </c>
      <c r="AX6" s="10">
        <f>'WA Summary '!N18</f>
        <v>6983768</v>
      </c>
      <c r="AY6" s="10">
        <f t="shared" si="7"/>
        <v>241390</v>
      </c>
      <c r="BB6" s="10">
        <f>'WA Summary '!O9</f>
        <v>6316558</v>
      </c>
      <c r="BC6" s="10">
        <f>'WA Summary '!O18</f>
        <v>7442560</v>
      </c>
      <c r="BD6" s="10">
        <f t="shared" si="8"/>
        <v>-1126002</v>
      </c>
      <c r="BG6" s="74"/>
      <c r="BH6" s="10">
        <f>'WA Summary '!P9</f>
        <v>7150335</v>
      </c>
      <c r="BI6" s="10">
        <f>'WA Summary '!P18</f>
        <v>7920542</v>
      </c>
      <c r="BJ6" s="10">
        <f t="shared" si="9"/>
        <v>-770207</v>
      </c>
      <c r="BL6" s="74"/>
      <c r="BM6" s="74"/>
      <c r="BN6" s="10">
        <f>'WA Summary '!Q9</f>
        <v>8050449</v>
      </c>
      <c r="BO6" s="10">
        <f>'WA Summary '!Q18</f>
        <v>8801867</v>
      </c>
      <c r="BP6" s="10">
        <f t="shared" si="10"/>
        <v>-751418</v>
      </c>
      <c r="BU6" s="80"/>
      <c r="BV6" s="79"/>
      <c r="BW6" s="3"/>
      <c r="BX6" s="3"/>
      <c r="BY6" s="3"/>
      <c r="BZ6" s="3"/>
      <c r="CA6" s="3"/>
    </row>
    <row r="7" spans="1:79" ht="12.75">
      <c r="A7" s="32" t="str">
        <f>'WA Summary '!B7</f>
        <v>447 Sale for Resale</v>
      </c>
      <c r="B7" s="20">
        <f>F7+S7+W7+AA7+AE7+AI7+AL7+AV7+AZ7+BG7+BK7</f>
        <v>-28093915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-8245341</v>
      </c>
      <c r="G7" s="10">
        <f>'WA Summary '!F16</f>
        <v>-7154528</v>
      </c>
      <c r="H7" s="17">
        <f t="shared" si="0"/>
        <v>-1090813</v>
      </c>
      <c r="I7" s="10"/>
      <c r="J7" s="10"/>
      <c r="K7" s="10"/>
      <c r="L7" s="10">
        <f>'WA Summary '!G7</f>
        <v>-8280684</v>
      </c>
      <c r="M7" s="10">
        <f>'WA Summary '!G16</f>
        <v>-6331583</v>
      </c>
      <c r="N7" s="10">
        <f t="shared" si="1"/>
        <v>-1949101</v>
      </c>
      <c r="O7" s="10"/>
      <c r="P7" s="39"/>
      <c r="Q7" s="10">
        <f>'WA Summary '!H7</f>
        <v>-8096218</v>
      </c>
      <c r="R7" s="10">
        <f>'WA Summary '!H16</f>
        <v>-7373144</v>
      </c>
      <c r="S7" s="10">
        <f t="shared" si="11"/>
        <v>-723074</v>
      </c>
      <c r="T7" s="74"/>
      <c r="U7" s="74"/>
      <c r="V7" s="10">
        <f>'WA Summary '!I7</f>
        <v>-7288298</v>
      </c>
      <c r="W7" s="10">
        <f>'WA Summary '!I16</f>
        <v>-9451450</v>
      </c>
      <c r="X7" s="10">
        <f t="shared" si="2"/>
        <v>2163152</v>
      </c>
      <c r="Y7" s="74"/>
      <c r="Z7" s="74"/>
      <c r="AA7" s="10">
        <f>'WA Summary '!J7</f>
        <v>-5808662</v>
      </c>
      <c r="AB7" s="10">
        <f>'WA Summary '!J16</f>
        <v>-8788449</v>
      </c>
      <c r="AC7" s="10">
        <f t="shared" si="3"/>
        <v>2979787</v>
      </c>
      <c r="AD7" s="74"/>
      <c r="AE7" s="74"/>
      <c r="AF7" s="74"/>
      <c r="AG7" s="10">
        <f>'WA Summary '!K7</f>
        <v>-5422409</v>
      </c>
      <c r="AH7" s="10">
        <f>'WA Summary '!K16</f>
        <v>-8347826</v>
      </c>
      <c r="AI7" s="10">
        <f t="shared" si="4"/>
        <v>2925417</v>
      </c>
      <c r="AJ7" s="74"/>
      <c r="AK7" s="74"/>
      <c r="AL7" s="10">
        <f>'WA Summary '!L7</f>
        <v>-6790805</v>
      </c>
      <c r="AM7" s="10">
        <f>'WA Summary '!L16</f>
        <v>-7766255</v>
      </c>
      <c r="AN7" s="10">
        <f t="shared" si="5"/>
        <v>975450</v>
      </c>
      <c r="AO7" s="10"/>
      <c r="AP7" s="74"/>
      <c r="AQ7" s="10">
        <f>'WA Summary '!M7</f>
        <v>-3837337</v>
      </c>
      <c r="AR7" s="10">
        <f>'WA Summary '!M16</f>
        <v>-5454044</v>
      </c>
      <c r="AS7" s="10">
        <f t="shared" si="6"/>
        <v>1616707</v>
      </c>
      <c r="AT7" s="10"/>
      <c r="AV7" s="74"/>
      <c r="AW7" s="10">
        <f>'WA Summary '!N7</f>
        <v>-6861199</v>
      </c>
      <c r="AX7" s="10">
        <f>'WA Summary '!N16</f>
        <v>-6343594</v>
      </c>
      <c r="AY7" s="10">
        <f t="shared" si="7"/>
        <v>-517605</v>
      </c>
      <c r="BB7" s="10">
        <f>'WA Summary '!O7</f>
        <v>-6614796</v>
      </c>
      <c r="BC7" s="10">
        <f>'WA Summary '!O16</f>
        <v>-6461587</v>
      </c>
      <c r="BD7" s="10">
        <f t="shared" si="8"/>
        <v>-153209</v>
      </c>
      <c r="BG7" s="74"/>
      <c r="BH7" s="10">
        <f>'WA Summary '!P7</f>
        <v>-8918722</v>
      </c>
      <c r="BI7" s="10">
        <f>'WA Summary '!P16</f>
        <v>-7582420</v>
      </c>
      <c r="BJ7" s="10">
        <f t="shared" si="9"/>
        <v>-1336302</v>
      </c>
      <c r="BL7" s="74"/>
      <c r="BM7" s="74"/>
      <c r="BN7" s="10">
        <f>'WA Summary '!Q7</f>
        <v>-12614541</v>
      </c>
      <c r="BO7" s="10">
        <f>'WA Summary '!Q16</f>
        <v>-7533482</v>
      </c>
      <c r="BP7" s="10">
        <f t="shared" si="10"/>
        <v>-5081059</v>
      </c>
      <c r="BU7" s="80"/>
      <c r="BV7" s="79"/>
      <c r="BW7" s="3"/>
      <c r="BX7" s="3"/>
      <c r="BY7" s="3"/>
      <c r="BZ7" s="3"/>
      <c r="CA7" s="3"/>
    </row>
    <row r="8" spans="1:79" ht="12.75">
      <c r="A8" s="32" t="s">
        <v>106</v>
      </c>
      <c r="B8" s="20"/>
      <c r="C8" s="20"/>
      <c r="D8" s="10"/>
      <c r="E8" s="10"/>
      <c r="F8" s="10">
        <f>'WA Summary '!F11</f>
        <v>1463312</v>
      </c>
      <c r="G8" s="10">
        <f>'WA Summary '!F20</f>
        <v>1503379</v>
      </c>
      <c r="H8" s="115">
        <f t="shared" si="0"/>
        <v>-40067</v>
      </c>
      <c r="I8" s="10"/>
      <c r="J8" s="10"/>
      <c r="K8" s="10"/>
      <c r="L8" s="10">
        <f>'WA Summary '!G11</f>
        <v>1494869</v>
      </c>
      <c r="M8" s="10">
        <f>'WA Summary '!G20</f>
        <v>1417562</v>
      </c>
      <c r="N8" s="10">
        <f t="shared" si="1"/>
        <v>77307</v>
      </c>
      <c r="O8" s="10"/>
      <c r="P8" s="39"/>
      <c r="Q8" s="10">
        <f>'WA Summary '!H11</f>
        <v>1439098</v>
      </c>
      <c r="R8" s="10">
        <f>'WA Summary '!H20</f>
        <v>1557827</v>
      </c>
      <c r="S8" s="10">
        <f t="shared" si="11"/>
        <v>-118729</v>
      </c>
      <c r="T8" s="74"/>
      <c r="U8" s="74"/>
      <c r="V8" s="10">
        <f>'WA Summary '!I11</f>
        <v>1417627</v>
      </c>
      <c r="W8" s="10">
        <f>'WA Summary '!I20</f>
        <v>1347286</v>
      </c>
      <c r="X8" s="10">
        <f t="shared" si="2"/>
        <v>70341</v>
      </c>
      <c r="Y8" s="74"/>
      <c r="Z8" s="74"/>
      <c r="AA8" s="10">
        <f>'WA Summary '!J11</f>
        <v>1487109</v>
      </c>
      <c r="AB8" s="10">
        <f>'WA Summary '!J20</f>
        <v>1410951</v>
      </c>
      <c r="AC8" s="10">
        <f t="shared" si="3"/>
        <v>76158</v>
      </c>
      <c r="AD8" s="74"/>
      <c r="AE8" s="74"/>
      <c r="AF8" s="74"/>
      <c r="AG8" s="10">
        <f>'WA Summary '!K11</f>
        <v>1422611</v>
      </c>
      <c r="AH8" s="10">
        <f>'WA Summary '!K20</f>
        <v>1401574</v>
      </c>
      <c r="AI8" s="10">
        <f t="shared" si="4"/>
        <v>21037</v>
      </c>
      <c r="AJ8" s="74"/>
      <c r="AK8" s="74"/>
      <c r="AL8" s="10">
        <f>'WA Summary '!L11</f>
        <v>1434301</v>
      </c>
      <c r="AM8" s="10">
        <f>'WA Summary '!L20</f>
        <v>1411206</v>
      </c>
      <c r="AN8" s="10">
        <f t="shared" si="5"/>
        <v>23095</v>
      </c>
      <c r="AO8" s="10"/>
      <c r="AP8" s="74"/>
      <c r="AQ8" s="11">
        <f>'WA Summary '!M11</f>
        <v>1491858</v>
      </c>
      <c r="AR8" s="10">
        <f>'WA Summary '!M20</f>
        <v>1443939</v>
      </c>
      <c r="AS8" s="10">
        <f t="shared" si="6"/>
        <v>47919</v>
      </c>
      <c r="AT8" s="10"/>
      <c r="AV8" s="74"/>
      <c r="AW8" s="10">
        <f>'WA Summary '!N11</f>
        <v>1478942</v>
      </c>
      <c r="AX8" s="10">
        <f>'WA Summary '!N20</f>
        <v>1441121</v>
      </c>
      <c r="AY8" s="10">
        <f t="shared" si="7"/>
        <v>37821</v>
      </c>
      <c r="BB8" s="10">
        <f>'WA Summary '!O11</f>
        <v>1454078</v>
      </c>
      <c r="BC8" s="10">
        <f>'WA Summary '!O20</f>
        <v>1400226</v>
      </c>
      <c r="BD8" s="10">
        <f t="shared" si="8"/>
        <v>53852</v>
      </c>
      <c r="BG8" s="74"/>
      <c r="BH8" s="10">
        <f>'WA Summary '!P11</f>
        <v>1475183</v>
      </c>
      <c r="BI8" s="10">
        <f>'WA Summary '!P20</f>
        <v>1464406</v>
      </c>
      <c r="BJ8" s="10">
        <f t="shared" si="9"/>
        <v>10777</v>
      </c>
      <c r="BL8" s="74"/>
      <c r="BM8" s="74"/>
      <c r="BN8" s="10">
        <f>'WA Summary '!Q11</f>
        <v>1510683</v>
      </c>
      <c r="BO8" s="10">
        <f>'WA Summary '!Q20</f>
        <v>1437755</v>
      </c>
      <c r="BP8" s="10">
        <f t="shared" si="10"/>
        <v>72928</v>
      </c>
      <c r="BU8" s="80"/>
      <c r="BV8" s="79"/>
      <c r="BW8" s="3"/>
      <c r="BX8" s="3"/>
      <c r="BY8" s="3"/>
      <c r="BZ8" s="3"/>
      <c r="CA8" s="3"/>
    </row>
    <row r="9" spans="1:79" ht="12.75">
      <c r="A9" s="32" t="s">
        <v>139</v>
      </c>
      <c r="B9" s="20"/>
      <c r="C9" s="20"/>
      <c r="D9" s="10"/>
      <c r="E9" s="10"/>
      <c r="F9" s="10">
        <f>'WA Summary '!F10</f>
        <v>-1601614</v>
      </c>
      <c r="G9" s="10">
        <f>'WA Summary '!F19</f>
        <v>-1306342</v>
      </c>
      <c r="H9" s="115">
        <f t="shared" si="0"/>
        <v>-295272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-1536835</v>
      </c>
      <c r="M9" s="10">
        <f>'WA Summary '!G19</f>
        <v>-1061936</v>
      </c>
      <c r="N9" s="10">
        <f t="shared" si="1"/>
        <v>-474899</v>
      </c>
      <c r="O9" s="10"/>
      <c r="P9" s="39"/>
      <c r="Q9" s="10">
        <f>'WA Summary '!H10</f>
        <v>-1582047</v>
      </c>
      <c r="R9" s="10">
        <f>'WA Summary '!H19</f>
        <v>-1137644</v>
      </c>
      <c r="S9" s="10">
        <f t="shared" si="11"/>
        <v>-444403</v>
      </c>
      <c r="T9" s="74"/>
      <c r="U9" s="74"/>
      <c r="V9" s="10">
        <f>'WA Summary '!I10</f>
        <v>-1818694</v>
      </c>
      <c r="W9" s="10">
        <f>'WA Summary '!I19</f>
        <v>-1166933</v>
      </c>
      <c r="X9" s="10">
        <f t="shared" si="2"/>
        <v>-651761</v>
      </c>
      <c r="Y9" s="74"/>
      <c r="Z9" s="74"/>
      <c r="AA9" s="10">
        <f>'WA Summary '!J10</f>
        <v>-2240043</v>
      </c>
      <c r="AB9" s="10">
        <f>'WA Summary '!J19</f>
        <v>-1506921</v>
      </c>
      <c r="AC9" s="10">
        <f t="shared" si="3"/>
        <v>-733122</v>
      </c>
      <c r="AD9" s="74"/>
      <c r="AE9" s="74"/>
      <c r="AF9" s="74"/>
      <c r="AG9" s="10">
        <f>'WA Summary '!K10</f>
        <v>-2290921</v>
      </c>
      <c r="AH9" s="10">
        <f>'WA Summary '!K19</f>
        <v>-1586833</v>
      </c>
      <c r="AI9" s="10">
        <f t="shared" si="4"/>
        <v>-704088</v>
      </c>
      <c r="AJ9" s="74"/>
      <c r="AK9" s="74"/>
      <c r="AL9" s="10">
        <f>'WA Summary '!L10</f>
        <v>-1821024</v>
      </c>
      <c r="AM9" s="10">
        <f>'WA Summary '!L19</f>
        <v>-1599620</v>
      </c>
      <c r="AN9" s="10">
        <f t="shared" si="5"/>
        <v>-221404</v>
      </c>
      <c r="AO9" s="10"/>
      <c r="AP9" s="74"/>
      <c r="AQ9" s="11">
        <f>'WA Summary '!M10</f>
        <v>-1835393</v>
      </c>
      <c r="AR9" s="10">
        <f>'WA Summary '!M19</f>
        <v>-1447883</v>
      </c>
      <c r="AS9" s="10">
        <f t="shared" si="6"/>
        <v>-387510</v>
      </c>
      <c r="AT9" s="10"/>
      <c r="AV9" s="74"/>
      <c r="AW9" s="10">
        <f>'WA Summary '!N10</f>
        <v>-1530445</v>
      </c>
      <c r="AX9" s="10">
        <f>'WA Summary '!N19</f>
        <v>-1304804</v>
      </c>
      <c r="AY9" s="10">
        <f t="shared" si="7"/>
        <v>-225641</v>
      </c>
      <c r="BB9" s="10">
        <f>'WA Summary '!O10</f>
        <v>-1417619</v>
      </c>
      <c r="BC9" s="10">
        <f>'WA Summary '!O19</f>
        <v>-1285929</v>
      </c>
      <c r="BD9" s="10">
        <f t="shared" si="8"/>
        <v>-131690</v>
      </c>
      <c r="BG9" s="74"/>
      <c r="BH9" s="10">
        <f>'WA Summary '!P10</f>
        <v>-1330901</v>
      </c>
      <c r="BI9" s="10">
        <f>'WA Summary '!P19</f>
        <v>-1197858</v>
      </c>
      <c r="BJ9" s="10">
        <f t="shared" si="9"/>
        <v>-133043</v>
      </c>
      <c r="BL9" s="74"/>
      <c r="BM9" s="74"/>
      <c r="BN9" s="10">
        <f>'WA Summary '!Q10</f>
        <v>-1594076</v>
      </c>
      <c r="BO9" s="10">
        <f>'WA Summary '!Q19</f>
        <v>-1199571</v>
      </c>
      <c r="BP9" s="10">
        <f t="shared" si="10"/>
        <v>-394505</v>
      </c>
      <c r="BU9" s="80"/>
      <c r="BV9" s="79"/>
      <c r="BW9" s="3"/>
      <c r="BX9" s="3"/>
      <c r="BY9" s="3"/>
      <c r="BZ9" s="3"/>
      <c r="CA9" s="3"/>
    </row>
    <row r="10" spans="1:79" ht="12.75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-421402</v>
      </c>
      <c r="G10" s="10">
        <v>0</v>
      </c>
      <c r="H10" s="115">
        <f t="shared" si="0"/>
        <v>-421402</v>
      </c>
      <c r="I10" s="10"/>
      <c r="J10" s="10"/>
      <c r="K10" s="10"/>
      <c r="L10" s="10">
        <f>'WA Summary '!G25</f>
        <v>-135869</v>
      </c>
      <c r="M10" s="10"/>
      <c r="N10" s="10">
        <f t="shared" si="1"/>
        <v>-135869</v>
      </c>
      <c r="O10" s="10"/>
      <c r="P10" s="39"/>
      <c r="Q10" s="11">
        <f>'WA Summary '!H25</f>
        <v>-720656</v>
      </c>
      <c r="R10" s="10"/>
      <c r="S10" s="10">
        <f t="shared" si="11"/>
        <v>-720656</v>
      </c>
      <c r="T10" s="74"/>
      <c r="U10" s="74"/>
      <c r="V10" s="10">
        <f>'WA Summary '!I25</f>
        <v>-674229</v>
      </c>
      <c r="W10" s="10">
        <v>0</v>
      </c>
      <c r="X10" s="10">
        <f t="shared" si="2"/>
        <v>-674229</v>
      </c>
      <c r="Y10" s="74"/>
      <c r="Z10" s="74"/>
      <c r="AA10" s="10">
        <f>'WA Summary '!J25</f>
        <v>-962887</v>
      </c>
      <c r="AB10" s="10"/>
      <c r="AC10" s="10"/>
      <c r="AD10" s="74"/>
      <c r="AE10" s="74"/>
      <c r="AF10" s="74"/>
      <c r="AG10" s="10">
        <f>'WA Summary '!K25</f>
        <v>-682514</v>
      </c>
      <c r="AH10" s="10"/>
      <c r="AI10" s="10"/>
      <c r="AJ10" s="74"/>
      <c r="AK10" s="74"/>
      <c r="AL10" s="11">
        <f>'WA Summary '!L25</f>
        <v>-660516</v>
      </c>
      <c r="AM10" s="10"/>
      <c r="AN10" s="10">
        <f t="shared" si="5"/>
        <v>-660516</v>
      </c>
      <c r="AO10" s="10">
        <f>AN10*0.6583</f>
        <v>-434818</v>
      </c>
      <c r="AP10" s="74"/>
      <c r="AQ10" s="11">
        <f>'WA Summary '!M25</f>
        <v>-371017</v>
      </c>
      <c r="AR10" s="10"/>
      <c r="AS10" s="10">
        <f t="shared" si="6"/>
        <v>-371017</v>
      </c>
      <c r="AT10" s="10"/>
      <c r="AV10" s="74"/>
      <c r="AW10" s="10">
        <f>'WA Summary '!N25</f>
        <v>-69406</v>
      </c>
      <c r="AX10" s="10"/>
      <c r="AY10" s="10">
        <f t="shared" si="7"/>
        <v>-69406</v>
      </c>
      <c r="BB10" s="10">
        <f>'WA Summary '!O25</f>
        <v>-705794</v>
      </c>
      <c r="BC10" s="10"/>
      <c r="BD10" s="10">
        <f t="shared" si="8"/>
        <v>-705794</v>
      </c>
      <c r="BG10" s="74"/>
      <c r="BH10" s="10">
        <f>'WA Summary '!P25</f>
        <v>-302381</v>
      </c>
      <c r="BI10" s="10"/>
      <c r="BJ10" s="10">
        <f t="shared" si="9"/>
        <v>-302381</v>
      </c>
      <c r="BL10" s="74"/>
      <c r="BM10" s="74"/>
      <c r="BN10" s="10">
        <f>'WA Summary '!Q25</f>
        <v>-352517</v>
      </c>
      <c r="BO10" s="10"/>
      <c r="BP10" s="10">
        <f t="shared" si="10"/>
        <v>-352517</v>
      </c>
      <c r="BU10" s="80"/>
      <c r="BV10" s="79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58">
        <f>F11+S11+W11+AA11+AE11+AI11+AL11+AZ11</f>
        <v>311128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46719</v>
      </c>
      <c r="G11" s="11">
        <f>'WA Summary '!F21</f>
        <v>57500</v>
      </c>
      <c r="H11" s="115">
        <f t="shared" si="0"/>
        <v>-10781</v>
      </c>
      <c r="I11" s="11"/>
      <c r="J11" s="11"/>
      <c r="K11" s="11"/>
      <c r="L11" s="11">
        <f>'WA Summary '!G12</f>
        <v>19336</v>
      </c>
      <c r="M11" s="11">
        <f>'WA Summary '!G21</f>
        <v>57500</v>
      </c>
      <c r="N11" s="10">
        <f t="shared" si="1"/>
        <v>-38164</v>
      </c>
      <c r="O11" s="11"/>
      <c r="P11" s="74"/>
      <c r="Q11" s="10">
        <f>'WA Summary '!H12</f>
        <v>108115</v>
      </c>
      <c r="R11" s="11">
        <f>'WA Summary '!H21</f>
        <v>57500</v>
      </c>
      <c r="S11" s="10">
        <f t="shared" si="11"/>
        <v>50615</v>
      </c>
      <c r="T11" s="74"/>
      <c r="U11" s="74"/>
      <c r="V11" s="11">
        <f>'WA Summary '!I12</f>
        <v>45185</v>
      </c>
      <c r="W11" s="11">
        <f>'WA Summary '!I21</f>
        <v>57500</v>
      </c>
      <c r="X11" s="10">
        <f t="shared" si="2"/>
        <v>-12315</v>
      </c>
      <c r="Y11" s="74"/>
      <c r="Z11" s="74"/>
      <c r="AA11" s="11">
        <f>'WA Summary '!J12</f>
        <v>113333</v>
      </c>
      <c r="AB11" s="11">
        <f>'WA Summary '!J21</f>
        <v>57500</v>
      </c>
      <c r="AC11" s="10">
        <f t="shared" si="3"/>
        <v>55833</v>
      </c>
      <c r="AD11" s="74"/>
      <c r="AE11" s="74"/>
      <c r="AF11" s="74"/>
      <c r="AG11" s="11">
        <f>'WA Summary '!K12</f>
        <v>53560</v>
      </c>
      <c r="AH11" s="11">
        <f>'WA Summary '!K21</f>
        <v>57500</v>
      </c>
      <c r="AI11" s="10">
        <f t="shared" si="4"/>
        <v>-3940</v>
      </c>
      <c r="AJ11" s="74"/>
      <c r="AK11" s="74"/>
      <c r="AL11" s="11">
        <f>'WA Summary '!L12</f>
        <v>46901</v>
      </c>
      <c r="AM11" s="11">
        <f>'WA Summary '!L21</f>
        <v>57500</v>
      </c>
      <c r="AN11" s="10">
        <f t="shared" si="5"/>
        <v>-10599</v>
      </c>
      <c r="AO11" s="10"/>
      <c r="AP11" s="74"/>
      <c r="AQ11" s="11">
        <f>'WA Summary '!M12</f>
        <v>64239</v>
      </c>
      <c r="AR11" s="11">
        <f>'WA Summary '!M21</f>
        <v>57500</v>
      </c>
      <c r="AS11" s="10">
        <f>AQ10-AR11</f>
        <v>-428517</v>
      </c>
      <c r="AT11" s="10"/>
      <c r="AV11" s="74"/>
      <c r="AW11" s="11">
        <f>'WA Summary '!N12</f>
        <v>62515</v>
      </c>
      <c r="AX11" s="11">
        <f>'WA Summary '!N21</f>
        <v>57500</v>
      </c>
      <c r="AY11" s="10">
        <f t="shared" si="7"/>
        <v>5015</v>
      </c>
      <c r="BB11" s="11">
        <f>'WA Summary '!O12</f>
        <v>51367</v>
      </c>
      <c r="BC11" s="11">
        <f>'WA Summary '!O21</f>
        <v>57500</v>
      </c>
      <c r="BD11" s="10">
        <f t="shared" si="8"/>
        <v>-6133</v>
      </c>
      <c r="BG11" s="74"/>
      <c r="BH11" s="11">
        <f>'WA Summary '!P12</f>
        <v>55488</v>
      </c>
      <c r="BI11" s="11">
        <f>'WA Summary '!P21</f>
        <v>57500</v>
      </c>
      <c r="BJ11" s="10">
        <f t="shared" si="9"/>
        <v>-2012</v>
      </c>
      <c r="BL11" s="74"/>
      <c r="BM11" s="74"/>
      <c r="BN11" s="11">
        <f>'WA Summary '!Q12</f>
        <v>61590</v>
      </c>
      <c r="BO11" s="11">
        <f>'WA Summary '!Q21</f>
        <v>57500</v>
      </c>
      <c r="BP11" s="10">
        <f t="shared" si="10"/>
        <v>4090</v>
      </c>
      <c r="BU11" s="80"/>
      <c r="BV11" s="79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2:79" ht="12.75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10097288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5678433</v>
      </c>
      <c r="W13" s="74" t="e">
        <f>SUM(W4:W12)</f>
        <v>#REF!</v>
      </c>
      <c r="X13" s="74"/>
      <c r="Y13" s="74"/>
      <c r="Z13" s="74"/>
      <c r="AA13" s="74">
        <f>SUM(AA4:AA12)</f>
        <v>2808125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3844687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 ht="12.75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6:79" ht="12.75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6:79" ht="12.75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 ht="12.75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 ht="12.75">
      <c r="A19" t="s">
        <v>40</v>
      </c>
      <c r="B19" s="20">
        <f>F19+S19+W19+AA19+AE19+AI19+AL19+AV19+AZ19+BG19+BK20</f>
        <v>1502137</v>
      </c>
      <c r="D19" s="10">
        <f>B19-C19</f>
        <v>1502137</v>
      </c>
      <c r="E19" s="10"/>
      <c r="F19" s="10">
        <f>'WA Summary '!F30</f>
        <v>-899103</v>
      </c>
      <c r="G19" s="10"/>
      <c r="H19" s="11">
        <f>F19-G19</f>
        <v>-899103</v>
      </c>
      <c r="I19" s="10"/>
      <c r="J19" s="10"/>
      <c r="K19" s="10"/>
      <c r="L19" s="10">
        <f>'WA Summary '!G30</f>
        <v>-134989</v>
      </c>
      <c r="M19" s="10"/>
      <c r="N19" s="11">
        <f>L19-M19</f>
        <v>-134989</v>
      </c>
      <c r="O19" s="10"/>
      <c r="P19" s="39"/>
      <c r="Q19" s="10">
        <f>'WA Summary '!H30</f>
        <v>66915</v>
      </c>
      <c r="R19" s="10"/>
      <c r="S19" s="11">
        <f>Q19-R19</f>
        <v>66915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-16866</v>
      </c>
      <c r="AH19" s="74"/>
      <c r="AI19" s="11">
        <f>AG19-AH19</f>
        <v>-16866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-758570</v>
      </c>
      <c r="AR19" s="74"/>
      <c r="AS19" s="11">
        <f>AQ19-AR19</f>
        <v>-758570</v>
      </c>
      <c r="AT19" s="11"/>
      <c r="AV19" s="74"/>
      <c r="AW19" s="74">
        <f>'WA Summary '!N30</f>
        <v>-202249</v>
      </c>
      <c r="AX19" s="74"/>
      <c r="AY19" s="11">
        <f>AW19-AX19</f>
        <v>-202249</v>
      </c>
      <c r="BB19" s="74">
        <f>'WA Summary '!O30</f>
        <v>292748</v>
      </c>
      <c r="BC19" s="74"/>
      <c r="BD19" s="11">
        <f>BB19-BC19</f>
        <v>292748</v>
      </c>
      <c r="BG19" s="74"/>
      <c r="BH19" s="74">
        <f>'WA Summary '!P30</f>
        <v>-175063</v>
      </c>
      <c r="BI19" s="74"/>
      <c r="BJ19" s="11">
        <f>BH19-BI19</f>
        <v>-175063</v>
      </c>
      <c r="BL19" s="94"/>
      <c r="BM19" s="94"/>
      <c r="BN19" s="74">
        <f>'WA Summary '!Q30</f>
        <v>-186260</v>
      </c>
      <c r="BO19" s="74"/>
      <c r="BP19" s="11">
        <f>BN19-BO19</f>
        <v>-186260</v>
      </c>
      <c r="BU19" s="80"/>
      <c r="BV19" s="79"/>
      <c r="BW19" s="3"/>
      <c r="BX19" s="3"/>
      <c r="BY19" s="3"/>
      <c r="BZ19" s="3"/>
      <c r="CA19" s="3"/>
    </row>
    <row r="20" spans="1:79" ht="12.75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-658496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6:77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6:77" ht="12.75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0" ht="12.75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0" ht="12.75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69" ht="12.75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69" ht="12.75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69" ht="12.75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69" ht="12.75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0" ht="12.75">
      <c r="A29" s="71" t="s">
        <v>42</v>
      </c>
      <c r="B29" s="22" t="e">
        <f>F29+Q29+U29+Y29+AC29+AG29+#REF!+AN29+AS29+AX29+BD29+BI29</f>
        <v>#REF!</v>
      </c>
      <c r="C29" s="22">
        <f aca="true" t="shared" si="12" ref="C29:C44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aca="true" t="shared" si="13" ref="I29:I44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0" ht="12.75">
      <c r="A30" t="s">
        <v>30</v>
      </c>
      <c r="B30" s="22">
        <f aca="true" t="shared" si="14" ref="B30:B4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aca="true" t="shared" si="15" ref="H30:H44">F30-G30</f>
        <v>9016</v>
      </c>
      <c r="I30" s="12">
        <f t="shared" si="13"/>
        <v>5935</v>
      </c>
      <c r="J30" s="10">
        <f aca="true" t="shared" si="16" ref="J30:J44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aca="true" t="shared" si="17" ref="O30:O44">-N30*0.6583</f>
        <v>-4618</v>
      </c>
      <c r="P30" s="72">
        <f aca="true" t="shared" si="18" ref="P30:P44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aca="true" t="shared" si="19" ref="U30:U44">T30*$Q$47</f>
        <v>-555258</v>
      </c>
      <c r="V30" s="87">
        <v>150929</v>
      </c>
      <c r="W30" s="97">
        <v>124649</v>
      </c>
      <c r="X30" s="15">
        <f aca="true" t="shared" si="20" ref="X30:X44">V30-W30</f>
        <v>26280</v>
      </c>
      <c r="Y30" s="129">
        <f aca="true" t="shared" si="21" ref="Y30:Y44">-X30*0.6583</f>
        <v>-17300</v>
      </c>
      <c r="Z30" s="131">
        <f aca="true" t="shared" si="22" ref="Z30:Z44">Y30*$V$47</f>
        <v>-1529493</v>
      </c>
      <c r="AA30" s="87">
        <v>137537</v>
      </c>
      <c r="AB30" s="87">
        <v>102558</v>
      </c>
      <c r="AC30" s="15">
        <f aca="true" t="shared" si="23" ref="AC30:AC44">AA30-AB30</f>
        <v>34979</v>
      </c>
      <c r="AD30" s="129">
        <f aca="true" t="shared" si="24" ref="AD30:AD4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aca="true" t="shared" si="25" ref="AI30:AI44">AG30-AH30</f>
        <v>-48878</v>
      </c>
      <c r="AJ30" s="129">
        <f aca="true" t="shared" si="26" ref="AJ30:AJ44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aca="true" t="shared" si="27" ref="AN30:AN44">AL30-AM30</f>
        <v>-14275</v>
      </c>
      <c r="AO30" s="129">
        <f aca="true" t="shared" si="28" ref="AO30:AO44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aca="true" t="shared" si="29" ref="AS30:AS44">AQ30-AR30</f>
        <v>-2542</v>
      </c>
      <c r="AT30" s="129">
        <f aca="true" t="shared" si="30" ref="AT30:AT44">-AS30*0.6583</f>
        <v>1673</v>
      </c>
      <c r="AU30" s="87">
        <f aca="true" t="shared" si="31" ref="AU30:AU44">AT30*$AQ$47</f>
        <v>106637</v>
      </c>
      <c r="AV30" s="87"/>
      <c r="AW30" s="87">
        <v>134230</v>
      </c>
      <c r="AX30" s="87">
        <v>151403</v>
      </c>
      <c r="AY30" s="113">
        <f aca="true" t="shared" si="32" ref="AY30:AY44">AW30-AX30</f>
        <v>-17173</v>
      </c>
      <c r="AZ30" s="129">
        <f aca="true" t="shared" si="33" ref="AZ30:AZ44">-AY30*0.6583</f>
        <v>11305</v>
      </c>
      <c r="BA30" s="87">
        <f aca="true" t="shared" si="34" ref="BA30:BA44">AZ30*$AW$47</f>
        <v>575538</v>
      </c>
      <c r="BB30" s="87">
        <v>163230</v>
      </c>
      <c r="BC30" s="87">
        <v>155183</v>
      </c>
      <c r="BD30" s="113">
        <f aca="true" t="shared" si="35" ref="BD30:BD44">BB30-BC30</f>
        <v>8047</v>
      </c>
      <c r="BE30" s="87">
        <f aca="true" t="shared" si="36" ref="BE30:BE44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aca="true" t="shared" si="37" ref="BJ30:BJ44">BH30-BI30</f>
        <v>8234</v>
      </c>
      <c r="BK30" s="87">
        <f aca="true" t="shared" si="38" ref="BK30:BK44">BJ30*0.6583</f>
        <v>5420</v>
      </c>
      <c r="BL30" s="81">
        <f aca="true" t="shared" si="39" ref="BL30:BL44">-BK30*$BH$48</f>
        <v>-251488</v>
      </c>
      <c r="BM30" s="81"/>
      <c r="BN30" s="87">
        <v>163880</v>
      </c>
      <c r="BO30" s="87">
        <v>153931</v>
      </c>
      <c r="BP30" s="113">
        <f aca="true" t="shared" si="40" ref="BP30:BP44">BN30-BO30</f>
        <v>9949</v>
      </c>
      <c r="BQ30" s="87">
        <f aca="true" t="shared" si="41" ref="BQ30:BQ44">BP30*0.6583</f>
        <v>6549</v>
      </c>
      <c r="BR30" s="74">
        <f>-BQ30*$BN$47</f>
        <v>-394184</v>
      </c>
    </row>
    <row r="31" spans="1:70" ht="12.75">
      <c r="A31" t="s">
        <v>43</v>
      </c>
      <c r="B31" s="22">
        <f t="shared" si="14"/>
        <v>282523</v>
      </c>
      <c r="C31" s="22">
        <f t="shared" si="12"/>
        <v>3333167</v>
      </c>
      <c r="D31" s="22">
        <f aca="true" t="shared" si="42" ref="D31:D44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aca="true" t="shared" si="43" ref="N31:N44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aca="true" t="shared" si="44" ref="S31:S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aca="true" t="shared" si="45" ref="AE31:AE43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aca="true" t="shared" si="46" ref="AP31:AP44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aca="true" t="shared" si="47" ref="BR31:BR44">-BQ31*$BN$47</f>
        <v>38221</v>
      </c>
    </row>
    <row r="32" spans="1:70" ht="12.75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aca="true" t="shared" si="48" ref="T32:T44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aca="true" t="shared" si="49" ref="AK32:AK44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 ht="12.75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aca="true" t="shared" si="50" ref="BF33:BF44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 ht="12.75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 ht="12.75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 ht="12.75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 ht="12.75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 ht="12.75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 ht="12.75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 ht="12.75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 ht="12.75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 ht="12.75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 ht="12.75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 ht="12.75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2:69" ht="12.75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69" ht="12.75">
      <c r="A46" t="s">
        <v>101</v>
      </c>
      <c r="C46" s="67"/>
      <c r="F46" s="67">
        <v>7.42</v>
      </c>
      <c r="G46" s="67">
        <f>G54/601188</f>
        <v>8.096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9.79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8.37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69" ht="12.75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67.32</v>
      </c>
      <c r="M47" s="37">
        <v>60.86</v>
      </c>
      <c r="N47" s="37">
        <f>M47-L47</f>
        <v>-6.46</v>
      </c>
      <c r="Q47" s="117">
        <v>71.6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69" ht="12.75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</v>
      </c>
      <c r="Z48" s="78"/>
      <c r="AA48" s="78">
        <v>55.66</v>
      </c>
      <c r="AB48" s="78">
        <v>39.87</v>
      </c>
      <c r="AC48" s="78"/>
      <c r="AD48" s="78"/>
      <c r="AE48" s="100"/>
      <c r="AG48" s="78">
        <v>31.6</v>
      </c>
      <c r="AH48" s="78">
        <v>35.41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7" ht="12.75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</v>
      </c>
      <c r="W49" s="37">
        <v>8.64</v>
      </c>
      <c r="AA49" s="78">
        <f>AA52/AA30</f>
        <v>9.2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6:69" ht="12.75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aca="true" t="shared" si="51" ref="N51:N65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578635</v>
      </c>
      <c r="AR51" s="74">
        <v>968779</v>
      </c>
      <c r="AS51" s="10">
        <f>AQ51-AR51</f>
        <v>-390144</v>
      </c>
      <c r="AT51" s="10">
        <f aca="true" t="shared" si="52" ref="AT51:AT59">AS51*0.6583</f>
        <v>-256832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 ht="12.75">
      <c r="A52" t="s">
        <v>110</v>
      </c>
      <c r="F52" s="10">
        <v>1693941</v>
      </c>
      <c r="G52" s="10">
        <v>1338874</v>
      </c>
      <c r="H52" s="10">
        <f aca="true" t="shared" si="53" ref="H52:H59">F52-G52</f>
        <v>355067</v>
      </c>
      <c r="I52" s="10">
        <f aca="true" t="shared" si="54" ref="I52:I60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aca="true" t="shared" si="55" ref="O52:O75">N52*0.6583</f>
        <v>311608</v>
      </c>
      <c r="P52" s="39"/>
      <c r="Q52" s="10">
        <v>1691663</v>
      </c>
      <c r="R52" s="74">
        <v>1308319</v>
      </c>
      <c r="S52" s="10">
        <f aca="true" t="shared" si="56" ref="S52:S58">Q52-R52</f>
        <v>383344</v>
      </c>
      <c r="T52" s="10">
        <f aca="true" t="shared" si="57" ref="T52:T75">S52*0.6583</f>
        <v>252355</v>
      </c>
      <c r="V52" s="74">
        <v>1479583</v>
      </c>
      <c r="W52" s="74">
        <v>1077180</v>
      </c>
      <c r="X52" s="10">
        <f aca="true" t="shared" si="58" ref="X52:X65">V52-W52</f>
        <v>402403</v>
      </c>
      <c r="Y52" s="10">
        <f aca="true" t="shared" si="59" ref="Y52:Y75">X52*0.6583</f>
        <v>264902</v>
      </c>
      <c r="AA52" s="74">
        <v>1265176</v>
      </c>
      <c r="AB52" s="74">
        <v>886276</v>
      </c>
      <c r="AC52" s="10">
        <f aca="true" t="shared" si="60" ref="AC52:AC59">AA52-AB52</f>
        <v>378900</v>
      </c>
      <c r="AD52" s="10">
        <f aca="true" t="shared" si="61" ref="AD52:AD75">AC52*0.6583</f>
        <v>249430</v>
      </c>
      <c r="AG52" s="74">
        <v>784963</v>
      </c>
      <c r="AH52" s="74">
        <v>1055387</v>
      </c>
      <c r="AI52" s="10">
        <f aca="true" t="shared" si="62" ref="AI52:AI66">AG52-AH52</f>
        <v>-270424</v>
      </c>
      <c r="AJ52" s="134">
        <f aca="true" t="shared" si="63" ref="AJ52:AJ64">AI52*0.6583</f>
        <v>-178020</v>
      </c>
      <c r="AL52" s="74">
        <v>1541332</v>
      </c>
      <c r="AM52" s="74">
        <v>1338060</v>
      </c>
      <c r="AN52" s="10">
        <f aca="true" t="shared" si="64" ref="AN52:AN59">AL52-AM52</f>
        <v>203272</v>
      </c>
      <c r="AO52" s="134">
        <f aca="true" t="shared" si="65" ref="AO52:AO59">AN52*0.6583</f>
        <v>133814</v>
      </c>
      <c r="AQ52" s="74">
        <f>'WA Monthly'!L60</f>
        <v>3165929</v>
      </c>
      <c r="AR52" s="74">
        <v>1351971</v>
      </c>
      <c r="AS52" s="10">
        <f aca="true" t="shared" si="66" ref="AS52:AS61">AQ52-AR52</f>
        <v>1813958</v>
      </c>
      <c r="AT52" s="10">
        <f t="shared" si="52"/>
        <v>1194129</v>
      </c>
      <c r="AW52" s="74">
        <v>1260985</v>
      </c>
      <c r="AX52" s="74">
        <v>1308376</v>
      </c>
      <c r="AY52" s="10">
        <f aca="true" t="shared" si="67" ref="AY52:AY59">AW52-AX52</f>
        <v>-47391</v>
      </c>
      <c r="AZ52" s="10">
        <f aca="true" t="shared" si="68" ref="AZ52:AZ75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aca="true" t="shared" si="69" ref="BE52:BE59">BD52*0.6583</f>
        <v>11727</v>
      </c>
      <c r="BF52" s="10"/>
      <c r="BG52" s="81"/>
      <c r="BH52" s="74">
        <v>1132866</v>
      </c>
      <c r="BI52" s="74">
        <v>1308376</v>
      </c>
      <c r="BJ52" s="10">
        <f aca="true" t="shared" si="70" ref="BJ52:BJ59">BH52-BI52</f>
        <v>-175510</v>
      </c>
      <c r="BK52" s="10">
        <f aca="true" t="shared" si="71" ref="BK52:BK59">BJ52*0.6583</f>
        <v>-115538</v>
      </c>
      <c r="BN52" s="74">
        <v>3575916</v>
      </c>
      <c r="BO52" s="74">
        <v>1330222</v>
      </c>
      <c r="BP52" s="10">
        <f aca="true" t="shared" si="72" ref="BP52:BP63">BN52-BO52</f>
        <v>2245694</v>
      </c>
      <c r="BQ52" s="10">
        <f aca="true" t="shared" si="73" ref="BQ52:BQ59">BP52*0.6583</f>
        <v>1478340</v>
      </c>
    </row>
    <row r="53" spans="1:69" ht="12.75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18427</v>
      </c>
      <c r="AR53" s="74">
        <v>21500</v>
      </c>
      <c r="AS53" s="10">
        <f t="shared" si="66"/>
        <v>-3073</v>
      </c>
      <c r="AT53" s="10">
        <f t="shared" si="52"/>
        <v>-2023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aca="true" t="shared" si="74" ref="BD53:BD59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 ht="12.75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 ht="12.75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70967</v>
      </c>
      <c r="AR55" s="74">
        <v>54496</v>
      </c>
      <c r="AS55" s="10">
        <f t="shared" si="66"/>
        <v>16471</v>
      </c>
      <c r="AT55" s="10">
        <f t="shared" si="52"/>
        <v>10843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 ht="12.75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190719</v>
      </c>
      <c r="AR56" s="74">
        <v>104090</v>
      </c>
      <c r="AS56" s="10">
        <f t="shared" si="66"/>
        <v>86629</v>
      </c>
      <c r="AT56" s="10">
        <f t="shared" si="52"/>
        <v>57028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 ht="12.75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1107794</v>
      </c>
      <c r="AR57" s="74">
        <v>107456</v>
      </c>
      <c r="AS57" s="10">
        <f t="shared" si="66"/>
        <v>1000338</v>
      </c>
      <c r="AT57" s="10">
        <f t="shared" si="52"/>
        <v>658523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 ht="12.75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-3</v>
      </c>
      <c r="AR58" s="74">
        <v>14925</v>
      </c>
      <c r="AS58" s="10">
        <f t="shared" si="66"/>
        <v>-14928</v>
      </c>
      <c r="AT58" s="10">
        <f t="shared" si="52"/>
        <v>-9827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 ht="12.75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aca="true" t="shared" si="75" ref="S59:S6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 ht="12.75">
      <c r="A60" s="71" t="s">
        <v>145</v>
      </c>
      <c r="F60" s="10">
        <f>428571-308207</f>
        <v>120364</v>
      </c>
      <c r="G60" s="10"/>
      <c r="H60" s="10">
        <f aca="true" t="shared" si="76" ref="H60:H65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aca="true" t="shared" si="77" ref="AC60:AC72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 ht="12.75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aca="true" t="shared" si="78" ref="I61:I69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85830</v>
      </c>
      <c r="AR61" s="74">
        <v>44300</v>
      </c>
      <c r="AS61" s="10">
        <f t="shared" si="66"/>
        <v>41530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aca="true" t="shared" si="79" ref="BQ61:BQ66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0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 ht="12.75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173574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 ht="12.75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18701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 ht="12.75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aca="true" t="shared" si="80" ref="AJ65:AJ75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 ht="12.75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 ht="12.75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 ht="12.75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aca="true" t="shared" si="81" ref="S68:S73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aca="true" t="shared" si="82" ref="X68:X75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0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 ht="12.75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aca="true" t="shared" si="83" ref="BD69:BD75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aca="true" t="shared" si="84" ref="BQ69:BQ76">BP69*0.6583</f>
        <v>614524</v>
      </c>
    </row>
    <row r="70" spans="1:69" ht="12.75">
      <c r="A70" t="s">
        <v>15</v>
      </c>
      <c r="F70" s="10">
        <v>124067</v>
      </c>
      <c r="G70" s="10">
        <v>188667</v>
      </c>
      <c r="H70" s="10">
        <f aca="true" t="shared" si="85" ref="H70:H75">F70-G70</f>
        <v>-64600</v>
      </c>
      <c r="I70" s="10">
        <f aca="true" t="shared" si="86" ref="I70:I75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aca="true" t="shared" si="87" ref="AI70:AI75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aca="true" t="shared" si="88" ref="AN70:AN75">AL70-AM70</f>
        <v>-72570</v>
      </c>
      <c r="AO70" s="20">
        <f aca="true" t="shared" si="89" ref="AO70:AO75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aca="true" t="shared" si="90" ref="BE70:BE75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aca="true" t="shared" si="91" ref="BP70:BP76">BN70-BO70</f>
        <v>233288</v>
      </c>
      <c r="BQ70" s="10">
        <f t="shared" si="84"/>
        <v>153573</v>
      </c>
    </row>
    <row r="71" spans="1:69" ht="12.75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 ht="12.75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157342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 ht="12.75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606185</v>
      </c>
      <c r="AR73" s="74">
        <v>338463</v>
      </c>
      <c r="AS73" s="10">
        <f>AQ73-AR73</f>
        <v>267722</v>
      </c>
      <c r="AT73" s="10"/>
      <c r="AU73" s="10">
        <f>AS73*0.6583</f>
        <v>176241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 ht="12.75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 ht="12.75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 ht="12.75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3744667</v>
      </c>
      <c r="BO76" s="74">
        <v>2571568</v>
      </c>
      <c r="BP76" s="20">
        <f t="shared" si="91"/>
        <v>1173099</v>
      </c>
      <c r="BQ76" s="10">
        <f t="shared" si="84"/>
        <v>772251</v>
      </c>
    </row>
    <row r="77" spans="1:59" ht="12.75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5:59" ht="12.75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6:59" ht="12.75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6:59" ht="12.75">
      <c r="F80" s="10"/>
      <c r="G80" s="10"/>
      <c r="H80" s="10"/>
      <c r="BG80" s="81"/>
    </row>
    <row r="81" spans="6:59" ht="12.75">
      <c r="F81" s="10"/>
      <c r="G81" s="10"/>
      <c r="H81" s="107"/>
      <c r="I81" s="74"/>
      <c r="J81" s="74"/>
      <c r="K81" s="73"/>
      <c r="L81" s="73"/>
      <c r="BG81" s="81"/>
    </row>
    <row r="82" spans="6:59" ht="12.75">
      <c r="F82" s="10"/>
      <c r="G82" s="10"/>
      <c r="H82" s="81"/>
      <c r="I82" s="73"/>
      <c r="J82" s="73"/>
      <c r="K82" s="73"/>
      <c r="L82" s="73"/>
      <c r="BG82" s="81"/>
    </row>
    <row r="83" spans="6:59" ht="12.75">
      <c r="F83" s="10"/>
      <c r="G83" s="10"/>
      <c r="H83" s="81"/>
      <c r="I83" s="73"/>
      <c r="J83" s="73"/>
      <c r="K83" s="73"/>
      <c r="L83" s="73"/>
      <c r="BG83" s="81"/>
    </row>
    <row r="84" spans="6:59" ht="12.75">
      <c r="F84" s="10"/>
      <c r="G84" s="10"/>
      <c r="H84" s="81"/>
      <c r="I84" s="73"/>
      <c r="J84" s="73"/>
      <c r="K84" s="73"/>
      <c r="L84" s="73"/>
      <c r="BG84" s="81"/>
    </row>
    <row r="85" spans="6:59" ht="12.75">
      <c r="F85" s="10"/>
      <c r="G85" s="10"/>
      <c r="H85" s="81"/>
      <c r="I85" s="74"/>
      <c r="J85" s="74"/>
      <c r="K85" s="73"/>
      <c r="L85" s="73"/>
      <c r="BG85" s="81"/>
    </row>
    <row r="86" spans="6:59" ht="12.75">
      <c r="F86" s="10"/>
      <c r="G86" s="10"/>
      <c r="H86" s="81"/>
      <c r="I86" s="73"/>
      <c r="J86" s="73"/>
      <c r="K86" s="73"/>
      <c r="L86" s="73"/>
      <c r="BG86" s="81"/>
    </row>
    <row r="87" spans="6:59" ht="12.75">
      <c r="F87" s="10"/>
      <c r="G87" s="10"/>
      <c r="H87" s="81"/>
      <c r="I87" s="73"/>
      <c r="J87" s="73"/>
      <c r="K87" s="73"/>
      <c r="L87" s="73"/>
      <c r="BG87" s="81"/>
    </row>
    <row r="88" spans="6:59" ht="12.75">
      <c r="F88" s="10"/>
      <c r="G88" s="10"/>
      <c r="H88" s="81"/>
      <c r="I88" s="73"/>
      <c r="J88" s="73"/>
      <c r="K88" s="73"/>
      <c r="L88" s="73"/>
      <c r="BG88" s="81"/>
    </row>
    <row r="89" spans="6:59" ht="12.75">
      <c r="F89" s="10"/>
      <c r="G89" s="10"/>
      <c r="H89" s="81"/>
      <c r="I89" s="73"/>
      <c r="J89" s="73"/>
      <c r="K89" s="73"/>
      <c r="L89" s="73"/>
      <c r="BG89" s="81"/>
    </row>
    <row r="90" spans="6:59" ht="12.75">
      <c r="F90" s="10"/>
      <c r="G90" s="10"/>
      <c r="H90" s="81"/>
      <c r="I90" s="73"/>
      <c r="J90" s="73"/>
      <c r="K90" s="73"/>
      <c r="L90" s="73"/>
      <c r="BG90" s="81"/>
    </row>
    <row r="91" spans="6:59" ht="12.75">
      <c r="F91" s="10"/>
      <c r="G91" s="10"/>
      <c r="H91" s="81"/>
      <c r="I91" s="73"/>
      <c r="J91" s="73"/>
      <c r="K91" s="73"/>
      <c r="L91" s="73"/>
      <c r="BG91" s="81"/>
    </row>
    <row r="92" spans="6:59" ht="12.75">
      <c r="F92" s="10"/>
      <c r="G92" s="10"/>
      <c r="H92" s="81"/>
      <c r="I92" s="73"/>
      <c r="J92" s="73"/>
      <c r="K92" s="73"/>
      <c r="L92" s="73"/>
      <c r="BG92" s="81"/>
    </row>
    <row r="93" spans="1:59" ht="12.75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14" ht="12.75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14" ht="12.75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14" ht="12.75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 ht="12.75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 ht="12.75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 ht="12.75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 ht="12.75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 ht="12.75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 ht="12.75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 ht="12.75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 ht="12.75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 ht="12.75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 ht="12.75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 ht="12.75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 ht="12.75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 ht="12.75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 ht="12.75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 ht="12.75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 ht="12.75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 ht="12.75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 ht="12.75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 ht="12.75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 ht="12.75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 ht="12.75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 ht="12.75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 ht="12.75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 ht="12.75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 ht="12.75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 ht="12.75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 ht="12.75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 ht="12.75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 ht="12.75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 ht="12.75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 ht="12.75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 ht="12.75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 ht="12.75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 ht="12.75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 ht="12.75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 ht="12.75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 ht="12.75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 ht="12.75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 ht="12.75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 ht="12.75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 ht="12.75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 ht="12.75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 ht="12.75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 ht="12.75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 ht="12.75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 ht="12.75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 ht="12.75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 ht="12.75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 ht="12.75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 ht="12.75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 ht="12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12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12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ht="12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ht="12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 ht="12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 ht="12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167</v>
      </c>
    </row>
    <row r="4" ht="12.75">
      <c r="B4" t="s">
        <v>170</v>
      </c>
    </row>
    <row r="5" ht="12.75">
      <c r="B5" t="s">
        <v>171</v>
      </c>
    </row>
    <row r="6" spans="2:3" ht="12.75">
      <c r="B6">
        <v>1</v>
      </c>
      <c r="C6" s="26" t="s">
        <v>185</v>
      </c>
    </row>
    <row r="7" ht="12.75">
      <c r="C7" s="26" t="s">
        <v>206</v>
      </c>
    </row>
    <row r="8" spans="2:3" ht="12.75">
      <c r="B8">
        <v>2</v>
      </c>
      <c r="C8" t="s">
        <v>168</v>
      </c>
    </row>
    <row r="9" ht="12.75">
      <c r="C9" t="s">
        <v>204</v>
      </c>
    </row>
    <row r="10" ht="12.75">
      <c r="C10" s="26" t="s">
        <v>205</v>
      </c>
    </row>
    <row r="11" spans="2:3" ht="12.75">
      <c r="B11">
        <v>3</v>
      </c>
      <c r="C11" t="s">
        <v>169</v>
      </c>
    </row>
    <row r="12" spans="2:3" ht="12.75" hidden="1">
      <c r="B12">
        <v>4</v>
      </c>
      <c r="C12" s="157" t="s">
        <v>195</v>
      </c>
    </row>
    <row r="13" spans="2:3" ht="12.75">
      <c r="B13">
        <v>4</v>
      </c>
      <c r="C13" s="26" t="s">
        <v>253</v>
      </c>
    </row>
    <row r="15" ht="12.75">
      <c r="B15" t="s">
        <v>173</v>
      </c>
    </row>
    <row r="16" ht="12.75">
      <c r="B16" t="s">
        <v>172</v>
      </c>
    </row>
    <row r="17" spans="2:3" ht="12.75">
      <c r="B17">
        <v>1</v>
      </c>
      <c r="C17" s="26" t="s">
        <v>194</v>
      </c>
    </row>
    <row r="18" spans="2:3" ht="12.75">
      <c r="B18">
        <v>2</v>
      </c>
      <c r="C18" s="26" t="s">
        <v>186</v>
      </c>
    </row>
    <row r="19" spans="2:3" ht="12.75">
      <c r="B19">
        <v>3</v>
      </c>
      <c r="C19" s="26" t="s">
        <v>187</v>
      </c>
    </row>
    <row r="21" ht="12.75">
      <c r="B21" t="s">
        <v>210</v>
      </c>
    </row>
    <row r="22" ht="12.75">
      <c r="B22" t="s">
        <v>174</v>
      </c>
    </row>
    <row r="24" ht="12.75">
      <c r="B24" s="26" t="s">
        <v>196</v>
      </c>
    </row>
    <row r="25" ht="12.75">
      <c r="B25" s="26"/>
    </row>
    <row r="26" ht="12.75">
      <c r="B26" s="26" t="s">
        <v>207</v>
      </c>
    </row>
    <row r="27" spans="2:3" ht="12.75">
      <c r="B27">
        <v>1</v>
      </c>
      <c r="C27" s="26" t="s">
        <v>254</v>
      </c>
    </row>
    <row r="28" spans="2:3" ht="12.75">
      <c r="B28">
        <v>2</v>
      </c>
      <c r="C28" s="157" t="s">
        <v>209</v>
      </c>
    </row>
    <row r="29" spans="2:3" ht="12.75">
      <c r="B29">
        <v>3</v>
      </c>
      <c r="C29" s="157" t="s">
        <v>197</v>
      </c>
    </row>
    <row r="30" spans="2:3" ht="12.75">
      <c r="B30">
        <v>4</v>
      </c>
      <c r="C30" s="26" t="s">
        <v>198</v>
      </c>
    </row>
    <row r="31" spans="2:3" ht="12.75">
      <c r="B31">
        <v>5</v>
      </c>
      <c r="C31" s="26" t="s">
        <v>97</v>
      </c>
    </row>
    <row r="33" ht="12.75">
      <c r="B33" s="26" t="s">
        <v>199</v>
      </c>
    </row>
    <row r="34" spans="2:3" ht="12.75">
      <c r="B34">
        <v>1</v>
      </c>
      <c r="C34" s="26" t="s">
        <v>200</v>
      </c>
    </row>
    <row r="35" ht="12.75">
      <c r="C35" s="26" t="s">
        <v>201</v>
      </c>
    </row>
    <row r="36" spans="2:3" ht="12.75">
      <c r="B36">
        <v>2</v>
      </c>
      <c r="C36" s="26" t="s">
        <v>202</v>
      </c>
    </row>
    <row r="37" ht="12.75">
      <c r="C37" s="26" t="s">
        <v>203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1">
      <selection activeCell="M40" sqref="M40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264" t="s">
        <v>363</v>
      </c>
      <c r="P1" s="71"/>
      <c r="Q1" s="233"/>
    </row>
    <row r="2" spans="3:14" ht="12.75">
      <c r="C2" s="13">
        <v>42766</v>
      </c>
      <c r="D2" s="13">
        <f>EOMONTH(C2,1)</f>
        <v>42794</v>
      </c>
      <c r="E2" s="13">
        <f aca="true" t="shared" si="0" ref="E2:N2">EOMONTH(D2,1)</f>
        <v>42825</v>
      </c>
      <c r="F2" s="13">
        <f t="shared" si="0"/>
        <v>42855</v>
      </c>
      <c r="G2" s="13">
        <f t="shared" si="0"/>
        <v>42886</v>
      </c>
      <c r="H2" s="13">
        <f t="shared" si="0"/>
        <v>42916</v>
      </c>
      <c r="I2" s="13">
        <f t="shared" si="0"/>
        <v>42947</v>
      </c>
      <c r="J2" s="13">
        <f t="shared" si="0"/>
        <v>42978</v>
      </c>
      <c r="K2" s="13">
        <f t="shared" si="0"/>
        <v>43008</v>
      </c>
      <c r="L2" s="13">
        <f t="shared" si="0"/>
        <v>43039</v>
      </c>
      <c r="M2" s="13">
        <f t="shared" si="0"/>
        <v>43069</v>
      </c>
      <c r="N2" s="13">
        <f t="shared" si="0"/>
        <v>43100</v>
      </c>
    </row>
    <row r="3" spans="1:14" ht="12.75">
      <c r="A3" s="2" t="s">
        <v>373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2:14" ht="12.75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2.75">
      <c r="A5" s="143">
        <f>'WA Summary '!A15</f>
        <v>9</v>
      </c>
      <c r="B5" s="51" t="s">
        <v>3</v>
      </c>
      <c r="C5" s="273">
        <v>12127251.19</v>
      </c>
      <c r="D5" s="279">
        <v>11591984.93</v>
      </c>
      <c r="E5" s="279">
        <v>10660400.51</v>
      </c>
      <c r="F5" s="279">
        <v>10031882.14</v>
      </c>
      <c r="G5" s="279">
        <v>8675133.11</v>
      </c>
      <c r="H5" s="279">
        <v>8326699.91</v>
      </c>
      <c r="I5" s="279">
        <v>8166121.44</v>
      </c>
      <c r="J5" s="279">
        <v>9056300.57</v>
      </c>
      <c r="K5" s="279">
        <v>7883688.54</v>
      </c>
      <c r="L5" s="279">
        <v>8186792.6</v>
      </c>
      <c r="M5" s="279">
        <v>11995843.1</v>
      </c>
      <c r="N5" s="279">
        <v>12493230.02</v>
      </c>
    </row>
    <row r="6" spans="1:14" ht="12.75">
      <c r="A6" s="143">
        <f>'WA Summary '!A16</f>
        <v>10</v>
      </c>
      <c r="B6" s="51" t="s">
        <v>6</v>
      </c>
      <c r="C6" s="273">
        <v>-7154528.28</v>
      </c>
      <c r="D6" s="279">
        <v>-6331582.6</v>
      </c>
      <c r="E6" s="279">
        <v>-7373144.11</v>
      </c>
      <c r="F6" s="279">
        <v>-9451450.32</v>
      </c>
      <c r="G6" s="279">
        <v>-8788449.21</v>
      </c>
      <c r="H6" s="279">
        <v>-8347825.7</v>
      </c>
      <c r="I6" s="279">
        <v>-7766255.43</v>
      </c>
      <c r="J6" s="279">
        <v>-5454043.55</v>
      </c>
      <c r="K6" s="279">
        <v>-6343594.26</v>
      </c>
      <c r="L6" s="279">
        <v>-6461587.36</v>
      </c>
      <c r="M6" s="279">
        <v>-7582420.33</v>
      </c>
      <c r="N6" s="279">
        <v>-7533482.46</v>
      </c>
    </row>
    <row r="7" spans="1:14" ht="12.75">
      <c r="A7" s="143">
        <f>'WA Summary '!A17</f>
        <v>11</v>
      </c>
      <c r="B7" s="51" t="s">
        <v>4</v>
      </c>
      <c r="C7" s="273">
        <v>2667343.1</v>
      </c>
      <c r="D7" s="279">
        <v>2503516.62</v>
      </c>
      <c r="E7" s="279">
        <v>2494287.48</v>
      </c>
      <c r="F7" s="279">
        <v>2179004.29</v>
      </c>
      <c r="G7" s="279">
        <v>1851577.98</v>
      </c>
      <c r="H7" s="279">
        <v>1612579.66</v>
      </c>
      <c r="I7" s="279">
        <v>2427227.23</v>
      </c>
      <c r="J7" s="279">
        <v>2652597.65</v>
      </c>
      <c r="K7" s="279">
        <v>2644728.24</v>
      </c>
      <c r="L7" s="279">
        <v>2706849.7</v>
      </c>
      <c r="M7" s="279">
        <v>2628469.88</v>
      </c>
      <c r="N7" s="279">
        <v>2755226.87</v>
      </c>
    </row>
    <row r="8" spans="1:14" ht="12.75">
      <c r="A8" s="143">
        <f>'WA Summary '!A18</f>
        <v>12</v>
      </c>
      <c r="B8" s="51" t="s">
        <v>5</v>
      </c>
      <c r="C8" s="273">
        <v>8481667.6</v>
      </c>
      <c r="D8" s="279">
        <v>7698691.81</v>
      </c>
      <c r="E8" s="279">
        <v>7292619.19</v>
      </c>
      <c r="F8" s="279">
        <v>5265751.14</v>
      </c>
      <c r="G8" s="279">
        <v>2664694.07</v>
      </c>
      <c r="H8" s="279">
        <v>2712482.18</v>
      </c>
      <c r="I8" s="279">
        <v>5239794.6</v>
      </c>
      <c r="J8" s="279">
        <v>6788998.02</v>
      </c>
      <c r="K8" s="279">
        <v>6983767.87</v>
      </c>
      <c r="L8" s="279">
        <v>7442559.57</v>
      </c>
      <c r="M8" s="279">
        <v>7920542.04</v>
      </c>
      <c r="N8" s="279">
        <v>8801866.83</v>
      </c>
    </row>
    <row r="9" spans="1:14" ht="12.75">
      <c r="A9" s="143">
        <f>'WA Summary '!A19</f>
        <v>13</v>
      </c>
      <c r="B9" s="51" t="s">
        <v>139</v>
      </c>
      <c r="C9" s="273">
        <v>-1306341.6</v>
      </c>
      <c r="D9" s="279">
        <v>-1061936.38</v>
      </c>
      <c r="E9" s="279">
        <v>-1137644.24</v>
      </c>
      <c r="F9" s="279">
        <v>-1166933.42</v>
      </c>
      <c r="G9" s="279">
        <v>-1506921.35</v>
      </c>
      <c r="H9" s="279">
        <v>-1586833.18</v>
      </c>
      <c r="I9" s="279">
        <v>-1599619.83</v>
      </c>
      <c r="J9" s="279">
        <v>-1447882.62</v>
      </c>
      <c r="K9" s="279">
        <v>-1304803.94</v>
      </c>
      <c r="L9" s="279">
        <v>-1285929.41</v>
      </c>
      <c r="M9" s="279">
        <v>-1197857.84</v>
      </c>
      <c r="N9" s="279">
        <v>-1199570.91</v>
      </c>
    </row>
    <row r="10" spans="1:14" ht="12.75">
      <c r="A10" s="143">
        <f>'WA Summary '!A20</f>
        <v>14</v>
      </c>
      <c r="B10" s="51" t="s">
        <v>106</v>
      </c>
      <c r="C10" s="273">
        <v>1503378.97</v>
      </c>
      <c r="D10" s="279">
        <v>1417561.5</v>
      </c>
      <c r="E10" s="279">
        <v>1557827.18</v>
      </c>
      <c r="F10" s="279">
        <v>1347286.17</v>
      </c>
      <c r="G10" s="279">
        <v>1410951.39</v>
      </c>
      <c r="H10" s="279">
        <v>1401573.82</v>
      </c>
      <c r="I10" s="279">
        <v>1411205.76</v>
      </c>
      <c r="J10" s="279">
        <v>1443939.2</v>
      </c>
      <c r="K10" s="279">
        <v>1441120.97</v>
      </c>
      <c r="L10" s="279">
        <v>1400225.97</v>
      </c>
      <c r="M10" s="279">
        <v>1464405.95</v>
      </c>
      <c r="N10" s="279">
        <v>1437755.47</v>
      </c>
    </row>
    <row r="11" spans="1:14" ht="12.75">
      <c r="A11" s="143">
        <f>'WA Summary '!A21</f>
        <v>15</v>
      </c>
      <c r="B11" s="51" t="s">
        <v>107</v>
      </c>
      <c r="C11" s="273">
        <v>57500</v>
      </c>
      <c r="D11" s="279">
        <v>57500</v>
      </c>
      <c r="E11" s="279">
        <v>57500</v>
      </c>
      <c r="F11" s="279">
        <v>57500</v>
      </c>
      <c r="G11" s="279">
        <v>57500</v>
      </c>
      <c r="H11" s="279">
        <v>57500</v>
      </c>
      <c r="I11" s="279">
        <v>57500</v>
      </c>
      <c r="J11" s="279">
        <v>57500</v>
      </c>
      <c r="K11" s="279">
        <v>57500</v>
      </c>
      <c r="L11" s="279">
        <v>57500</v>
      </c>
      <c r="M11" s="279">
        <v>57500</v>
      </c>
      <c r="N11" s="279">
        <v>57500</v>
      </c>
    </row>
    <row r="12" spans="1:15" ht="12.75">
      <c r="A12" s="1">
        <f>'WA Summary '!A22</f>
        <v>16</v>
      </c>
      <c r="B12" s="26" t="s">
        <v>383</v>
      </c>
      <c r="C12" s="279">
        <v>-125000</v>
      </c>
      <c r="D12" s="279">
        <v>-125000</v>
      </c>
      <c r="E12" s="279">
        <v>-125000</v>
      </c>
      <c r="F12" s="279">
        <v>-125000</v>
      </c>
      <c r="G12" s="279">
        <v>-125000</v>
      </c>
      <c r="H12" s="279">
        <v>-125000</v>
      </c>
      <c r="I12" s="279">
        <v>-125000</v>
      </c>
      <c r="J12" s="279">
        <v>-125000</v>
      </c>
      <c r="K12" s="279">
        <v>-125000</v>
      </c>
      <c r="L12" s="279">
        <v>-125000</v>
      </c>
      <c r="M12" s="279">
        <v>-125000</v>
      </c>
      <c r="N12" s="279">
        <v>-125000</v>
      </c>
      <c r="O12" s="26" t="s">
        <v>386</v>
      </c>
    </row>
    <row r="13" spans="1:14" ht="12.75">
      <c r="A13" s="1">
        <f>'WA Summary '!A27</f>
        <v>21</v>
      </c>
      <c r="B13" s="51" t="s">
        <v>218</v>
      </c>
      <c r="C13" s="285">
        <v>0.6471</v>
      </c>
      <c r="D13" s="285">
        <v>0.6471</v>
      </c>
      <c r="E13" s="285">
        <v>0.6471</v>
      </c>
      <c r="F13" s="285">
        <v>0.6471</v>
      </c>
      <c r="G13" s="285">
        <v>0.6471</v>
      </c>
      <c r="H13" s="285">
        <v>0.6471</v>
      </c>
      <c r="I13" s="285">
        <v>0.6471</v>
      </c>
      <c r="J13" s="285">
        <v>0.6471</v>
      </c>
      <c r="K13" s="285">
        <v>0.6471</v>
      </c>
      <c r="L13" s="285">
        <v>0.6471</v>
      </c>
      <c r="M13" s="285">
        <v>0.6471</v>
      </c>
      <c r="N13" s="285">
        <v>0.6471</v>
      </c>
    </row>
    <row r="14" spans="3:14" ht="12.75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3:14" ht="12.75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2.75">
      <c r="A17" s="2" t="s">
        <v>362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2:14" ht="12.75">
      <c r="B18" s="139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4" ht="12.75">
      <c r="A19" s="1">
        <f>'WA Monthly'!A8</f>
        <v>2</v>
      </c>
      <c r="B19" s="51" t="s">
        <v>258</v>
      </c>
      <c r="C19" s="270">
        <v>1156091.1</v>
      </c>
      <c r="D19" s="270">
        <v>1156091.1</v>
      </c>
      <c r="E19" s="270">
        <v>1156091.1</v>
      </c>
      <c r="F19" s="270">
        <v>1156091.1</v>
      </c>
      <c r="G19" s="270">
        <v>1156091.1</v>
      </c>
      <c r="H19" s="270">
        <v>1156091.1</v>
      </c>
      <c r="I19" s="270">
        <v>1156091.1</v>
      </c>
      <c r="J19" s="270">
        <v>1156091.1</v>
      </c>
      <c r="K19" s="270">
        <v>1156091.1</v>
      </c>
      <c r="L19" s="270">
        <v>1156091.1</v>
      </c>
      <c r="M19" s="270">
        <v>1156091.1</v>
      </c>
      <c r="N19" s="270">
        <v>1156091.1</v>
      </c>
    </row>
    <row r="20" spans="1:14" ht="12.75">
      <c r="A20" s="1">
        <f>'WA Monthly'!A9</f>
        <v>3</v>
      </c>
      <c r="B20" s="51" t="s">
        <v>259</v>
      </c>
      <c r="C20" s="270">
        <v>27196.2</v>
      </c>
      <c r="D20" s="270">
        <v>68412.69</v>
      </c>
      <c r="E20" s="270">
        <v>131498.88</v>
      </c>
      <c r="F20" s="270">
        <v>171131.8</v>
      </c>
      <c r="G20" s="270">
        <v>173722.64</v>
      </c>
      <c r="H20" s="270">
        <v>176961.19</v>
      </c>
      <c r="I20" s="270">
        <v>86834.92</v>
      </c>
      <c r="J20" s="270">
        <v>45787</v>
      </c>
      <c r="K20" s="270">
        <v>49910.16</v>
      </c>
      <c r="L20" s="270">
        <v>10749.36</v>
      </c>
      <c r="M20" s="270">
        <v>24129.42</v>
      </c>
      <c r="N20" s="270">
        <v>8037.3</v>
      </c>
    </row>
    <row r="21" spans="1:14" ht="12.75">
      <c r="A21" s="1">
        <f>'WA Monthly'!A10</f>
        <v>4</v>
      </c>
      <c r="B21" s="51" t="s">
        <v>262</v>
      </c>
      <c r="C21" s="270">
        <v>157342</v>
      </c>
      <c r="D21" s="270">
        <v>157342</v>
      </c>
      <c r="E21" s="270">
        <v>157342</v>
      </c>
      <c r="F21" s="270">
        <v>157342</v>
      </c>
      <c r="G21" s="270">
        <v>157342</v>
      </c>
      <c r="H21" s="270">
        <v>157342</v>
      </c>
      <c r="I21" s="270">
        <v>157342</v>
      </c>
      <c r="J21" s="270">
        <v>157342</v>
      </c>
      <c r="K21" s="270">
        <v>153740</v>
      </c>
      <c r="L21" s="270">
        <v>153740</v>
      </c>
      <c r="M21" s="270">
        <v>153740</v>
      </c>
      <c r="N21" s="270">
        <f>153740-248584</f>
        <v>-94844</v>
      </c>
    </row>
    <row r="22" spans="1:14" ht="12.75">
      <c r="A22" s="1">
        <f>'WA Monthly'!A11</f>
        <v>5</v>
      </c>
      <c r="B22" s="51" t="s">
        <v>260</v>
      </c>
      <c r="C22" s="270">
        <v>606185.15</v>
      </c>
      <c r="D22" s="270">
        <v>606185.15</v>
      </c>
      <c r="E22" s="270">
        <v>606185.15</v>
      </c>
      <c r="F22" s="270">
        <v>606185.15</v>
      </c>
      <c r="G22" s="270">
        <v>606185.15</v>
      </c>
      <c r="H22" s="270">
        <v>606185.15</v>
      </c>
      <c r="I22" s="270">
        <v>606185.15</v>
      </c>
      <c r="J22" s="270">
        <v>606185.15</v>
      </c>
      <c r="K22" s="270">
        <v>606185.15</v>
      </c>
      <c r="L22" s="270">
        <v>606185.15</v>
      </c>
      <c r="M22" s="270">
        <v>606185.15</v>
      </c>
      <c r="N22" s="270">
        <v>606185.15</v>
      </c>
    </row>
    <row r="23" spans="1:14" ht="14.25">
      <c r="A23" s="1">
        <f>'WA Monthly'!A12</f>
        <v>6</v>
      </c>
      <c r="B23" s="26" t="s">
        <v>261</v>
      </c>
      <c r="C23" s="270">
        <v>3294989.86</v>
      </c>
      <c r="D23" s="270">
        <v>2977347.08</v>
      </c>
      <c r="E23" s="270">
        <v>1626727.94</v>
      </c>
      <c r="F23" s="270">
        <v>1575506.62</v>
      </c>
      <c r="G23" s="274"/>
      <c r="H23" s="274"/>
      <c r="I23" s="274"/>
      <c r="J23" s="274"/>
      <c r="K23" s="274"/>
      <c r="L23" s="274"/>
      <c r="M23" s="270">
        <v>3624396.1</v>
      </c>
      <c r="N23" s="270">
        <v>3744666.75</v>
      </c>
    </row>
    <row r="24" spans="1:14" ht="12.75">
      <c r="A24" s="1">
        <f>'WA Monthly'!A13</f>
        <v>7</v>
      </c>
      <c r="B24" t="s">
        <v>255</v>
      </c>
      <c r="C24" s="270">
        <v>649.43</v>
      </c>
      <c r="D24" s="270">
        <v>670.13</v>
      </c>
      <c r="E24" s="270">
        <v>1792.07</v>
      </c>
      <c r="F24" s="270">
        <v>599.75</v>
      </c>
      <c r="G24" s="270">
        <v>562.49</v>
      </c>
      <c r="H24" s="270">
        <v>508.67</v>
      </c>
      <c r="I24" s="270">
        <v>487.97</v>
      </c>
      <c r="J24" s="270">
        <v>632.87</v>
      </c>
      <c r="K24" s="270">
        <v>591.47</v>
      </c>
      <c r="L24" s="270">
        <v>537.65</v>
      </c>
      <c r="M24" s="270">
        <v>624.59</v>
      </c>
      <c r="N24" s="270">
        <v>964.07</v>
      </c>
    </row>
    <row r="25" spans="1:16" ht="12.75">
      <c r="A25" s="1">
        <f>'WA Monthly'!A14</f>
        <v>8</v>
      </c>
      <c r="B25" s="2" t="s">
        <v>372</v>
      </c>
      <c r="C25" s="278">
        <f>SUM(C26:C33)</f>
        <v>99601.75</v>
      </c>
      <c r="D25" s="278">
        <f aca="true" t="shared" si="1" ref="D25:N25">SUM(D26:D33)</f>
        <v>151082.99</v>
      </c>
      <c r="E25" s="278">
        <f t="shared" si="1"/>
        <v>134036.02</v>
      </c>
      <c r="F25" s="278">
        <f t="shared" si="1"/>
        <v>148797.62</v>
      </c>
      <c r="G25" s="278">
        <f t="shared" si="1"/>
        <v>124595.01</v>
      </c>
      <c r="H25" s="278">
        <f t="shared" si="1"/>
        <v>119882.79</v>
      </c>
      <c r="I25" s="278">
        <f t="shared" si="1"/>
        <v>137282.32</v>
      </c>
      <c r="J25" s="278">
        <f t="shared" si="1"/>
        <v>85830.39</v>
      </c>
      <c r="K25" s="278">
        <f t="shared" si="1"/>
        <v>80375.93</v>
      </c>
      <c r="L25" s="278">
        <f t="shared" si="1"/>
        <v>93630.3</v>
      </c>
      <c r="M25" s="278">
        <f t="shared" si="1"/>
        <v>120634.25</v>
      </c>
      <c r="N25" s="278">
        <f t="shared" si="1"/>
        <v>126701.12</v>
      </c>
      <c r="P25" s="142"/>
    </row>
    <row r="26" spans="1:14" ht="12.75">
      <c r="A26" s="1"/>
      <c r="B26" s="141" t="s">
        <v>365</v>
      </c>
      <c r="C26" s="270">
        <v>25930.5</v>
      </c>
      <c r="D26" s="270">
        <v>70302.35</v>
      </c>
      <c r="E26" s="270">
        <v>42388.57</v>
      </c>
      <c r="F26" s="270">
        <v>40573.09</v>
      </c>
      <c r="G26" s="270">
        <v>25858.52</v>
      </c>
      <c r="H26" s="270">
        <v>3683.43</v>
      </c>
      <c r="I26" s="270">
        <v>0</v>
      </c>
      <c r="J26" s="270">
        <v>0</v>
      </c>
      <c r="K26" s="270">
        <v>0</v>
      </c>
      <c r="L26" s="270">
        <v>0</v>
      </c>
      <c r="M26" s="270">
        <v>20372.97</v>
      </c>
      <c r="N26" s="270">
        <v>23521.59</v>
      </c>
    </row>
    <row r="27" spans="1:14" ht="12.75">
      <c r="A27" s="1"/>
      <c r="B27" s="141" t="s">
        <v>366</v>
      </c>
      <c r="C27" s="270">
        <v>21903.56</v>
      </c>
      <c r="D27" s="270">
        <v>18868.26</v>
      </c>
      <c r="E27" s="270">
        <v>25663.28</v>
      </c>
      <c r="F27" s="270">
        <v>36231.16</v>
      </c>
      <c r="G27" s="270">
        <v>19949.69</v>
      </c>
      <c r="H27" s="270">
        <v>40637.94</v>
      </c>
      <c r="I27" s="270">
        <v>47178.86</v>
      </c>
      <c r="J27" s="270">
        <v>27129.26</v>
      </c>
      <c r="K27" s="270">
        <v>23088.09</v>
      </c>
      <c r="L27" s="270">
        <v>23302.73</v>
      </c>
      <c r="M27" s="270">
        <v>25293.99</v>
      </c>
      <c r="N27" s="270">
        <v>26309.43</v>
      </c>
    </row>
    <row r="28" spans="1:14" ht="12.75">
      <c r="A28" s="1"/>
      <c r="B28" s="141" t="s">
        <v>389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2329.32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</row>
    <row r="29" spans="1:14" ht="12.75">
      <c r="A29" s="1"/>
      <c r="B29" s="141" t="s">
        <v>367</v>
      </c>
      <c r="C29" s="270">
        <v>218.78</v>
      </c>
      <c r="D29" s="270">
        <v>8616.97</v>
      </c>
      <c r="E29" s="270">
        <v>9439.16</v>
      </c>
      <c r="F29" s="270">
        <v>14448.64</v>
      </c>
      <c r="G29" s="270">
        <v>13651.81</v>
      </c>
      <c r="H29" s="270">
        <v>7686.58</v>
      </c>
      <c r="I29" s="270">
        <v>17335.61</v>
      </c>
      <c r="J29" s="270">
        <v>9981.54</v>
      </c>
      <c r="K29" s="270">
        <v>14171.68</v>
      </c>
      <c r="L29" s="270">
        <v>13441.75</v>
      </c>
      <c r="M29" s="270">
        <v>20089.06</v>
      </c>
      <c r="N29" s="270">
        <v>13798.75</v>
      </c>
    </row>
    <row r="30" spans="1:14" ht="12.75">
      <c r="A30" s="1"/>
      <c r="B30" s="141" t="s">
        <v>368</v>
      </c>
      <c r="C30" s="270">
        <v>4932.4</v>
      </c>
      <c r="D30" s="270">
        <v>5621.85</v>
      </c>
      <c r="E30" s="270">
        <v>11045.99</v>
      </c>
      <c r="F30" s="270">
        <v>16925.07</v>
      </c>
      <c r="G30" s="270">
        <v>18861.03</v>
      </c>
      <c r="H30" s="270">
        <v>19303.67</v>
      </c>
      <c r="I30" s="270">
        <v>13484.38</v>
      </c>
      <c r="J30" s="270">
        <v>8063.69</v>
      </c>
      <c r="K30" s="270">
        <v>5259.41</v>
      </c>
      <c r="L30" s="270">
        <v>4233.24</v>
      </c>
      <c r="M30" s="270">
        <v>3940.92</v>
      </c>
      <c r="N30" s="270">
        <v>8122.73</v>
      </c>
    </row>
    <row r="31" spans="1:14" ht="12.75">
      <c r="A31" s="1"/>
      <c r="B31" s="141" t="s">
        <v>369</v>
      </c>
      <c r="C31" s="270">
        <v>40313.13</v>
      </c>
      <c r="D31" s="270">
        <v>43080.16</v>
      </c>
      <c r="E31" s="270">
        <v>40914.36</v>
      </c>
      <c r="F31" s="270">
        <v>36317.22</v>
      </c>
      <c r="G31" s="270">
        <v>41184.89</v>
      </c>
      <c r="H31" s="270">
        <v>44043.55</v>
      </c>
      <c r="I31" s="270">
        <v>50932.55</v>
      </c>
      <c r="J31" s="270">
        <v>40069.18</v>
      </c>
      <c r="K31" s="270">
        <v>35343.89</v>
      </c>
      <c r="L31" s="270">
        <v>43678.08</v>
      </c>
      <c r="M31" s="270">
        <v>51334.89</v>
      </c>
      <c r="N31" s="270">
        <v>47855.87</v>
      </c>
    </row>
    <row r="32" spans="1:14" ht="12.75">
      <c r="A32" s="1"/>
      <c r="B32" s="141" t="s">
        <v>370</v>
      </c>
      <c r="C32" s="270">
        <v>6303.38</v>
      </c>
      <c r="D32" s="270">
        <v>4593.4</v>
      </c>
      <c r="E32" s="270">
        <v>4584.66</v>
      </c>
      <c r="F32" s="270">
        <v>4302.44</v>
      </c>
      <c r="G32" s="270">
        <v>5089.07</v>
      </c>
      <c r="H32" s="270">
        <v>4527.62</v>
      </c>
      <c r="I32" s="270">
        <v>6021.6</v>
      </c>
      <c r="J32" s="270">
        <v>586.72</v>
      </c>
      <c r="K32" s="270">
        <v>2512.86</v>
      </c>
      <c r="L32" s="270">
        <v>8974.5</v>
      </c>
      <c r="M32" s="270">
        <f>4080.02-4477.6</f>
        <v>-397.58</v>
      </c>
      <c r="N32" s="270">
        <v>5056.6</v>
      </c>
    </row>
    <row r="33" spans="1:14" ht="12.75">
      <c r="A33" s="1"/>
      <c r="B33" s="141" t="s">
        <v>371</v>
      </c>
      <c r="C33" s="270">
        <v>0</v>
      </c>
      <c r="D33" s="270">
        <v>0</v>
      </c>
      <c r="E33" s="270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70">
        <f>1071.15+965</f>
        <v>2036.15</v>
      </c>
    </row>
    <row r="34" spans="1:14" ht="12.75">
      <c r="A34" s="1">
        <f>'WA Monthly'!A15</f>
        <v>9</v>
      </c>
      <c r="B34" s="26" t="s">
        <v>118</v>
      </c>
      <c r="C34" s="270">
        <v>148937.25</v>
      </c>
      <c r="D34" s="270">
        <v>130565.9</v>
      </c>
      <c r="E34" s="270">
        <v>12193</v>
      </c>
      <c r="F34" s="270">
        <v>75470.8</v>
      </c>
      <c r="G34" s="270">
        <v>143454</v>
      </c>
      <c r="H34" s="270">
        <v>141892.6</v>
      </c>
      <c r="I34" s="270">
        <v>193727.69</v>
      </c>
      <c r="J34" s="270">
        <v>173573.7</v>
      </c>
      <c r="K34" s="270">
        <v>153635.63</v>
      </c>
      <c r="L34" s="270">
        <v>151334.36</v>
      </c>
      <c r="M34" s="270">
        <f>172953.63+30814.05</f>
        <v>203767.68</v>
      </c>
      <c r="N34" s="270">
        <v>166348.35</v>
      </c>
    </row>
    <row r="35" spans="1:14" ht="12.75">
      <c r="A35" s="1">
        <f>'WA Monthly'!A16</f>
        <v>10</v>
      </c>
      <c r="B35" s="26" t="s">
        <v>376</v>
      </c>
      <c r="C35" s="270">
        <v>196425.28</v>
      </c>
      <c r="D35" s="270">
        <v>345889.06</v>
      </c>
      <c r="E35" s="270">
        <v>288539.66</v>
      </c>
      <c r="F35" s="270">
        <v>248184.12</v>
      </c>
      <c r="G35" s="270">
        <v>301011.1</v>
      </c>
      <c r="H35" s="270">
        <v>282926.7</v>
      </c>
      <c r="I35" s="270">
        <v>33555.1</v>
      </c>
      <c r="J35" s="270">
        <v>0</v>
      </c>
      <c r="K35" s="270">
        <v>33816.34</v>
      </c>
      <c r="L35" s="270">
        <v>132336.46</v>
      </c>
      <c r="M35" s="270">
        <v>238045.32</v>
      </c>
      <c r="N35" s="270">
        <v>414666.06</v>
      </c>
    </row>
    <row r="36" spans="1:14" ht="12.75">
      <c r="A36" s="1">
        <f>'WA Monthly'!A17</f>
        <v>11</v>
      </c>
      <c r="B36" s="26" t="s">
        <v>377</v>
      </c>
      <c r="C36" s="270">
        <v>379377.57</v>
      </c>
      <c r="D36" s="270">
        <v>300385.14</v>
      </c>
      <c r="E36" s="270">
        <v>452187.76</v>
      </c>
      <c r="F36" s="270">
        <v>481736.82</v>
      </c>
      <c r="G36" s="270">
        <v>471992.76</v>
      </c>
      <c r="H36" s="270">
        <v>50938.46</v>
      </c>
      <c r="I36" s="270">
        <v>593741.94</v>
      </c>
      <c r="J36" s="270">
        <v>570212.28</v>
      </c>
      <c r="K36" s="270">
        <v>571536.46</v>
      </c>
      <c r="L36" s="270">
        <v>602603.76</v>
      </c>
      <c r="M36" s="270">
        <v>468199.49</v>
      </c>
      <c r="N36" s="270">
        <v>542251.71</v>
      </c>
    </row>
    <row r="37" spans="1:14" ht="12.75">
      <c r="A37" s="1">
        <f>'WA Monthly'!A18</f>
        <v>12</v>
      </c>
      <c r="B37" s="26" t="s">
        <v>356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</row>
    <row r="38" spans="1:14" ht="12.75">
      <c r="A38" s="1">
        <f>'WA Monthly'!A19</f>
        <v>13</v>
      </c>
      <c r="B38" s="52" t="s">
        <v>256</v>
      </c>
      <c r="C38" s="270">
        <f>2217919.56-4879.75-1768.78+11.94+19476.1</f>
        <v>2230759.07</v>
      </c>
      <c r="D38" s="270">
        <f>1989573.85-5093.68-7199.93+5513.59+11248.69</f>
        <v>1994042.52</v>
      </c>
      <c r="E38" s="270">
        <f>1870564.63-12959.47-4769.37+53.9+15321.62</f>
        <v>1868211.31</v>
      </c>
      <c r="F38" s="270">
        <f>1889045.36-18231.53-6709.08+23.67+4583.94</f>
        <v>1868712.36</v>
      </c>
      <c r="G38" s="270">
        <f>1912168.32-19959.71-7346.63+41.4+13753.49</f>
        <v>1898656.87</v>
      </c>
      <c r="H38" s="270">
        <f>1927247.65-20861.49-7677.55+89+15720.34</f>
        <v>1914517.95</v>
      </c>
      <c r="I38" s="270">
        <f>2291956.12-13321.68-4902.68+61.33+16120.87</f>
        <v>2289913.96</v>
      </c>
      <c r="J38" s="270">
        <f>2303744.27+38.49+60606.35</f>
        <v>2364389.11</v>
      </c>
      <c r="K38" s="270">
        <f>2254303.86+8.88+55967.97</f>
        <v>2310280.71</v>
      </c>
      <c r="L38" s="270">
        <f>2228736.11+20.63+58720.16</f>
        <v>2287476.9</v>
      </c>
      <c r="M38" s="270">
        <f>2304099.76+14266.17+26.24+26742.88</f>
        <v>2345135.05</v>
      </c>
      <c r="N38" s="270">
        <f>2313113.88-478.27+39294.79</f>
        <v>2351930.4</v>
      </c>
    </row>
    <row r="39" spans="1:14" ht="12.75">
      <c r="A39" s="1">
        <f>'WA Monthly'!A20</f>
        <v>14</v>
      </c>
      <c r="B39" s="52" t="s">
        <v>283</v>
      </c>
      <c r="C39" s="270">
        <v>1520650.56</v>
      </c>
      <c r="D39" s="270">
        <v>1752138.96</v>
      </c>
      <c r="E39" s="270">
        <v>2482824.24</v>
      </c>
      <c r="F39" s="270">
        <v>2281924.32</v>
      </c>
      <c r="G39" s="270">
        <v>941544.24</v>
      </c>
      <c r="H39" s="270">
        <f>1479569.52-17428.32</f>
        <v>1462141.2</v>
      </c>
      <c r="I39" s="270">
        <f>836677.92-17.78</f>
        <v>836660.14</v>
      </c>
      <c r="J39" s="270">
        <v>878233.2</v>
      </c>
      <c r="K39" s="270">
        <v>887125.2</v>
      </c>
      <c r="L39" s="270">
        <f>1965191.28</f>
        <v>1965191.28</v>
      </c>
      <c r="M39" s="270">
        <v>2596464</v>
      </c>
      <c r="N39" s="270">
        <v>917002.32</v>
      </c>
    </row>
    <row r="40" spans="1:14" ht="12.75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ht="12.75">
      <c r="A41" s="1"/>
      <c r="B41" s="269" t="s">
        <v>166</v>
      </c>
      <c r="C41" s="270">
        <f>84013*(44.33-39.22)</f>
        <v>429306.43</v>
      </c>
      <c r="D41" s="270">
        <f>75914*(44.33-39.22)</f>
        <v>387920.54</v>
      </c>
      <c r="E41" s="270">
        <f>41477*(44.33-39.22)</f>
        <v>211947.47</v>
      </c>
      <c r="F41" s="270">
        <f>40171*(44.33-39.22)</f>
        <v>205273.81</v>
      </c>
      <c r="G41" s="275"/>
      <c r="H41" s="275"/>
      <c r="I41" s="275"/>
      <c r="J41" s="275"/>
      <c r="K41" s="275"/>
      <c r="L41" s="275"/>
      <c r="M41" s="288">
        <f>86398*(45.32-41.95)</f>
        <v>291161.26</v>
      </c>
      <c r="N41" s="288">
        <f>89265*(45.32-41.95)</f>
        <v>300823.05</v>
      </c>
    </row>
    <row r="42" spans="3:14" ht="12.75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2:14" ht="12.75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2.75">
      <c r="A44" s="1">
        <f>'WA Monthly'!A41</f>
        <v>19</v>
      </c>
      <c r="B44" s="71" t="s">
        <v>32</v>
      </c>
      <c r="C44" s="270">
        <v>108961.05</v>
      </c>
      <c r="D44" s="270">
        <v>65629.62</v>
      </c>
      <c r="E44" s="270">
        <v>34615.72</v>
      </c>
      <c r="F44" s="270">
        <v>34615.72</v>
      </c>
      <c r="G44" s="270">
        <v>34999.44</v>
      </c>
      <c r="H44" s="270">
        <v>32502.96</v>
      </c>
      <c r="I44" s="270">
        <v>119998.8</v>
      </c>
      <c r="J44" s="270">
        <v>193228.34</v>
      </c>
      <c r="K44" s="270">
        <v>135253.26</v>
      </c>
      <c r="L44" s="270">
        <v>91684.56</v>
      </c>
      <c r="M44" s="270">
        <v>85368.99</v>
      </c>
      <c r="N44" s="270">
        <v>91320.18</v>
      </c>
    </row>
    <row r="45" spans="1:14" ht="12.75">
      <c r="A45" s="1">
        <f>'WA Monthly'!A42</f>
        <v>20</v>
      </c>
      <c r="B45" s="52" t="s">
        <v>380</v>
      </c>
      <c r="C45" s="270">
        <f>5766+3122.55+3122.55</f>
        <v>12011.1</v>
      </c>
      <c r="D45" s="287">
        <f>5208+2785.05+2785.05</f>
        <v>10778.1</v>
      </c>
      <c r="E45" s="270">
        <f>5758.25+3067.43+3067.43+1058.25</f>
        <v>12951.36</v>
      </c>
      <c r="F45" s="270">
        <f>5580+2946.6+2946.6+968</f>
        <v>12441.2</v>
      </c>
      <c r="G45" s="270">
        <f>6392.25+2876.51+2876.51</f>
        <v>12145.27</v>
      </c>
      <c r="H45" s="270">
        <f>5580+2625.64+2625.64</f>
        <v>10831.28</v>
      </c>
      <c r="I45" s="270">
        <f>501+5766+2820.15+2820.15</f>
        <v>11907.3</v>
      </c>
      <c r="J45" s="270">
        <f>622+5766+2874.6+2874.6</f>
        <v>12137.2</v>
      </c>
      <c r="K45" s="270">
        <f>677.25+5580+2815.76+2815.76</f>
        <v>11888.77</v>
      </c>
      <c r="L45" s="270">
        <f>5766+3013.2+3013.2</f>
        <v>11792.4</v>
      </c>
      <c r="M45" s="270">
        <f>960+5587.75+2946.49+2946.49</f>
        <v>12440.73</v>
      </c>
      <c r="N45" s="270">
        <f>845.25+5766+2975.06+2975.06</f>
        <v>12561.37</v>
      </c>
    </row>
    <row r="46" spans="1:14" ht="12.75">
      <c r="A46" s="1">
        <f>'WA Monthly'!A43</f>
        <v>21</v>
      </c>
      <c r="B46" s="71" t="s">
        <v>53</v>
      </c>
      <c r="C46" s="270">
        <f>4451.96+4451.96+28297.64+11369.59+11369.59</f>
        <v>59940.74</v>
      </c>
      <c r="D46" s="287">
        <f>4532.96+4532.96+24043.6+9660.38+9660.38</f>
        <v>52430.28</v>
      </c>
      <c r="E46" s="270">
        <f>3584.48+3584.48+24395.84+9801.9+9801.9</f>
        <v>51168.6</v>
      </c>
      <c r="F46" s="270">
        <f>0.9+0.9+23589.72+9478.01+9478.01</f>
        <v>42547.54</v>
      </c>
      <c r="G46" s="270">
        <f>28.35+28.35+22723.4+9129.94+9129.94</f>
        <v>41039.98</v>
      </c>
      <c r="H46" s="270">
        <f>2118.49+2118.49+21342.44+8575.09+8575.09</f>
        <v>42729.6</v>
      </c>
      <c r="I46" s="270">
        <f>4420.01+4420.01+22207.92+8922.83+8922.83</f>
        <v>48893.6</v>
      </c>
      <c r="J46" s="270">
        <f>2428.88+2428.88+21246.12+8536.39+8536.39</f>
        <v>43176.66</v>
      </c>
      <c r="K46" s="270">
        <f>3045.94+3045.94+21833.56+8772.41+8772.41</f>
        <v>45470.26</v>
      </c>
      <c r="L46" s="270">
        <f>9142.09+9142.09+22753.64+5703.08+5703.08+5580</f>
        <v>58023.98</v>
      </c>
      <c r="M46" s="270">
        <f>9954.79+9954.79+24776.36+4600.58+4600.58+5407.5</f>
        <v>59294.6</v>
      </c>
      <c r="N46" s="270">
        <f>11141.33+11141.33+27729.52+4761.34+4761.34+5580</f>
        <v>65114.86</v>
      </c>
    </row>
    <row r="47" spans="1:14" ht="12.75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12.75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12.75">
      <c r="A49" s="1">
        <f>'WA Monthly'!A65</f>
        <v>29</v>
      </c>
      <c r="B49" s="71" t="s">
        <v>21</v>
      </c>
      <c r="C49" s="22">
        <v>58054</v>
      </c>
      <c r="D49" s="22">
        <v>53688</v>
      </c>
      <c r="E49" s="22">
        <v>47755</v>
      </c>
      <c r="F49" s="22">
        <v>28066</v>
      </c>
      <c r="G49" s="22">
        <v>0</v>
      </c>
      <c r="H49" s="22">
        <v>8826</v>
      </c>
      <c r="I49" s="22">
        <v>55406</v>
      </c>
      <c r="J49" s="22">
        <v>48916</v>
      </c>
      <c r="K49" s="22">
        <v>57893</v>
      </c>
      <c r="L49" s="22">
        <v>42599</v>
      </c>
      <c r="M49" s="22">
        <v>50527</v>
      </c>
      <c r="N49" s="22">
        <v>56696</v>
      </c>
    </row>
    <row r="50" spans="1:14" ht="12.75">
      <c r="A50" s="1">
        <f>'WA Monthly'!A66</f>
        <v>30</v>
      </c>
      <c r="B50" s="71" t="s">
        <v>30</v>
      </c>
      <c r="C50" s="22">
        <v>98882</v>
      </c>
      <c r="D50" s="22">
        <v>78121</v>
      </c>
      <c r="E50" s="22">
        <v>51861</v>
      </c>
      <c r="F50" s="22">
        <v>53431</v>
      </c>
      <c r="G50" s="22">
        <v>30106</v>
      </c>
      <c r="H50" s="22">
        <v>32503</v>
      </c>
      <c r="I50" s="22">
        <v>96593</v>
      </c>
      <c r="J50" s="22">
        <v>98520</v>
      </c>
      <c r="K50" s="22">
        <v>85114</v>
      </c>
      <c r="L50" s="22">
        <v>85618</v>
      </c>
      <c r="M50" s="22">
        <v>91612</v>
      </c>
      <c r="N50" s="22">
        <v>98920</v>
      </c>
    </row>
    <row r="51" spans="3:14" ht="12.75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 ht="12.75">
      <c r="A52" s="2" t="s">
        <v>382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 ht="12.75">
      <c r="A53" s="1">
        <v>8</v>
      </c>
      <c r="B53" s="7" t="s">
        <v>378</v>
      </c>
      <c r="C53" s="22">
        <f>635436148/1000</f>
        <v>635436</v>
      </c>
      <c r="D53" s="22">
        <f>552137773/1000</f>
        <v>552138</v>
      </c>
      <c r="E53" s="22">
        <f>497730651/1000</f>
        <v>497731</v>
      </c>
      <c r="F53" s="22">
        <f>448218455/1000</f>
        <v>448218</v>
      </c>
      <c r="G53" s="22">
        <f>419097111/1000</f>
        <v>419097</v>
      </c>
      <c r="H53" s="22">
        <f>423687064/1000</f>
        <v>423687</v>
      </c>
      <c r="I53" s="22">
        <f>464714115/1000</f>
        <v>464714</v>
      </c>
      <c r="J53" s="22">
        <f>513953341/1000</f>
        <v>513953</v>
      </c>
      <c r="K53" s="22">
        <f>482862678/1000</f>
        <v>482863</v>
      </c>
      <c r="L53" s="22">
        <f>372090516/1000</f>
        <v>372091</v>
      </c>
      <c r="M53" s="22">
        <f>501874558/1000</f>
        <v>501875</v>
      </c>
      <c r="N53" s="22">
        <f>527870172/1000</f>
        <v>527870</v>
      </c>
    </row>
    <row r="54" spans="1:14" ht="12.75">
      <c r="A54" s="1">
        <v>10</v>
      </c>
      <c r="B54" s="7" t="s">
        <v>379</v>
      </c>
      <c r="C54" s="22">
        <f>261693372/1000</f>
        <v>261693</v>
      </c>
      <c r="D54" s="22">
        <f>216822347/1000</f>
        <v>216822</v>
      </c>
      <c r="E54" s="22">
        <f>206930953/1000</f>
        <v>206931</v>
      </c>
      <c r="F54" s="22">
        <f>186063817/1000</f>
        <v>186064</v>
      </c>
      <c r="G54" s="22">
        <f>191193835/1000</f>
        <v>191194</v>
      </c>
      <c r="H54" s="22">
        <f>192213745/1000</f>
        <v>192214</v>
      </c>
      <c r="I54" s="22">
        <f>231542830/1000</f>
        <v>231543</v>
      </c>
      <c r="J54" s="22">
        <f>235296826/1000</f>
        <v>235297</v>
      </c>
      <c r="K54" s="22">
        <f>187294805/1000</f>
        <v>187295</v>
      </c>
      <c r="L54" s="22">
        <f>247724275/1000</f>
        <v>247724</v>
      </c>
      <c r="M54" s="22">
        <f>228467930/1000</f>
        <v>228468</v>
      </c>
      <c r="N54" s="22">
        <f>261455979/1000</f>
        <v>261456</v>
      </c>
    </row>
    <row r="55" spans="1:14" ht="12.75">
      <c r="A55" s="1">
        <v>12</v>
      </c>
      <c r="B55" s="7" t="s">
        <v>328</v>
      </c>
      <c r="C55" s="282">
        <v>555937</v>
      </c>
      <c r="D55" s="282">
        <v>498647</v>
      </c>
      <c r="E55" s="282">
        <v>492113</v>
      </c>
      <c r="F55" s="282">
        <v>431145</v>
      </c>
      <c r="G55" s="282">
        <v>438507</v>
      </c>
      <c r="H55" s="282">
        <v>423630</v>
      </c>
      <c r="I55" s="282">
        <v>451024</v>
      </c>
      <c r="J55" s="282">
        <v>469267</v>
      </c>
      <c r="K55" s="282">
        <v>421946</v>
      </c>
      <c r="L55" s="282">
        <v>451214</v>
      </c>
      <c r="M55" s="282">
        <v>471440</v>
      </c>
      <c r="N55" s="282">
        <v>548964</v>
      </c>
    </row>
    <row r="56" spans="1:14" ht="12.75">
      <c r="A56" s="1">
        <v>14</v>
      </c>
      <c r="B56" s="7" t="s">
        <v>329</v>
      </c>
      <c r="C56" s="280">
        <v>15.66</v>
      </c>
      <c r="D56" s="276">
        <v>15.66</v>
      </c>
      <c r="E56" s="276">
        <v>15.66</v>
      </c>
      <c r="F56" s="276">
        <v>15.66</v>
      </c>
      <c r="G56" s="276">
        <v>15.66</v>
      </c>
      <c r="H56" s="276">
        <v>15.66</v>
      </c>
      <c r="I56" s="276">
        <v>15.66</v>
      </c>
      <c r="J56" s="276">
        <v>15.66</v>
      </c>
      <c r="K56" s="276">
        <v>15.66</v>
      </c>
      <c r="L56" s="276">
        <v>15.66</v>
      </c>
      <c r="M56" s="276">
        <v>15.66</v>
      </c>
      <c r="N56" s="276">
        <v>15.66</v>
      </c>
    </row>
    <row r="57" spans="1:14" ht="12.75">
      <c r="A57" s="1"/>
      <c r="B57" s="7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 ht="12.75">
      <c r="A58" s="1">
        <v>21</v>
      </c>
      <c r="B58" s="7" t="s">
        <v>324</v>
      </c>
      <c r="C58" s="276">
        <v>-52557.34</v>
      </c>
      <c r="D58" s="276">
        <v>227784.32</v>
      </c>
      <c r="E58" s="276">
        <v>24456.86</v>
      </c>
      <c r="F58" s="276">
        <v>-113184.85</v>
      </c>
      <c r="G58" s="276">
        <v>150291.31</v>
      </c>
      <c r="H58" s="276">
        <v>-157346.65</v>
      </c>
      <c r="I58" s="276">
        <v>-662636.71</v>
      </c>
      <c r="J58" s="276">
        <v>-288737.45</v>
      </c>
      <c r="K58" s="276">
        <v>-77726.98</v>
      </c>
      <c r="L58" s="276">
        <v>-99716.62</v>
      </c>
      <c r="M58" s="276">
        <v>-479299.42</v>
      </c>
      <c r="N58" s="276">
        <v>-458143.1</v>
      </c>
    </row>
    <row r="59" spans="1:14" ht="12.75">
      <c r="A59" s="1"/>
      <c r="B59" s="7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</row>
    <row r="60" spans="3:14" ht="12.75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 ht="12.75">
      <c r="A61" s="2" t="s">
        <v>364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2:14" ht="12.75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 ht="12.75">
      <c r="A63" s="1" t="e">
        <f>#REF!</f>
        <v>#REF!</v>
      </c>
      <c r="B63" s="71" t="s">
        <v>3</v>
      </c>
      <c r="C63" s="276">
        <v>9519018.38</v>
      </c>
      <c r="D63" s="276">
        <v>8941137.06</v>
      </c>
      <c r="E63" s="276">
        <v>8090123.04</v>
      </c>
      <c r="F63" s="276">
        <v>7193081.04</v>
      </c>
      <c r="G63" s="276">
        <v>5574392.47</v>
      </c>
      <c r="H63" s="276">
        <v>5284240.32</v>
      </c>
      <c r="I63" s="276">
        <v>6394105.78</v>
      </c>
      <c r="J63" s="276">
        <v>7883448.9</v>
      </c>
      <c r="K63" s="276">
        <v>6345981.52</v>
      </c>
      <c r="L63" s="276">
        <v>6367917.5</v>
      </c>
      <c r="M63" s="276">
        <v>9249398.36</v>
      </c>
      <c r="N63" s="276">
        <v>9683964.9</v>
      </c>
    </row>
    <row r="64" spans="1:14" ht="12.75">
      <c r="A64" s="1" t="e">
        <f>#REF!</f>
        <v>#REF!</v>
      </c>
      <c r="B64" s="71" t="s">
        <v>6</v>
      </c>
      <c r="C64" s="276">
        <v>-3853545.87</v>
      </c>
      <c r="D64" s="276">
        <v>-3409878.21</v>
      </c>
      <c r="E64" s="276">
        <v>-3652293.95</v>
      </c>
      <c r="F64" s="276">
        <v>-4889732.53</v>
      </c>
      <c r="G64" s="276">
        <v>-3785609.71</v>
      </c>
      <c r="H64" s="276">
        <v>-2350862.78</v>
      </c>
      <c r="I64" s="276">
        <v>-3011999.35</v>
      </c>
      <c r="J64" s="276">
        <v>-2803724.21</v>
      </c>
      <c r="K64" s="276">
        <v>-2951546.75</v>
      </c>
      <c r="L64" s="276">
        <v>-2433458.72</v>
      </c>
      <c r="M64" s="276">
        <v>-4254971.4</v>
      </c>
      <c r="N64" s="276">
        <v>-5268430.76</v>
      </c>
    </row>
    <row r="65" spans="1:14" ht="12.75">
      <c r="A65" s="1" t="e">
        <f>#REF!</f>
        <v>#REF!</v>
      </c>
      <c r="B65" s="71" t="s">
        <v>4</v>
      </c>
      <c r="C65" s="276">
        <v>2623576.79</v>
      </c>
      <c r="D65" s="276">
        <v>2414725.66</v>
      </c>
      <c r="E65" s="276">
        <v>2489588.3</v>
      </c>
      <c r="F65" s="276">
        <v>2219535.48</v>
      </c>
      <c r="G65" s="276">
        <v>1919942.52</v>
      </c>
      <c r="H65" s="276">
        <v>1572469.25</v>
      </c>
      <c r="I65" s="276">
        <v>2337541.08</v>
      </c>
      <c r="J65" s="276">
        <v>2599424.39</v>
      </c>
      <c r="K65" s="276">
        <v>2567871.84</v>
      </c>
      <c r="L65" s="276">
        <v>2552449.55</v>
      </c>
      <c r="M65" s="276">
        <v>2593186.47</v>
      </c>
      <c r="N65" s="276">
        <v>2691752.73</v>
      </c>
    </row>
    <row r="66" spans="1:14" ht="12.75">
      <c r="A66" s="1" t="e">
        <f>#REF!</f>
        <v>#REF!</v>
      </c>
      <c r="B66" s="71" t="s">
        <v>5</v>
      </c>
      <c r="C66" s="276">
        <v>7496447.95</v>
      </c>
      <c r="D66" s="276">
        <v>6383459.5</v>
      </c>
      <c r="E66" s="276">
        <v>6191000.2</v>
      </c>
      <c r="F66" s="276">
        <v>4127172.31</v>
      </c>
      <c r="G66" s="276">
        <v>2227502.71</v>
      </c>
      <c r="H66" s="276">
        <v>1803506.39</v>
      </c>
      <c r="I66" s="276">
        <v>3770606.09</v>
      </c>
      <c r="J66" s="276">
        <v>5642678.02</v>
      </c>
      <c r="K66" s="276">
        <v>5571559.36</v>
      </c>
      <c r="L66" s="276">
        <v>5667220.68</v>
      </c>
      <c r="M66" s="276">
        <v>6527518.5</v>
      </c>
      <c r="N66" s="276">
        <v>8207305.7</v>
      </c>
    </row>
    <row r="67" spans="1:14" ht="12.75">
      <c r="A67" s="1" t="e">
        <f>#REF!</f>
        <v>#REF!</v>
      </c>
      <c r="B67" s="71" t="s">
        <v>139</v>
      </c>
      <c r="C67" s="276">
        <v>-1258554.43</v>
      </c>
      <c r="D67" s="276">
        <v>-1342410.18</v>
      </c>
      <c r="E67" s="276">
        <v>-1380905.8</v>
      </c>
      <c r="F67" s="276">
        <v>-1325244.87</v>
      </c>
      <c r="G67" s="276">
        <v>-1456539.56</v>
      </c>
      <c r="H67" s="276">
        <v>-1614865.82</v>
      </c>
      <c r="I67" s="276">
        <v>-1670552.98</v>
      </c>
      <c r="J67" s="276">
        <v>-1520945.79</v>
      </c>
      <c r="K67" s="276">
        <v>-1466611.46</v>
      </c>
      <c r="L67" s="276">
        <v>-1406355.17</v>
      </c>
      <c r="M67" s="276">
        <v>-1406387.44</v>
      </c>
      <c r="N67" s="276">
        <v>-1313910.42</v>
      </c>
    </row>
    <row r="68" spans="1:14" ht="12.75">
      <c r="A68" s="1" t="e">
        <f>#REF!</f>
        <v>#REF!</v>
      </c>
      <c r="B68" s="71" t="s">
        <v>106</v>
      </c>
      <c r="C68" s="276">
        <v>1494602.2</v>
      </c>
      <c r="D68" s="276">
        <v>1475744.5</v>
      </c>
      <c r="E68" s="276">
        <v>1463501.51</v>
      </c>
      <c r="F68" s="276">
        <v>1469691.96</v>
      </c>
      <c r="G68" s="276">
        <v>1454062.71</v>
      </c>
      <c r="H68" s="276">
        <v>1425852.96</v>
      </c>
      <c r="I68" s="276">
        <v>1474893.13</v>
      </c>
      <c r="J68" s="276">
        <v>1469493.31</v>
      </c>
      <c r="K68" s="276">
        <v>1450695.21</v>
      </c>
      <c r="L68" s="276">
        <v>1483229.86</v>
      </c>
      <c r="M68" s="276">
        <v>1490253.09</v>
      </c>
      <c r="N68" s="276">
        <v>1544487.75</v>
      </c>
    </row>
    <row r="69" spans="1:14" ht="12.75">
      <c r="A69" s="1" t="e">
        <f>#REF!</f>
        <v>#REF!</v>
      </c>
      <c r="B69" s="32" t="s">
        <v>384</v>
      </c>
      <c r="C69" s="276">
        <v>-290850</v>
      </c>
      <c r="D69" s="276">
        <v>-262050</v>
      </c>
      <c r="E69" s="276">
        <v>-290850</v>
      </c>
      <c r="F69" s="276">
        <v>-281250</v>
      </c>
      <c r="G69" s="276">
        <v>-290850</v>
      </c>
      <c r="H69" s="276">
        <v>-281250</v>
      </c>
      <c r="I69" s="276">
        <v>-290850</v>
      </c>
      <c r="J69" s="276">
        <v>-290850</v>
      </c>
      <c r="K69" s="276">
        <v>-281250</v>
      </c>
      <c r="L69" s="276">
        <v>-290850</v>
      </c>
      <c r="M69" s="276">
        <v>-281250</v>
      </c>
      <c r="N69" s="276">
        <v>-290850</v>
      </c>
    </row>
    <row r="70" spans="1:14" ht="12.75">
      <c r="A70" s="1" t="e">
        <f>#REF!</f>
        <v>#REF!</v>
      </c>
      <c r="B70" s="254" t="s">
        <v>391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</row>
    <row r="71" spans="1:14" ht="12.75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 ht="12.75">
      <c r="A72" s="1" t="e">
        <f>#REF!</f>
        <v>#REF!</v>
      </c>
      <c r="B72" s="32" t="s">
        <v>234</v>
      </c>
      <c r="C72" s="285">
        <v>0.3437</v>
      </c>
      <c r="D72" s="285">
        <v>0.3437</v>
      </c>
      <c r="E72" s="285">
        <v>0.3437</v>
      </c>
      <c r="F72" s="285">
        <v>0.3437</v>
      </c>
      <c r="G72" s="285">
        <v>0.3437</v>
      </c>
      <c r="H72" s="285">
        <v>0.3437</v>
      </c>
      <c r="I72" s="285">
        <v>0.3437</v>
      </c>
      <c r="J72" s="285">
        <v>0.3437</v>
      </c>
      <c r="K72" s="285">
        <v>0.3437</v>
      </c>
      <c r="L72" s="285">
        <v>0.3437</v>
      </c>
      <c r="M72" s="285">
        <v>0.3437</v>
      </c>
      <c r="N72" s="285">
        <v>0.3437</v>
      </c>
    </row>
    <row r="73" spans="1:14" ht="12.75">
      <c r="A73" s="1"/>
      <c r="B73" s="32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  <row r="74" spans="1:14" ht="12.75">
      <c r="A74" s="178" t="s">
        <v>375</v>
      </c>
      <c r="B74" s="32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</row>
    <row r="75" spans="1:14" ht="12.75">
      <c r="A75" s="1"/>
      <c r="B75" s="32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</row>
    <row r="76" spans="1:14" ht="12.75">
      <c r="A76" s="1"/>
      <c r="B76" s="32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3:14" ht="12.75"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</row>
    <row r="78" spans="1:14" ht="12.75">
      <c r="A78" s="2" t="s">
        <v>374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 ht="12.75">
      <c r="A79" s="1">
        <v>8</v>
      </c>
      <c r="B79" s="267" t="s">
        <v>378</v>
      </c>
      <c r="C79" s="22">
        <f>330695833/1000</f>
        <v>330696</v>
      </c>
      <c r="D79" s="22">
        <f>283796776/1000</f>
        <v>283797</v>
      </c>
      <c r="E79" s="22">
        <f>270040973/1000</f>
        <v>270041</v>
      </c>
      <c r="F79" s="22">
        <f>238496361/1000</f>
        <v>238496</v>
      </c>
      <c r="G79" s="22">
        <f>231836358/1000</f>
        <v>231836</v>
      </c>
      <c r="H79" s="22">
        <f>223179807/1000</f>
        <v>223180</v>
      </c>
      <c r="I79" s="22">
        <f>240556459/1000</f>
        <v>240556</v>
      </c>
      <c r="J79" s="22">
        <f>258413599/1000</f>
        <v>258414</v>
      </c>
      <c r="K79" s="22">
        <f>238002219/1000</f>
        <v>238002</v>
      </c>
      <c r="L79" s="22">
        <f>242093419/1000</f>
        <v>242093</v>
      </c>
      <c r="M79" s="22">
        <f>260855747/1000</f>
        <v>260856</v>
      </c>
      <c r="N79" s="22">
        <f>286310605/1000</f>
        <v>286311</v>
      </c>
    </row>
    <row r="80" spans="1:14" ht="12.75">
      <c r="A80" s="1">
        <v>10</v>
      </c>
      <c r="B80" s="267" t="s">
        <v>379</v>
      </c>
      <c r="C80" s="22">
        <f>130415366/1000</f>
        <v>130415</v>
      </c>
      <c r="D80" s="22">
        <f>105638014/1000</f>
        <v>105638</v>
      </c>
      <c r="E80" s="22">
        <f>105182097/1000</f>
        <v>105182</v>
      </c>
      <c r="F80" s="22">
        <f>93353238/1000</f>
        <v>93353</v>
      </c>
      <c r="G80" s="22">
        <f>98965696/1000</f>
        <v>98966</v>
      </c>
      <c r="H80" s="22">
        <f>95649009/1000</f>
        <v>95649</v>
      </c>
      <c r="I80" s="22">
        <f>116056829/1000</f>
        <v>116057</v>
      </c>
      <c r="J80" s="22">
        <f>108840740/1000</f>
        <v>108841</v>
      </c>
      <c r="K80" s="22">
        <f>86648161/1000</f>
        <v>86648</v>
      </c>
      <c r="L80" s="22">
        <f>102311157/1000</f>
        <v>102311</v>
      </c>
      <c r="M80" s="22">
        <f>112496837/1000</f>
        <v>112497</v>
      </c>
      <c r="N80" s="22">
        <f>131339705/1000</f>
        <v>131340</v>
      </c>
    </row>
    <row r="81" spans="1:14" ht="12.75">
      <c r="A81" s="1">
        <v>12</v>
      </c>
      <c r="B81" s="268" t="s">
        <v>332</v>
      </c>
      <c r="C81" s="282">
        <v>287473</v>
      </c>
      <c r="D81" s="282">
        <v>258568</v>
      </c>
      <c r="E81" s="282">
        <v>271002</v>
      </c>
      <c r="F81" s="282">
        <v>228286</v>
      </c>
      <c r="G81" s="282">
        <v>228973.73</v>
      </c>
      <c r="H81" s="282">
        <v>224777</v>
      </c>
      <c r="I81" s="282">
        <v>245462</v>
      </c>
      <c r="J81" s="282">
        <v>255918</v>
      </c>
      <c r="K81" s="282">
        <v>214672.76</v>
      </c>
      <c r="L81" s="282">
        <v>238519</v>
      </c>
      <c r="M81" s="282">
        <v>248276</v>
      </c>
      <c r="N81" s="282">
        <v>309383</v>
      </c>
    </row>
    <row r="82" spans="1:14" ht="12.75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 ht="12.75">
      <c r="A83" s="1">
        <v>14</v>
      </c>
      <c r="B83" s="281" t="s">
        <v>323</v>
      </c>
      <c r="C83" s="283">
        <v>24</v>
      </c>
      <c r="D83" s="283">
        <v>24</v>
      </c>
      <c r="E83" s="283">
        <v>24</v>
      </c>
      <c r="F83" s="283">
        <v>24</v>
      </c>
      <c r="G83" s="283">
        <v>24</v>
      </c>
      <c r="H83" s="283">
        <v>24</v>
      </c>
      <c r="I83" s="283">
        <v>24</v>
      </c>
      <c r="J83" s="283">
        <v>24</v>
      </c>
      <c r="K83" s="283">
        <v>24</v>
      </c>
      <c r="L83" s="283">
        <v>24</v>
      </c>
      <c r="M83" s="283">
        <v>24</v>
      </c>
      <c r="N83" s="283">
        <v>24</v>
      </c>
    </row>
    <row r="84" spans="3:14" ht="12.75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 ht="12.75">
      <c r="A85" s="1">
        <v>24</v>
      </c>
      <c r="B85" s="51" t="s">
        <v>324</v>
      </c>
      <c r="C85" s="280">
        <v>-219442.08</v>
      </c>
      <c r="D85" s="280">
        <v>92604.02</v>
      </c>
      <c r="E85" s="280">
        <v>129980.63</v>
      </c>
      <c r="F85" s="280">
        <v>-203037.19</v>
      </c>
      <c r="G85" s="280">
        <v>-25508.24</v>
      </c>
      <c r="H85" s="280">
        <v>-127509.25</v>
      </c>
      <c r="I85" s="280">
        <v>-350342.73</v>
      </c>
      <c r="J85" s="280">
        <v>71284.46</v>
      </c>
      <c r="K85" s="280">
        <v>-156799.35</v>
      </c>
      <c r="L85" s="280">
        <v>-115745.14</v>
      </c>
      <c r="M85" s="280">
        <v>-568902.74</v>
      </c>
      <c r="N85" s="280">
        <v>-91130.68</v>
      </c>
    </row>
    <row r="86" spans="3:14" ht="12.75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3:14" ht="12.75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3:14" ht="12.75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3:14" ht="12.75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3:14" ht="12.75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3:14" ht="12.75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3:14" ht="12.75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3:14" ht="12.75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3:14" ht="12.75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3:14" ht="12.75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3:14" ht="12.75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 ht="12.75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 ht="12.75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 ht="12.75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 ht="12.75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 ht="12.75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 ht="12.75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 ht="12.75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 ht="12.75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 ht="12.75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 ht="12.75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 ht="12.75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 ht="12.75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 ht="12.75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 ht="12.75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 ht="12.75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 ht="12.75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 ht="12.75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 ht="12.75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 ht="12.75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 ht="12.75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 ht="12.75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 ht="12.75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 ht="12.75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 ht="12.75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 ht="12.75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 ht="12.75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 ht="12.75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 ht="12.75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 ht="12.75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 ht="12.75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 ht="12.75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 ht="12.75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 ht="12.75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 ht="12.75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 ht="12.75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 ht="12.75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 ht="12.75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 ht="12.75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 ht="12.75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 ht="12.75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 ht="12.75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 ht="12.75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 ht="12.75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 ht="12.75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 ht="12.75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 ht="12.75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 ht="12.75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 ht="12.75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 ht="12.75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 ht="12.75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 ht="12.75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 ht="12.75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 ht="12.75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 ht="12.75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 ht="12.75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 ht="12.75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 ht="12.75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 ht="12.75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 ht="12.75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 ht="12.75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 ht="12.75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 ht="12.75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 ht="12.75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 ht="12.75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 ht="12.75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 ht="12.75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 ht="12.75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 ht="12.75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 ht="12.75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 ht="12.75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 ht="12.75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 ht="12.75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 ht="12.75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 ht="12.75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 ht="12.75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 ht="12.75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 ht="12.75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 ht="12.75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 ht="12.75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 ht="12.75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 ht="12.75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 ht="12.75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 ht="12.75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 ht="12.75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 ht="12.75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 ht="12.75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 ht="12.75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 ht="12.75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 ht="12.75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 ht="12.75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 ht="12.75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 ht="12.75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 ht="12.75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 ht="12.75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 ht="12.75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 ht="12.75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 ht="12.75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 ht="12.75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 ht="12.75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 ht="12.75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 ht="12.75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 ht="12.75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 ht="12.75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 ht="12.75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 ht="12.75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 ht="12.75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 ht="12.75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 ht="12.75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 ht="12.75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 ht="12.75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 ht="12.75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 ht="12.75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 ht="12.75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 ht="12.75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 ht="12.75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 ht="12.75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 ht="12.75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 ht="12.75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 ht="12.75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 ht="12.75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 ht="12.75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 ht="12.75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 ht="12.75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 ht="12.75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 ht="12.75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 ht="12.75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 ht="12.75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 ht="12.75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 ht="12.75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 ht="12.75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 ht="12.75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 ht="12.75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 ht="12.75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 ht="12.75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 ht="12.75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 ht="12.75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 ht="12.75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 ht="12.75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 ht="12.75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 ht="12.75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 ht="12.75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 ht="12.75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 ht="12.75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 ht="12.75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 ht="12.75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 ht="12.75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 ht="12.75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 ht="12.75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 ht="12.75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 ht="12.75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 ht="12.75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 ht="12.75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 ht="12.75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 ht="12.75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 ht="12.75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 ht="12.75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 ht="12.75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 ht="12.75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 ht="12.75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 ht="12.75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 ht="12.75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 ht="12.75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 ht="12.75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 ht="12.75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 ht="12.75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 ht="12.75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 ht="12.75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 ht="12.75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 ht="12.75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 ht="12.75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 ht="12.75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 ht="12.75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 ht="12.75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 ht="12.75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 ht="12.75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 ht="12.75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 ht="12.75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 ht="12.75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 ht="12.75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 ht="12.75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 ht="12.75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 ht="12.75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 ht="12.75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 ht="12.75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 ht="12.75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 ht="12.75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 ht="12.75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 ht="12.75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 ht="12.75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 ht="12.75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 ht="12.75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 ht="12.75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 ht="12.75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 ht="12.75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 ht="12.75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 ht="12.75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 ht="12.75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 ht="12.75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 ht="12.75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 ht="12.75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 ht="12.75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 ht="12.75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 ht="12.75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 ht="12.75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 ht="12.75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 ht="12.75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 ht="12.75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 ht="12.75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 ht="12.75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 ht="12.75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 ht="12.75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 ht="12.75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 ht="12.75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 ht="12.75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 ht="12.75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 ht="12.75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 ht="12.75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 ht="12.75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 ht="12.75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 ht="12.75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 ht="12.75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 ht="12.75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 ht="12.75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 ht="12.75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 ht="12.75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 ht="12.75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 ht="12.75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 ht="12.75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 ht="12.75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 ht="12.75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 ht="12.75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 ht="12.75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 ht="12.75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 ht="12.75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 ht="12.75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 ht="12.75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 ht="12.75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 ht="12.75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 ht="12.75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 ht="12.75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 ht="12.75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 ht="12.75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 ht="12.75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 ht="12.75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 ht="12.75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 ht="12.75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 ht="12.75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 ht="12.75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 ht="12.75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 ht="12.75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 ht="12.75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 ht="12.75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 ht="12.75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 ht="12.75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 ht="12.75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6" sqref="J16"/>
    </sheetView>
  </sheetViews>
  <sheetFormatPr defaultColWidth="9.140625" defaultRowHeight="12.75" outlineLevelRow="1" outlineLevelCol="1"/>
  <cols>
    <col min="1" max="1" width="4.8515625" style="145" customWidth="1"/>
    <col min="2" max="2" width="10.7109375" style="51" customWidth="1"/>
    <col min="3" max="3" width="24.28125" style="51" customWidth="1"/>
    <col min="4" max="4" width="9.00390625" style="51" customWidth="1" outlineLevel="1"/>
    <col min="5" max="5" width="5.28125" style="51" customWidth="1" outlineLevel="1"/>
    <col min="6" max="6" width="14.57421875" style="51" bestFit="1" customWidth="1"/>
    <col min="7" max="10" width="15.7109375" style="51" bestFit="1" customWidth="1"/>
    <col min="11" max="11" width="12.7109375" style="51" customWidth="1"/>
    <col min="12" max="16" width="15.7109375" style="51" bestFit="1" customWidth="1"/>
    <col min="17" max="17" width="16.8515625" style="51" customWidth="1"/>
    <col min="18" max="18" width="13.140625" style="51" customWidth="1"/>
    <col min="19" max="19" width="13.8515625" style="51" customWidth="1"/>
    <col min="20" max="20" width="13.140625" style="51" customWidth="1"/>
    <col min="21" max="16384" width="9.140625" style="51" customWidth="1"/>
  </cols>
  <sheetData>
    <row r="1" spans="1:17" ht="12.75">
      <c r="A1" s="416" t="s">
        <v>220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7" ht="15.75">
      <c r="A2" s="417" t="s">
        <v>36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ht="12.75">
      <c r="A3" s="249" t="s">
        <v>0</v>
      </c>
    </row>
    <row r="4" spans="1:17" ht="12.75">
      <c r="A4" s="145" t="s">
        <v>1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399" t="s">
        <v>396</v>
      </c>
    </row>
    <row r="5" spans="2:17" ht="12.75">
      <c r="B5" s="266" t="s">
        <v>221</v>
      </c>
      <c r="C5" s="248"/>
      <c r="D5" s="418" t="s">
        <v>10</v>
      </c>
      <c r="E5" s="418"/>
      <c r="F5" s="291">
        <v>42766</v>
      </c>
      <c r="G5" s="291">
        <f>EOMONTH(F5,1)</f>
        <v>42794</v>
      </c>
      <c r="H5" s="291">
        <f aca="true" t="shared" si="0" ref="H5:P5">EOMONTH(G5,1)</f>
        <v>42825</v>
      </c>
      <c r="I5" s="291">
        <f t="shared" si="0"/>
        <v>42855</v>
      </c>
      <c r="J5" s="291">
        <f t="shared" si="0"/>
        <v>42886</v>
      </c>
      <c r="K5" s="291">
        <f t="shared" si="0"/>
        <v>42916</v>
      </c>
      <c r="L5" s="291">
        <f t="shared" si="0"/>
        <v>42947</v>
      </c>
      <c r="M5" s="291">
        <f t="shared" si="0"/>
        <v>42978</v>
      </c>
      <c r="N5" s="291">
        <f t="shared" si="0"/>
        <v>43008</v>
      </c>
      <c r="O5" s="291">
        <f t="shared" si="0"/>
        <v>43039</v>
      </c>
      <c r="P5" s="291">
        <f t="shared" si="0"/>
        <v>43069</v>
      </c>
      <c r="Q5" s="291">
        <f>EOMONTH(P5,1)*(1)</f>
        <v>43100</v>
      </c>
    </row>
    <row r="6" spans="1:17" ht="15.75" customHeight="1">
      <c r="A6" s="145">
        <v>1</v>
      </c>
      <c r="B6" s="51" t="s">
        <v>3</v>
      </c>
      <c r="D6" s="419">
        <f>SUM(F6:Q6)</f>
        <v>132500540</v>
      </c>
      <c r="E6" s="419"/>
      <c r="F6" s="159">
        <f>'WA Monthly'!E23</f>
        <v>14499370</v>
      </c>
      <c r="G6" s="159">
        <f>'WA Monthly'!F23</f>
        <v>14842700</v>
      </c>
      <c r="H6" s="159">
        <f>'WA Monthly'!G23</f>
        <v>14555065</v>
      </c>
      <c r="I6" s="159">
        <f>'WA Monthly'!H23</f>
        <v>10126189</v>
      </c>
      <c r="J6" s="159">
        <f>'WA Monthly'!I23</f>
        <v>7370635</v>
      </c>
      <c r="K6" s="159">
        <f>'WA Monthly'!J23</f>
        <v>7518769</v>
      </c>
      <c r="L6" s="159">
        <f>'WA Monthly'!K23</f>
        <v>7684967</v>
      </c>
      <c r="M6" s="159">
        <f>'WA Monthly'!L23</f>
        <v>7537349</v>
      </c>
      <c r="N6" s="159">
        <f>'WA Monthly'!M23</f>
        <v>8660896</v>
      </c>
      <c r="O6" s="159">
        <f>'WA Monthly'!N23</f>
        <v>11043092</v>
      </c>
      <c r="P6" s="159">
        <f>'WA Monthly'!O23</f>
        <v>14579440</v>
      </c>
      <c r="Q6" s="159">
        <f>'WA Monthly'!P23</f>
        <v>14082068</v>
      </c>
    </row>
    <row r="7" spans="1:17" ht="15.75" customHeight="1">
      <c r="A7" s="145">
        <f aca="true" t="shared" si="1" ref="A7:A13">A6+1</f>
        <v>2</v>
      </c>
      <c r="B7" s="51" t="s">
        <v>6</v>
      </c>
      <c r="D7" s="413">
        <f aca="true" t="shared" si="2" ref="D7:D13">SUM(F7:Q7)</f>
        <v>-88779012</v>
      </c>
      <c r="E7" s="413"/>
      <c r="F7" s="159">
        <f>'WA Monthly'!E45</f>
        <v>-8245341</v>
      </c>
      <c r="G7" s="159">
        <f>'WA Monthly'!F45</f>
        <v>-8280684</v>
      </c>
      <c r="H7" s="159">
        <f>'WA Monthly'!G45</f>
        <v>-8096218</v>
      </c>
      <c r="I7" s="159">
        <f>'WA Monthly'!H45</f>
        <v>-7288298</v>
      </c>
      <c r="J7" s="159">
        <f>'WA Monthly'!I45</f>
        <v>-5808662</v>
      </c>
      <c r="K7" s="159">
        <f>'WA Monthly'!J45</f>
        <v>-5422409</v>
      </c>
      <c r="L7" s="159">
        <f>'WA Monthly'!K45</f>
        <v>-6790805</v>
      </c>
      <c r="M7" s="159">
        <f>'WA Monthly'!L45</f>
        <v>-3837337</v>
      </c>
      <c r="N7" s="159">
        <f>'WA Monthly'!M45</f>
        <v>-6861199</v>
      </c>
      <c r="O7" s="159">
        <f>'WA Monthly'!N45</f>
        <v>-6614796</v>
      </c>
      <c r="P7" s="159">
        <f>'WA Monthly'!O45</f>
        <v>-8918722</v>
      </c>
      <c r="Q7" s="159">
        <f>'WA Monthly'!P45</f>
        <v>-12614541</v>
      </c>
    </row>
    <row r="8" spans="1:17" ht="15.75" customHeight="1">
      <c r="A8" s="145">
        <f t="shared" si="1"/>
        <v>3</v>
      </c>
      <c r="B8" s="51" t="s">
        <v>4</v>
      </c>
      <c r="D8" s="412">
        <f t="shared" si="2"/>
        <v>26288939</v>
      </c>
      <c r="E8" s="412"/>
      <c r="F8" s="159">
        <f>'WA Monthly'!E62</f>
        <v>3107526</v>
      </c>
      <c r="G8" s="159">
        <f>'WA Monthly'!F62</f>
        <v>1445764</v>
      </c>
      <c r="H8" s="159">
        <f>'WA Monthly'!G62</f>
        <v>1659485</v>
      </c>
      <c r="I8" s="159">
        <f>'WA Monthly'!H62</f>
        <v>1553596</v>
      </c>
      <c r="J8" s="159">
        <f>'WA Monthly'!I62</f>
        <v>593079</v>
      </c>
      <c r="K8" s="159">
        <f>'WA Monthly'!J62</f>
        <v>932589</v>
      </c>
      <c r="L8" s="159">
        <f>'WA Monthly'!K62</f>
        <v>3058428</v>
      </c>
      <c r="M8" s="159">
        <f>'WA Monthly'!L62</f>
        <v>3762991</v>
      </c>
      <c r="N8" s="159">
        <f>'WA Monthly'!M62</f>
        <v>2530191</v>
      </c>
      <c r="O8" s="159">
        <f>'WA Monthly'!N62</f>
        <v>2786672</v>
      </c>
      <c r="P8" s="159">
        <f>'WA Monthly'!O62</f>
        <v>2008377</v>
      </c>
      <c r="Q8" s="159">
        <f>'WA Monthly'!P62</f>
        <v>2850241</v>
      </c>
    </row>
    <row r="9" spans="1:17" ht="15.75" customHeight="1">
      <c r="A9" s="145">
        <f t="shared" si="1"/>
        <v>4</v>
      </c>
      <c r="B9" s="51" t="s">
        <v>5</v>
      </c>
      <c r="D9" s="412">
        <f t="shared" si="2"/>
        <v>69526485</v>
      </c>
      <c r="E9" s="412"/>
      <c r="F9" s="159">
        <f>'WA Monthly'!E79</f>
        <v>9055016</v>
      </c>
      <c r="G9" s="159">
        <f>'WA Monthly'!F79</f>
        <v>4339629</v>
      </c>
      <c r="H9" s="159">
        <f>'WA Monthly'!G79</f>
        <v>2734446</v>
      </c>
      <c r="I9" s="159">
        <f>'WA Monthly'!H79</f>
        <v>2317057</v>
      </c>
      <c r="J9" s="159">
        <f>'WA Monthly'!I79</f>
        <v>2255561</v>
      </c>
      <c r="K9" s="159">
        <f>'WA Monthly'!J79</f>
        <v>2313002</v>
      </c>
      <c r="L9" s="159">
        <f>'WA Monthly'!K79</f>
        <v>8249668</v>
      </c>
      <c r="M9" s="159">
        <f>'WA Monthly'!L79</f>
        <v>9519606</v>
      </c>
      <c r="N9" s="159">
        <f>'WA Monthly'!M79</f>
        <v>7225158</v>
      </c>
      <c r="O9" s="159">
        <f>'WA Monthly'!N79</f>
        <v>6316558</v>
      </c>
      <c r="P9" s="159">
        <f>'WA Monthly'!O79</f>
        <v>7150335</v>
      </c>
      <c r="Q9" s="159">
        <f>'WA Monthly'!P79</f>
        <v>8050449</v>
      </c>
    </row>
    <row r="10" spans="1:17" ht="15.75" customHeight="1">
      <c r="A10" s="145">
        <f t="shared" si="1"/>
        <v>5</v>
      </c>
      <c r="B10" s="51" t="s">
        <v>139</v>
      </c>
      <c r="C10" s="41"/>
      <c r="D10" s="413">
        <f t="shared" si="2"/>
        <v>-20599612</v>
      </c>
      <c r="E10" s="413"/>
      <c r="F10" s="159">
        <f>'WA Monthly'!E92</f>
        <v>-1601614</v>
      </c>
      <c r="G10" s="159">
        <f>'WA Monthly'!F92</f>
        <v>-1536835</v>
      </c>
      <c r="H10" s="159">
        <f>'WA Monthly'!G92</f>
        <v>-1582047</v>
      </c>
      <c r="I10" s="159">
        <f>'WA Monthly'!H92</f>
        <v>-1818694</v>
      </c>
      <c r="J10" s="159">
        <f>'WA Monthly'!I92</f>
        <v>-2240043</v>
      </c>
      <c r="K10" s="159">
        <f>'WA Monthly'!J92</f>
        <v>-2290921</v>
      </c>
      <c r="L10" s="159">
        <f>'WA Monthly'!K92</f>
        <v>-1821024</v>
      </c>
      <c r="M10" s="159">
        <f>'WA Monthly'!L92</f>
        <v>-1835393</v>
      </c>
      <c r="N10" s="159">
        <f>'WA Monthly'!M92</f>
        <v>-1530445</v>
      </c>
      <c r="O10" s="159">
        <f>'WA Monthly'!N92</f>
        <v>-1417619</v>
      </c>
      <c r="P10" s="159">
        <f>'WA Monthly'!O92</f>
        <v>-1330901</v>
      </c>
      <c r="Q10" s="159">
        <f>'WA Monthly'!P92</f>
        <v>-1594076</v>
      </c>
    </row>
    <row r="11" spans="1:17" ht="15.75" customHeight="1">
      <c r="A11" s="145">
        <f t="shared" si="1"/>
        <v>6</v>
      </c>
      <c r="B11" s="51" t="s">
        <v>106</v>
      </c>
      <c r="C11" s="41"/>
      <c r="D11" s="412">
        <f t="shared" si="2"/>
        <v>17569671</v>
      </c>
      <c r="E11" s="412"/>
      <c r="F11" s="159">
        <f>'WA Monthly'!E98</f>
        <v>1463312</v>
      </c>
      <c r="G11" s="159">
        <f>'WA Monthly'!F98</f>
        <v>1494869</v>
      </c>
      <c r="H11" s="159">
        <f>'WA Monthly'!G98</f>
        <v>1439098</v>
      </c>
      <c r="I11" s="159">
        <f>'WA Monthly'!H98</f>
        <v>1417627</v>
      </c>
      <c r="J11" s="159">
        <f>'WA Monthly'!I98</f>
        <v>1487109</v>
      </c>
      <c r="K11" s="159">
        <f>'WA Monthly'!J98</f>
        <v>1422611</v>
      </c>
      <c r="L11" s="159">
        <f>'WA Monthly'!K98</f>
        <v>1434301</v>
      </c>
      <c r="M11" s="159">
        <f>'WA Monthly'!L98</f>
        <v>1491858</v>
      </c>
      <c r="N11" s="159">
        <f>'WA Monthly'!M98</f>
        <v>1478942</v>
      </c>
      <c r="O11" s="159">
        <f>'WA Monthly'!N98</f>
        <v>1454078</v>
      </c>
      <c r="P11" s="159">
        <f>'WA Monthly'!O98</f>
        <v>1475183</v>
      </c>
      <c r="Q11" s="159">
        <f>'WA Monthly'!P98</f>
        <v>1510683</v>
      </c>
    </row>
    <row r="12" spans="1:17" ht="15.75" customHeight="1">
      <c r="A12" s="145">
        <f t="shared" si="1"/>
        <v>7</v>
      </c>
      <c r="B12" s="51" t="s">
        <v>107</v>
      </c>
      <c r="C12" s="41"/>
      <c r="D12" s="412">
        <f t="shared" si="2"/>
        <v>728348</v>
      </c>
      <c r="E12" s="412"/>
      <c r="F12" s="159">
        <f>'WA Monthly'!E105</f>
        <v>46719</v>
      </c>
      <c r="G12" s="159">
        <f>'WA Monthly'!F105</f>
        <v>19336</v>
      </c>
      <c r="H12" s="159">
        <f>'WA Monthly'!G105</f>
        <v>108115</v>
      </c>
      <c r="I12" s="159">
        <f>'WA Monthly'!H105</f>
        <v>45185</v>
      </c>
      <c r="J12" s="159">
        <f>'WA Monthly'!I105</f>
        <v>113333</v>
      </c>
      <c r="K12" s="159">
        <f>'WA Monthly'!J105</f>
        <v>53560</v>
      </c>
      <c r="L12" s="159">
        <f>'WA Monthly'!K105</f>
        <v>46901</v>
      </c>
      <c r="M12" s="159">
        <f>'WA Monthly'!L105</f>
        <v>64239</v>
      </c>
      <c r="N12" s="159">
        <f>'WA Monthly'!M105</f>
        <v>62515</v>
      </c>
      <c r="O12" s="159">
        <f>'WA Monthly'!N105</f>
        <v>51367</v>
      </c>
      <c r="P12" s="159">
        <f>'WA Monthly'!O105</f>
        <v>55488</v>
      </c>
      <c r="Q12" s="159">
        <f>'WA Monthly'!P105</f>
        <v>61590</v>
      </c>
    </row>
    <row r="13" spans="1:17" ht="15.75" customHeight="1">
      <c r="A13" s="145">
        <f t="shared" si="1"/>
        <v>8</v>
      </c>
      <c r="B13" s="292" t="s">
        <v>11</v>
      </c>
      <c r="C13" s="292"/>
      <c r="D13" s="405">
        <f t="shared" si="2"/>
        <v>137235359</v>
      </c>
      <c r="E13" s="405"/>
      <c r="F13" s="293">
        <f aca="true" t="shared" si="3" ref="F13:Q13">SUM(F6:F12)</f>
        <v>18324988</v>
      </c>
      <c r="G13" s="293">
        <f t="shared" si="3"/>
        <v>12324779</v>
      </c>
      <c r="H13" s="293">
        <f t="shared" si="3"/>
        <v>10817944</v>
      </c>
      <c r="I13" s="293">
        <f t="shared" si="3"/>
        <v>6352662</v>
      </c>
      <c r="J13" s="293">
        <f t="shared" si="3"/>
        <v>3771012</v>
      </c>
      <c r="K13" s="293">
        <f t="shared" si="3"/>
        <v>4527201</v>
      </c>
      <c r="L13" s="293">
        <f t="shared" si="3"/>
        <v>11862436</v>
      </c>
      <c r="M13" s="293">
        <f t="shared" si="3"/>
        <v>16703313</v>
      </c>
      <c r="N13" s="293">
        <f t="shared" si="3"/>
        <v>11566058</v>
      </c>
      <c r="O13" s="293">
        <f t="shared" si="3"/>
        <v>13619352</v>
      </c>
      <c r="P13" s="293">
        <f t="shared" si="3"/>
        <v>15019200</v>
      </c>
      <c r="Q13" s="293">
        <f t="shared" si="3"/>
        <v>12346414</v>
      </c>
    </row>
    <row r="14" spans="2:17" ht="37.5" customHeight="1">
      <c r="B14" s="266" t="s">
        <v>13</v>
      </c>
      <c r="C14" s="248"/>
      <c r="D14" s="414" t="s">
        <v>395</v>
      </c>
      <c r="E14" s="415"/>
      <c r="F14" s="294">
        <f>F5</f>
        <v>42766</v>
      </c>
      <c r="G14" s="294">
        <f>G5</f>
        <v>42794</v>
      </c>
      <c r="H14" s="294">
        <f aca="true" t="shared" si="4" ref="H14:Q14">H5</f>
        <v>42825</v>
      </c>
      <c r="I14" s="294">
        <f t="shared" si="4"/>
        <v>42855</v>
      </c>
      <c r="J14" s="294">
        <f t="shared" si="4"/>
        <v>42886</v>
      </c>
      <c r="K14" s="294">
        <f t="shared" si="4"/>
        <v>42916</v>
      </c>
      <c r="L14" s="294">
        <f t="shared" si="4"/>
        <v>42947</v>
      </c>
      <c r="M14" s="294">
        <f t="shared" si="4"/>
        <v>42978</v>
      </c>
      <c r="N14" s="294">
        <f t="shared" si="4"/>
        <v>43008</v>
      </c>
      <c r="O14" s="294">
        <f t="shared" si="4"/>
        <v>43039</v>
      </c>
      <c r="P14" s="294">
        <f t="shared" si="4"/>
        <v>43069</v>
      </c>
      <c r="Q14" s="294">
        <f t="shared" si="4"/>
        <v>43100</v>
      </c>
    </row>
    <row r="15" spans="1:19" ht="15.75" customHeight="1">
      <c r="A15" s="145">
        <f>A13+1</f>
        <v>9</v>
      </c>
      <c r="B15" s="51" t="s">
        <v>3</v>
      </c>
      <c r="C15" s="41"/>
      <c r="D15" s="410">
        <f aca="true" t="shared" si="5" ref="D15:D22">SUM(F15:Q15)</f>
        <v>119195329</v>
      </c>
      <c r="E15" s="410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8675133</v>
      </c>
      <c r="K15" s="231">
        <f>'Input Tab'!H5</f>
        <v>8326700</v>
      </c>
      <c r="L15" s="231">
        <f>'Input Tab'!I5</f>
        <v>8166121</v>
      </c>
      <c r="M15" s="231">
        <f>'Input Tab'!J5</f>
        <v>9056301</v>
      </c>
      <c r="N15" s="231">
        <f>'Input Tab'!K5</f>
        <v>7883689</v>
      </c>
      <c r="O15" s="231">
        <f>'Input Tab'!L5</f>
        <v>8186793</v>
      </c>
      <c r="P15" s="231">
        <f>'Input Tab'!M5</f>
        <v>11995843</v>
      </c>
      <c r="Q15" s="231">
        <f>'Input Tab'!N5</f>
        <v>12493230</v>
      </c>
      <c r="R15" s="219"/>
      <c r="S15" s="97"/>
    </row>
    <row r="16" spans="1:19" ht="15.75" customHeight="1">
      <c r="A16" s="145">
        <f aca="true" t="shared" si="6" ref="A16:A33">A15+1</f>
        <v>10</v>
      </c>
      <c r="B16" s="51" t="s">
        <v>6</v>
      </c>
      <c r="C16" s="41"/>
      <c r="D16" s="410">
        <f t="shared" si="5"/>
        <v>-88588362</v>
      </c>
      <c r="E16" s="410"/>
      <c r="F16" s="295">
        <f>'Input Tab'!C6</f>
        <v>-7154528</v>
      </c>
      <c r="G16" s="295">
        <f>'Input Tab'!D6</f>
        <v>-6331583</v>
      </c>
      <c r="H16" s="295">
        <f>'Input Tab'!E6</f>
        <v>-7373144</v>
      </c>
      <c r="I16" s="295">
        <f>'Input Tab'!F6</f>
        <v>-9451450</v>
      </c>
      <c r="J16" s="295">
        <f>'Input Tab'!G6</f>
        <v>-8788449</v>
      </c>
      <c r="K16" s="295">
        <f>'Input Tab'!H6</f>
        <v>-8347826</v>
      </c>
      <c r="L16" s="295">
        <f>'Input Tab'!I6</f>
        <v>-7766255</v>
      </c>
      <c r="M16" s="295">
        <f>'Input Tab'!J6</f>
        <v>-5454044</v>
      </c>
      <c r="N16" s="295">
        <f>'Input Tab'!K6</f>
        <v>-6343594</v>
      </c>
      <c r="O16" s="295">
        <f>'Input Tab'!L6</f>
        <v>-6461587</v>
      </c>
      <c r="P16" s="295">
        <f>'Input Tab'!M6</f>
        <v>-7582420</v>
      </c>
      <c r="Q16" s="295">
        <f>'Input Tab'!N6</f>
        <v>-7533482</v>
      </c>
      <c r="R16" s="219"/>
      <c r="S16" s="97"/>
    </row>
    <row r="17" spans="1:19" ht="15.75" customHeight="1">
      <c r="A17" s="145">
        <f>A16+1</f>
        <v>11</v>
      </c>
      <c r="B17" s="51" t="s">
        <v>4</v>
      </c>
      <c r="C17" s="41"/>
      <c r="D17" s="410">
        <f t="shared" si="5"/>
        <v>29123409</v>
      </c>
      <c r="E17" s="410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1851578</v>
      </c>
      <c r="K17" s="231">
        <f>'Input Tab'!H7</f>
        <v>1612580</v>
      </c>
      <c r="L17" s="231">
        <f>'Input Tab'!I7</f>
        <v>2427227</v>
      </c>
      <c r="M17" s="231">
        <f>'Input Tab'!J7</f>
        <v>2652598</v>
      </c>
      <c r="N17" s="231">
        <f>'Input Tab'!K7</f>
        <v>2644728</v>
      </c>
      <c r="O17" s="231">
        <f>'Input Tab'!L7</f>
        <v>2706850</v>
      </c>
      <c r="P17" s="231">
        <f>'Input Tab'!M7</f>
        <v>2628470</v>
      </c>
      <c r="Q17" s="231">
        <f>'Input Tab'!N7</f>
        <v>2755227</v>
      </c>
      <c r="R17" s="219"/>
      <c r="S17" s="97"/>
    </row>
    <row r="18" spans="1:18" ht="15.75" customHeight="1">
      <c r="A18" s="145">
        <f t="shared" si="6"/>
        <v>12</v>
      </c>
      <c r="B18" s="51" t="s">
        <v>5</v>
      </c>
      <c r="C18" s="41"/>
      <c r="D18" s="410">
        <f t="shared" si="5"/>
        <v>77293436</v>
      </c>
      <c r="E18" s="410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2664694</v>
      </c>
      <c r="K18" s="231">
        <f>'Input Tab'!H8</f>
        <v>2712482</v>
      </c>
      <c r="L18" s="231">
        <f>'Input Tab'!I8</f>
        <v>5239795</v>
      </c>
      <c r="M18" s="231">
        <f>'Input Tab'!J8</f>
        <v>6788998</v>
      </c>
      <c r="N18" s="231">
        <f>'Input Tab'!K8</f>
        <v>6983768</v>
      </c>
      <c r="O18" s="231">
        <f>'Input Tab'!L8</f>
        <v>7442560</v>
      </c>
      <c r="P18" s="231">
        <f>'Input Tab'!M8</f>
        <v>7920542</v>
      </c>
      <c r="Q18" s="231">
        <f>'Input Tab'!N8</f>
        <v>8801867</v>
      </c>
      <c r="R18" s="219"/>
    </row>
    <row r="19" spans="1:18" ht="15.75" customHeight="1">
      <c r="A19" s="145">
        <f t="shared" si="6"/>
        <v>13</v>
      </c>
      <c r="B19" s="51" t="s">
        <v>139</v>
      </c>
      <c r="C19" s="41"/>
      <c r="D19" s="410">
        <f t="shared" si="5"/>
        <v>-15802274</v>
      </c>
      <c r="E19" s="410"/>
      <c r="F19" s="295">
        <f>'Input Tab'!C9</f>
        <v>-1306342</v>
      </c>
      <c r="G19" s="295">
        <f>'Input Tab'!D9</f>
        <v>-1061936</v>
      </c>
      <c r="H19" s="295">
        <f>'Input Tab'!E9</f>
        <v>-1137644</v>
      </c>
      <c r="I19" s="295">
        <f>'Input Tab'!F9</f>
        <v>-1166933</v>
      </c>
      <c r="J19" s="295">
        <f>'Input Tab'!G9</f>
        <v>-1506921</v>
      </c>
      <c r="K19" s="295">
        <f>'Input Tab'!H9</f>
        <v>-1586833</v>
      </c>
      <c r="L19" s="295">
        <f>'Input Tab'!I9</f>
        <v>-1599620</v>
      </c>
      <c r="M19" s="295">
        <f>'Input Tab'!J9</f>
        <v>-1447883</v>
      </c>
      <c r="N19" s="295">
        <f>'Input Tab'!K9</f>
        <v>-1304804</v>
      </c>
      <c r="O19" s="295">
        <f>'Input Tab'!L9</f>
        <v>-1285929</v>
      </c>
      <c r="P19" s="295">
        <f>'Input Tab'!M9</f>
        <v>-1197858</v>
      </c>
      <c r="Q19" s="295">
        <f>'Input Tab'!N9</f>
        <v>-1199571</v>
      </c>
      <c r="R19" s="219"/>
    </row>
    <row r="20" spans="1:18" ht="15.75" customHeight="1">
      <c r="A20" s="145">
        <f t="shared" si="6"/>
        <v>14</v>
      </c>
      <c r="B20" s="51" t="s">
        <v>106</v>
      </c>
      <c r="C20" s="41"/>
      <c r="D20" s="410">
        <f t="shared" si="5"/>
        <v>17237232</v>
      </c>
      <c r="E20" s="410"/>
      <c r="F20" s="296">
        <f>'Input Tab'!C10</f>
        <v>1503379</v>
      </c>
      <c r="G20" s="296">
        <f>'Input Tab'!D10</f>
        <v>1417562</v>
      </c>
      <c r="H20" s="296">
        <f>'Input Tab'!E10</f>
        <v>1557827</v>
      </c>
      <c r="I20" s="296">
        <f>'Input Tab'!F10</f>
        <v>1347286</v>
      </c>
      <c r="J20" s="296">
        <f>'Input Tab'!G10</f>
        <v>1410951</v>
      </c>
      <c r="K20" s="296">
        <f>'Input Tab'!H10</f>
        <v>1401574</v>
      </c>
      <c r="L20" s="296">
        <f>'Input Tab'!I10</f>
        <v>1411206</v>
      </c>
      <c r="M20" s="296">
        <f>'Input Tab'!J10</f>
        <v>1443939</v>
      </c>
      <c r="N20" s="296">
        <f>'Input Tab'!K10</f>
        <v>1441121</v>
      </c>
      <c r="O20" s="296">
        <f>'Input Tab'!L10</f>
        <v>1400226</v>
      </c>
      <c r="P20" s="296">
        <f>'Input Tab'!M10</f>
        <v>1464406</v>
      </c>
      <c r="Q20" s="296">
        <f>'Input Tab'!N10</f>
        <v>1437755</v>
      </c>
      <c r="R20" s="219"/>
    </row>
    <row r="21" spans="1:18" ht="15.75" customHeight="1">
      <c r="A21" s="145">
        <f t="shared" si="6"/>
        <v>15</v>
      </c>
      <c r="B21" s="51" t="s">
        <v>107</v>
      </c>
      <c r="D21" s="410">
        <f t="shared" si="5"/>
        <v>690000</v>
      </c>
      <c r="E21" s="410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57500</v>
      </c>
      <c r="K21" s="231">
        <f>'Input Tab'!H11</f>
        <v>57500</v>
      </c>
      <c r="L21" s="231">
        <f>'Input Tab'!I11</f>
        <v>57500</v>
      </c>
      <c r="M21" s="231">
        <f>'Input Tab'!J11</f>
        <v>57500</v>
      </c>
      <c r="N21" s="231">
        <f>'Input Tab'!K11</f>
        <v>57500</v>
      </c>
      <c r="O21" s="231">
        <f>'Input Tab'!L11</f>
        <v>57500</v>
      </c>
      <c r="P21" s="231">
        <f>'Input Tab'!M11</f>
        <v>57500</v>
      </c>
      <c r="Q21" s="231">
        <f>'Input Tab'!N11</f>
        <v>57500</v>
      </c>
      <c r="R21" s="219"/>
    </row>
    <row r="22" spans="1:18" ht="15.75" customHeight="1">
      <c r="A22" s="145">
        <f>A21+1</f>
        <v>16</v>
      </c>
      <c r="B22" s="51" t="s">
        <v>385</v>
      </c>
      <c r="D22" s="410">
        <f t="shared" si="5"/>
        <v>-2318040</v>
      </c>
      <c r="E22" s="410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-193170</v>
      </c>
      <c r="K22" s="231">
        <f>('Input Tab'!H12)/'Input Tab'!H13</f>
        <v>-193170</v>
      </c>
      <c r="L22" s="231">
        <f>('Input Tab'!I12)/'Input Tab'!I13</f>
        <v>-193170</v>
      </c>
      <c r="M22" s="231">
        <f>('Input Tab'!J12)/'Input Tab'!J13</f>
        <v>-193170</v>
      </c>
      <c r="N22" s="231">
        <f>('Input Tab'!K12)/'Input Tab'!K13</f>
        <v>-193170</v>
      </c>
      <c r="O22" s="231">
        <f>('Input Tab'!L12)/'Input Tab'!L13</f>
        <v>-193170</v>
      </c>
      <c r="P22" s="231">
        <f>('Input Tab'!M12)/'Input Tab'!M13</f>
        <v>-193170</v>
      </c>
      <c r="Q22" s="231">
        <f>('Input Tab'!N12)/'Input Tab'!N13</f>
        <v>-193170</v>
      </c>
      <c r="R22" s="219"/>
    </row>
    <row r="23" spans="1:18" ht="20.25" customHeight="1">
      <c r="A23" s="145">
        <f>A22+1</f>
        <v>17</v>
      </c>
      <c r="B23" s="292" t="s">
        <v>7</v>
      </c>
      <c r="C23" s="292"/>
      <c r="D23" s="405">
        <f>SUM(D15:E22)</f>
        <v>136830730</v>
      </c>
      <c r="E23" s="405"/>
      <c r="F23" s="297">
        <f>SUM(F15:F22)</f>
        <v>16183101</v>
      </c>
      <c r="G23" s="297">
        <f aca="true" t="shared" si="7" ref="G23:Q23">SUM(G15:G22)</f>
        <v>15682567</v>
      </c>
      <c r="H23" s="297">
        <f t="shared" si="7"/>
        <v>13358676</v>
      </c>
      <c r="I23" s="297">
        <f t="shared" si="7"/>
        <v>8069870</v>
      </c>
      <c r="J23" s="297">
        <f t="shared" si="7"/>
        <v>4171316</v>
      </c>
      <c r="K23" s="297">
        <f t="shared" si="7"/>
        <v>3983007</v>
      </c>
      <c r="L23" s="297">
        <f t="shared" si="7"/>
        <v>7742804</v>
      </c>
      <c r="M23" s="297">
        <f t="shared" si="7"/>
        <v>12904239</v>
      </c>
      <c r="N23" s="297">
        <f t="shared" si="7"/>
        <v>11169238</v>
      </c>
      <c r="O23" s="297">
        <f t="shared" si="7"/>
        <v>11853243</v>
      </c>
      <c r="P23" s="297">
        <f t="shared" si="7"/>
        <v>15093313</v>
      </c>
      <c r="Q23" s="297">
        <f t="shared" si="7"/>
        <v>16619356</v>
      </c>
      <c r="R23" s="219"/>
    </row>
    <row r="24" spans="1:17" ht="28.5" customHeight="1">
      <c r="A24" s="145">
        <f t="shared" si="6"/>
        <v>18</v>
      </c>
      <c r="B24" s="292" t="s">
        <v>8</v>
      </c>
      <c r="C24" s="292"/>
      <c r="D24" s="411">
        <f>SUM(F24:Q24)</f>
        <v>404629</v>
      </c>
      <c r="E24" s="411" t="str">
        <f aca="true" t="shared" si="8" ref="E24:Q24">IF(E13=0," ",E13-E23)</f>
        <v> </v>
      </c>
      <c r="F24" s="297">
        <f t="shared" si="8"/>
        <v>2141887</v>
      </c>
      <c r="G24" s="297">
        <f t="shared" si="8"/>
        <v>-3357788</v>
      </c>
      <c r="H24" s="297">
        <f t="shared" si="8"/>
        <v>-2540732</v>
      </c>
      <c r="I24" s="297">
        <f t="shared" si="8"/>
        <v>-1717208</v>
      </c>
      <c r="J24" s="297">
        <f t="shared" si="8"/>
        <v>-400304</v>
      </c>
      <c r="K24" s="297">
        <f t="shared" si="8"/>
        <v>544194</v>
      </c>
      <c r="L24" s="297">
        <f t="shared" si="8"/>
        <v>4119632</v>
      </c>
      <c r="M24" s="297">
        <f t="shared" si="8"/>
        <v>3799074</v>
      </c>
      <c r="N24" s="297">
        <f t="shared" si="8"/>
        <v>396820</v>
      </c>
      <c r="O24" s="297">
        <f t="shared" si="8"/>
        <v>1766109</v>
      </c>
      <c r="P24" s="297">
        <f t="shared" si="8"/>
        <v>-74113</v>
      </c>
      <c r="Q24" s="297">
        <f t="shared" si="8"/>
        <v>-4272942</v>
      </c>
    </row>
    <row r="25" spans="1:19" ht="26.25" customHeight="1">
      <c r="A25" s="145">
        <f t="shared" si="6"/>
        <v>19</v>
      </c>
      <c r="B25" s="186" t="s">
        <v>292</v>
      </c>
      <c r="C25" s="186"/>
      <c r="D25" s="404">
        <f>SUM(F25:Q25)</f>
        <v>-6059188</v>
      </c>
      <c r="E25" s="404"/>
      <c r="F25" s="187">
        <f>'WA Monthly'!E134</f>
        <v>-421402</v>
      </c>
      <c r="G25" s="187">
        <f>'WA Monthly'!F134</f>
        <v>-135869</v>
      </c>
      <c r="H25" s="187">
        <f>'WA Monthly'!G134</f>
        <v>-720656</v>
      </c>
      <c r="I25" s="187">
        <f>'WA Monthly'!H134</f>
        <v>-674229</v>
      </c>
      <c r="J25" s="187">
        <f>'WA Monthly'!I134</f>
        <v>-962887</v>
      </c>
      <c r="K25" s="187">
        <f>'WA Monthly'!J134</f>
        <v>-682514</v>
      </c>
      <c r="L25" s="187">
        <f>'WA Monthly'!K134</f>
        <v>-660516</v>
      </c>
      <c r="M25" s="187">
        <f>'WA Monthly'!L134</f>
        <v>-371017</v>
      </c>
      <c r="N25" s="187">
        <f>'WA Monthly'!M134</f>
        <v>-69406</v>
      </c>
      <c r="O25" s="187">
        <f>'WA Monthly'!N134</f>
        <v>-705794</v>
      </c>
      <c r="P25" s="187">
        <f>'WA Monthly'!O134</f>
        <v>-302381</v>
      </c>
      <c r="Q25" s="187">
        <f>'WA Monthly'!P134</f>
        <v>-352517</v>
      </c>
      <c r="S25" s="147"/>
    </row>
    <row r="26" spans="1:17" ht="19.5" customHeight="1">
      <c r="A26" s="145">
        <f>A25+1</f>
        <v>20</v>
      </c>
      <c r="B26" s="186" t="s">
        <v>116</v>
      </c>
      <c r="C26" s="186"/>
      <c r="D26" s="404">
        <f>SUM(F26:Q26)</f>
        <v>-5654559</v>
      </c>
      <c r="E26" s="404"/>
      <c r="F26" s="187">
        <f>+F24+F25</f>
        <v>1720485</v>
      </c>
      <c r="G26" s="187">
        <f aca="true" t="shared" si="9" ref="G26:Q26">IF(G13=0,0,+G24+G25)</f>
        <v>-3493657</v>
      </c>
      <c r="H26" s="187">
        <f t="shared" si="9"/>
        <v>-3261388</v>
      </c>
      <c r="I26" s="187">
        <f t="shared" si="9"/>
        <v>-2391437</v>
      </c>
      <c r="J26" s="187">
        <f t="shared" si="9"/>
        <v>-1363191</v>
      </c>
      <c r="K26" s="187">
        <f t="shared" si="9"/>
        <v>-138320</v>
      </c>
      <c r="L26" s="187">
        <f t="shared" si="9"/>
        <v>3459116</v>
      </c>
      <c r="M26" s="187">
        <f t="shared" si="9"/>
        <v>3428057</v>
      </c>
      <c r="N26" s="187">
        <f t="shared" si="9"/>
        <v>327414</v>
      </c>
      <c r="O26" s="187">
        <f t="shared" si="9"/>
        <v>1060315</v>
      </c>
      <c r="P26" s="187">
        <f t="shared" si="9"/>
        <v>-376494</v>
      </c>
      <c r="Q26" s="187">
        <f t="shared" si="9"/>
        <v>-4625459</v>
      </c>
    </row>
    <row r="27" spans="1:17" ht="18.75" customHeight="1">
      <c r="A27" s="145">
        <f t="shared" si="6"/>
        <v>21</v>
      </c>
      <c r="B27" s="51" t="s">
        <v>218</v>
      </c>
      <c r="D27" s="156"/>
      <c r="E27" s="156"/>
      <c r="F27" s="298">
        <f>'Input Tab'!C13</f>
        <v>0.6471</v>
      </c>
      <c r="G27" s="298">
        <f>'Input Tab'!D13</f>
        <v>0.6471</v>
      </c>
      <c r="H27" s="298">
        <f>'Input Tab'!E13</f>
        <v>0.6471</v>
      </c>
      <c r="I27" s="298">
        <f>'Input Tab'!F13</f>
        <v>0.6471</v>
      </c>
      <c r="J27" s="298">
        <f>'Input Tab'!G13</f>
        <v>0.6471</v>
      </c>
      <c r="K27" s="298">
        <f>'Input Tab'!H13</f>
        <v>0.6471</v>
      </c>
      <c r="L27" s="298">
        <f>'Input Tab'!I13</f>
        <v>0.6471</v>
      </c>
      <c r="M27" s="298">
        <f>'Input Tab'!J13</f>
        <v>0.6471</v>
      </c>
      <c r="N27" s="298">
        <f>'Input Tab'!K13</f>
        <v>0.6471</v>
      </c>
      <c r="O27" s="298">
        <f>'Input Tab'!L13</f>
        <v>0.6471</v>
      </c>
      <c r="P27" s="298">
        <f>'Input Tab'!M13</f>
        <v>0.6471</v>
      </c>
      <c r="Q27" s="298">
        <f>'Input Tab'!N13</f>
        <v>0.6471</v>
      </c>
    </row>
    <row r="28" spans="1:17" ht="20.25" customHeight="1">
      <c r="A28" s="145">
        <f t="shared" si="6"/>
        <v>22</v>
      </c>
      <c r="B28" s="51" t="s">
        <v>219</v>
      </c>
      <c r="D28" s="408">
        <f>SUM(F28:Q28)</f>
        <v>-3659064</v>
      </c>
      <c r="E28" s="408"/>
      <c r="F28" s="299">
        <f>+F26*F27</f>
        <v>1113326</v>
      </c>
      <c r="G28" s="299">
        <f>+G26*G27</f>
        <v>-2260745</v>
      </c>
      <c r="H28" s="299">
        <f>+H26*H27</f>
        <v>-2110444</v>
      </c>
      <c r="I28" s="299">
        <f aca="true" t="shared" si="10" ref="I28:Q28">+I26*I27</f>
        <v>-1547499</v>
      </c>
      <c r="J28" s="299">
        <f t="shared" si="10"/>
        <v>-882121</v>
      </c>
      <c r="K28" s="299">
        <f t="shared" si="10"/>
        <v>-89507</v>
      </c>
      <c r="L28" s="299">
        <f t="shared" si="10"/>
        <v>2238394</v>
      </c>
      <c r="M28" s="299">
        <f t="shared" si="10"/>
        <v>2218296</v>
      </c>
      <c r="N28" s="299">
        <f t="shared" si="10"/>
        <v>211870</v>
      </c>
      <c r="O28" s="299">
        <f t="shared" si="10"/>
        <v>686130</v>
      </c>
      <c r="P28" s="299">
        <f t="shared" si="10"/>
        <v>-243629</v>
      </c>
      <c r="Q28" s="299">
        <f t="shared" si="10"/>
        <v>-2993135</v>
      </c>
    </row>
    <row r="29" spans="1:17" ht="20.25" customHeight="1">
      <c r="A29" s="145">
        <f>A28+1</f>
        <v>23</v>
      </c>
      <c r="B29" s="51" t="s">
        <v>358</v>
      </c>
      <c r="D29" s="408">
        <f>SUM(F29:Q29)</f>
        <v>0</v>
      </c>
      <c r="E29" s="408"/>
      <c r="F29" s="299">
        <f>'WA Monthly'!E132</f>
        <v>0</v>
      </c>
      <c r="G29" s="299">
        <f>'WA Monthly'!F132</f>
        <v>0</v>
      </c>
      <c r="H29" s="299">
        <f>'WA Monthly'!G132</f>
        <v>0</v>
      </c>
      <c r="I29" s="299">
        <f>'WA Monthly'!H132</f>
        <v>0</v>
      </c>
      <c r="J29" s="299">
        <f>'WA Monthly'!I132</f>
        <v>0</v>
      </c>
      <c r="K29" s="299">
        <f>'WA Monthly'!J132</f>
        <v>0</v>
      </c>
      <c r="L29" s="299">
        <f>'WA Monthly'!K132</f>
        <v>0</v>
      </c>
      <c r="M29" s="299">
        <f>'WA Monthly'!L132</f>
        <v>0</v>
      </c>
      <c r="N29" s="299">
        <f>'WA Monthly'!M132</f>
        <v>0</v>
      </c>
      <c r="O29" s="299">
        <f>'WA Monthly'!N132</f>
        <v>0</v>
      </c>
      <c r="P29" s="299">
        <f>'WA Monthly'!O132</f>
        <v>0</v>
      </c>
      <c r="Q29" s="299">
        <f>'WA Monthly'!P132</f>
        <v>0</v>
      </c>
    </row>
    <row r="30" spans="1:17" ht="29.25" customHeight="1">
      <c r="A30" s="145">
        <f t="shared" si="6"/>
        <v>24</v>
      </c>
      <c r="B30" s="402" t="s">
        <v>248</v>
      </c>
      <c r="C30" s="402"/>
      <c r="D30" s="407">
        <f>SUM(F30:Q30)</f>
        <v>-2560676</v>
      </c>
      <c r="E30" s="407"/>
      <c r="F30" s="300">
        <f>'WA RRC'!B19</f>
        <v>-899103</v>
      </c>
      <c r="G30" s="300">
        <f>'WA RRC'!C19</f>
        <v>-134989</v>
      </c>
      <c r="H30" s="300">
        <f>'WA RRC'!D19</f>
        <v>66915</v>
      </c>
      <c r="I30" s="300">
        <f>'WA RRC'!E19</f>
        <v>59414</v>
      </c>
      <c r="J30" s="300">
        <f>'WA RRC'!F19</f>
        <v>223625</v>
      </c>
      <c r="K30" s="300">
        <f>'WA RRC'!G19</f>
        <v>-16866</v>
      </c>
      <c r="L30" s="300">
        <f>'WA RRC'!H19</f>
        <v>-830278</v>
      </c>
      <c r="M30" s="300">
        <f>'WA RRC'!I19</f>
        <v>-758570</v>
      </c>
      <c r="N30" s="300">
        <f>'WA RRC'!J19</f>
        <v>-202249</v>
      </c>
      <c r="O30" s="300">
        <f>'WA RRC'!K19</f>
        <v>292748</v>
      </c>
      <c r="P30" s="300">
        <f>'WA RRC'!L19</f>
        <v>-175063</v>
      </c>
      <c r="Q30" s="300">
        <f>'WA RRC'!M19</f>
        <v>-186260</v>
      </c>
    </row>
    <row r="31" spans="1:17" ht="27" customHeight="1">
      <c r="A31" s="145">
        <f t="shared" si="6"/>
        <v>25</v>
      </c>
      <c r="B31" s="406" t="s">
        <v>193</v>
      </c>
      <c r="C31" s="406"/>
      <c r="D31" s="409">
        <f>SUM(F31:Q31)</f>
        <v>-6219740</v>
      </c>
      <c r="E31" s="409"/>
      <c r="F31" s="184">
        <f>IF(F13=0," ",F28+F30+F29)</f>
        <v>214223</v>
      </c>
      <c r="G31" s="184">
        <f aca="true" t="shared" si="11" ref="G31:Q31">IF(G13=0," ",G28+G30+G29)</f>
        <v>-2395734</v>
      </c>
      <c r="H31" s="184">
        <f t="shared" si="11"/>
        <v>-2043529</v>
      </c>
      <c r="I31" s="184">
        <f t="shared" si="11"/>
        <v>-1488085</v>
      </c>
      <c r="J31" s="184">
        <f t="shared" si="11"/>
        <v>-658496</v>
      </c>
      <c r="K31" s="184">
        <f t="shared" si="11"/>
        <v>-106373</v>
      </c>
      <c r="L31" s="184">
        <f t="shared" si="11"/>
        <v>1408116</v>
      </c>
      <c r="M31" s="184">
        <f t="shared" si="11"/>
        <v>1459726</v>
      </c>
      <c r="N31" s="184">
        <f t="shared" si="11"/>
        <v>9621</v>
      </c>
      <c r="O31" s="184">
        <f t="shared" si="11"/>
        <v>978878</v>
      </c>
      <c r="P31" s="184">
        <f t="shared" si="11"/>
        <v>-418692</v>
      </c>
      <c r="Q31" s="184">
        <f t="shared" si="11"/>
        <v>-3179395</v>
      </c>
    </row>
    <row r="32" spans="1:17" ht="21" customHeight="1" hidden="1">
      <c r="A32" s="145">
        <f t="shared" si="6"/>
        <v>26</v>
      </c>
      <c r="B32" s="403" t="s">
        <v>291</v>
      </c>
      <c r="C32" s="403"/>
      <c r="D32" s="212"/>
      <c r="E32" s="212"/>
      <c r="F32" s="184"/>
      <c r="G32" s="184"/>
      <c r="H32" s="184"/>
      <c r="I32" s="184"/>
      <c r="J32" s="184"/>
      <c r="K32" s="184"/>
      <c r="L32" s="301">
        <v>0</v>
      </c>
      <c r="M32" s="184"/>
      <c r="N32" s="184"/>
      <c r="O32" s="184"/>
      <c r="P32" s="184"/>
      <c r="Q32" s="184"/>
    </row>
    <row r="33" spans="1:18" ht="28.5" customHeight="1">
      <c r="A33" s="145">
        <f t="shared" si="6"/>
        <v>27</v>
      </c>
      <c r="B33" s="292" t="s">
        <v>282</v>
      </c>
      <c r="C33" s="292"/>
      <c r="D33" s="257"/>
      <c r="E33" s="257"/>
      <c r="F33" s="155">
        <f>IF(F13=0," ",F31)</f>
        <v>214223</v>
      </c>
      <c r="G33" s="155">
        <f aca="true" t="shared" si="12" ref="G33:Q33">IF(G13=0," ",+F33+G31)</f>
        <v>-2181511</v>
      </c>
      <c r="H33" s="155">
        <f t="shared" si="12"/>
        <v>-4225040</v>
      </c>
      <c r="I33" s="155">
        <f t="shared" si="12"/>
        <v>-5713125</v>
      </c>
      <c r="J33" s="155">
        <f t="shared" si="12"/>
        <v>-6371621</v>
      </c>
      <c r="K33" s="155">
        <f t="shared" si="12"/>
        <v>-6477994</v>
      </c>
      <c r="L33" s="155">
        <f t="shared" si="12"/>
        <v>-5069878</v>
      </c>
      <c r="M33" s="155">
        <f t="shared" si="12"/>
        <v>-3610152</v>
      </c>
      <c r="N33" s="155">
        <f t="shared" si="12"/>
        <v>-3600531</v>
      </c>
      <c r="O33" s="155">
        <f t="shared" si="12"/>
        <v>-2621653</v>
      </c>
      <c r="P33" s="155">
        <f t="shared" si="12"/>
        <v>-3040345</v>
      </c>
      <c r="Q33" s="155">
        <f t="shared" si="12"/>
        <v>-6219740</v>
      </c>
      <c r="R33" s="147"/>
    </row>
    <row r="34" spans="1:19" ht="30.75" customHeight="1" outlineLevel="1">
      <c r="A34" s="51" t="s">
        <v>102</v>
      </c>
      <c r="B34" s="302">
        <v>10000000</v>
      </c>
      <c r="C34" s="303" t="s">
        <v>103</v>
      </c>
      <c r="D34" s="258">
        <v>0.9</v>
      </c>
      <c r="E34" s="258">
        <v>0.9</v>
      </c>
      <c r="F34" s="156">
        <f aca="true" t="shared" si="13" ref="F34:Q34">IF(F13=0," ",IF(ABS(F$33)&lt;$B34,0,(ABS(F$33)-$B34)*SIGN(F$33)))</f>
        <v>0</v>
      </c>
      <c r="G34" s="156">
        <f t="shared" si="13"/>
        <v>0</v>
      </c>
      <c r="H34" s="156">
        <f t="shared" si="13"/>
        <v>0</v>
      </c>
      <c r="I34" s="156">
        <f t="shared" si="13"/>
        <v>0</v>
      </c>
      <c r="J34" s="156">
        <f t="shared" si="13"/>
        <v>0</v>
      </c>
      <c r="K34" s="156">
        <f t="shared" si="13"/>
        <v>0</v>
      </c>
      <c r="L34" s="156">
        <f t="shared" si="13"/>
        <v>0</v>
      </c>
      <c r="M34" s="156">
        <f t="shared" si="13"/>
        <v>0</v>
      </c>
      <c r="N34" s="156">
        <f t="shared" si="13"/>
        <v>0</v>
      </c>
      <c r="O34" s="156">
        <f t="shared" si="13"/>
        <v>0</v>
      </c>
      <c r="P34" s="156">
        <f t="shared" si="13"/>
        <v>0</v>
      </c>
      <c r="Q34" s="156">
        <f t="shared" si="13"/>
        <v>0</v>
      </c>
      <c r="R34" s="148"/>
      <c r="S34" s="304"/>
    </row>
    <row r="35" spans="1:19" ht="19.5" customHeight="1" outlineLevel="1">
      <c r="A35" s="51" t="s">
        <v>102</v>
      </c>
      <c r="B35" s="302">
        <v>4000000</v>
      </c>
      <c r="C35" s="303" t="str">
        <f>"to "&amp;TEXT(B34,"$#,##0,,")&amp;"M"</f>
        <v>to $10M</v>
      </c>
      <c r="D35" s="258">
        <v>0.5</v>
      </c>
      <c r="E35" s="258">
        <v>0.75</v>
      </c>
      <c r="F35" s="156">
        <f aca="true" t="shared" si="14" ref="F35:Q35">IF(F13=0," ",IF(ABS(F$33)&lt;$B35,0,MIN($B$34-$B$35,ABS(F$33)-$B35)*SIGN(F$33)))</f>
        <v>0</v>
      </c>
      <c r="G35" s="156">
        <f t="shared" si="14"/>
        <v>0</v>
      </c>
      <c r="H35" s="156">
        <f t="shared" si="14"/>
        <v>-225040</v>
      </c>
      <c r="I35" s="156">
        <f t="shared" si="14"/>
        <v>-1713125</v>
      </c>
      <c r="J35" s="156">
        <f t="shared" si="14"/>
        <v>-2371621</v>
      </c>
      <c r="K35" s="156">
        <f t="shared" si="14"/>
        <v>-2477994</v>
      </c>
      <c r="L35" s="156">
        <f t="shared" si="14"/>
        <v>-1069878</v>
      </c>
      <c r="M35" s="156">
        <f t="shared" si="14"/>
        <v>0</v>
      </c>
      <c r="N35" s="156">
        <f t="shared" si="14"/>
        <v>0</v>
      </c>
      <c r="O35" s="156">
        <f t="shared" si="14"/>
        <v>0</v>
      </c>
      <c r="P35" s="156">
        <f t="shared" si="14"/>
        <v>0</v>
      </c>
      <c r="Q35" s="156">
        <f t="shared" si="14"/>
        <v>-2219740</v>
      </c>
      <c r="R35" s="148"/>
      <c r="S35" s="304"/>
    </row>
    <row r="36" spans="1:18" ht="21.75" customHeight="1" outlineLevel="1">
      <c r="A36" s="51" t="s">
        <v>102</v>
      </c>
      <c r="B36" s="302">
        <v>0</v>
      </c>
      <c r="C36" s="303" t="str">
        <f>"to "&amp;TEXT(B35,"$#,##0,,")&amp;"M"</f>
        <v>to $4M</v>
      </c>
      <c r="D36" s="258">
        <v>0</v>
      </c>
      <c r="E36" s="258">
        <v>0</v>
      </c>
      <c r="F36" s="156">
        <f aca="true" t="shared" si="15" ref="F36:Q36">IF(F13=0," ",IF(ABS(F$33)&lt;$B36,0,MIN($B$35-$B$36,ABS(F$33)-$B36)*SIGN(F$33)))</f>
        <v>214223</v>
      </c>
      <c r="G36" s="156">
        <f t="shared" si="15"/>
        <v>-2181511</v>
      </c>
      <c r="H36" s="156">
        <f t="shared" si="15"/>
        <v>-4000000</v>
      </c>
      <c r="I36" s="156">
        <f t="shared" si="15"/>
        <v>-4000000</v>
      </c>
      <c r="J36" s="156">
        <f t="shared" si="15"/>
        <v>-4000000</v>
      </c>
      <c r="K36" s="156">
        <f t="shared" si="15"/>
        <v>-4000000</v>
      </c>
      <c r="L36" s="156">
        <f t="shared" si="15"/>
        <v>-4000000</v>
      </c>
      <c r="M36" s="156">
        <f t="shared" si="15"/>
        <v>-3610152</v>
      </c>
      <c r="N36" s="156">
        <f t="shared" si="15"/>
        <v>-3600531</v>
      </c>
      <c r="O36" s="156">
        <f t="shared" si="15"/>
        <v>-2621653</v>
      </c>
      <c r="P36" s="156">
        <f t="shared" si="15"/>
        <v>-3040345</v>
      </c>
      <c r="Q36" s="156">
        <f t="shared" si="15"/>
        <v>-4000000</v>
      </c>
      <c r="R36" s="148"/>
    </row>
    <row r="37" spans="1:18" ht="15.75" customHeight="1" outlineLevel="1">
      <c r="A37" s="51"/>
      <c r="B37" s="305"/>
      <c r="C37" s="51" t="s">
        <v>104</v>
      </c>
      <c r="D37" s="259"/>
      <c r="E37" s="259"/>
      <c r="F37" s="260">
        <f aca="true" t="shared" si="16" ref="F37:Q37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>
        <f t="shared" si="16"/>
        <v>0</v>
      </c>
      <c r="O37" s="260">
        <f t="shared" si="16"/>
        <v>0</v>
      </c>
      <c r="P37" s="260">
        <f t="shared" si="16"/>
        <v>0</v>
      </c>
      <c r="Q37" s="260">
        <f t="shared" si="16"/>
        <v>0</v>
      </c>
      <c r="R37" s="150"/>
    </row>
    <row r="38" spans="1:18" ht="23.25" customHeight="1">
      <c r="A38" s="51" t="s">
        <v>249</v>
      </c>
      <c r="D38" s="261"/>
      <c r="E38" s="261"/>
      <c r="F38" s="156">
        <f aca="true" t="shared" si="17" ref="F38:Q38">IF(F13=0," ",SUMPRODUCT(IF(F33&gt;0,$D$34:$D$36,$E$34:$E$36),F34:F36))</f>
        <v>0</v>
      </c>
      <c r="G38" s="156">
        <f t="shared" si="17"/>
        <v>0</v>
      </c>
      <c r="H38" s="156">
        <f t="shared" si="17"/>
        <v>-168780</v>
      </c>
      <c r="I38" s="156">
        <f t="shared" si="17"/>
        <v>-1284844</v>
      </c>
      <c r="J38" s="156">
        <f t="shared" si="17"/>
        <v>-1778716</v>
      </c>
      <c r="K38" s="156">
        <f t="shared" si="17"/>
        <v>-1858496</v>
      </c>
      <c r="L38" s="156">
        <f t="shared" si="17"/>
        <v>-802409</v>
      </c>
      <c r="M38" s="156">
        <f t="shared" si="17"/>
        <v>0</v>
      </c>
      <c r="N38" s="156">
        <f t="shared" si="17"/>
        <v>0</v>
      </c>
      <c r="O38" s="156">
        <f t="shared" si="17"/>
        <v>0</v>
      </c>
      <c r="P38" s="156">
        <f t="shared" si="17"/>
        <v>0</v>
      </c>
      <c r="Q38" s="156">
        <f t="shared" si="17"/>
        <v>-1664805</v>
      </c>
      <c r="R38" s="148" t="s">
        <v>250</v>
      </c>
    </row>
    <row r="39" spans="1:18" ht="20.25" customHeight="1">
      <c r="A39" s="51" t="s">
        <v>359</v>
      </c>
      <c r="D39" s="262"/>
      <c r="E39" s="262"/>
      <c r="F39" s="156">
        <f>IF(F13=0," ",F38-D38)</f>
        <v>0</v>
      </c>
      <c r="G39" s="156">
        <f aca="true" t="shared" si="18" ref="G39:Q39">IF(G13=0," ",G38-F38)</f>
        <v>0</v>
      </c>
      <c r="H39" s="156">
        <f t="shared" si="18"/>
        <v>-168780</v>
      </c>
      <c r="I39" s="156">
        <f t="shared" si="18"/>
        <v>-1116064</v>
      </c>
      <c r="J39" s="156">
        <f t="shared" si="18"/>
        <v>-493872</v>
      </c>
      <c r="K39" s="156">
        <f t="shared" si="18"/>
        <v>-79780</v>
      </c>
      <c r="L39" s="156">
        <f t="shared" si="18"/>
        <v>1056087</v>
      </c>
      <c r="M39" s="156">
        <f t="shared" si="18"/>
        <v>802409</v>
      </c>
      <c r="N39" s="156">
        <f t="shared" si="18"/>
        <v>0</v>
      </c>
      <c r="O39" s="156">
        <f t="shared" si="18"/>
        <v>0</v>
      </c>
      <c r="P39" s="156">
        <f t="shared" si="18"/>
        <v>0</v>
      </c>
      <c r="Q39" s="156">
        <f t="shared" si="18"/>
        <v>-1664805</v>
      </c>
      <c r="R39" s="150"/>
    </row>
    <row r="40" spans="1:18" ht="24.75" customHeight="1">
      <c r="A40" s="403" t="s">
        <v>252</v>
      </c>
      <c r="B40" s="403"/>
      <c r="C40" s="403"/>
      <c r="D40" s="409">
        <f>SUM(F40:Q40)</f>
        <v>1664805</v>
      </c>
      <c r="E40" s="409"/>
      <c r="F40" s="170">
        <f aca="true" t="shared" si="19" ref="F40:Q40">IF(F13=0," ",-F39)</f>
        <v>0</v>
      </c>
      <c r="G40" s="170">
        <f t="shared" si="19"/>
        <v>0</v>
      </c>
      <c r="H40" s="170">
        <f t="shared" si="19"/>
        <v>168780</v>
      </c>
      <c r="I40" s="170">
        <f t="shared" si="19"/>
        <v>1116064</v>
      </c>
      <c r="J40" s="170">
        <f t="shared" si="19"/>
        <v>493872</v>
      </c>
      <c r="K40" s="170">
        <f t="shared" si="19"/>
        <v>79780</v>
      </c>
      <c r="L40" s="170">
        <f t="shared" si="19"/>
        <v>-1056087</v>
      </c>
      <c r="M40" s="170">
        <f t="shared" si="19"/>
        <v>-802409</v>
      </c>
      <c r="N40" s="170">
        <f t="shared" si="19"/>
        <v>0</v>
      </c>
      <c r="O40" s="170">
        <f t="shared" si="19"/>
        <v>0</v>
      </c>
      <c r="P40" s="170">
        <f t="shared" si="19"/>
        <v>0</v>
      </c>
      <c r="Q40" s="170">
        <f t="shared" si="19"/>
        <v>1664805</v>
      </c>
      <c r="R40" s="148"/>
    </row>
    <row r="41" spans="1:18" ht="26.25" customHeight="1" thickBot="1">
      <c r="A41" s="401" t="s">
        <v>108</v>
      </c>
      <c r="B41" s="401"/>
      <c r="C41" s="401"/>
      <c r="D41" s="263"/>
      <c r="E41" s="263"/>
      <c r="F41" s="172">
        <f aca="true" t="shared" si="20" ref="F41:Q41">IF(F13=0," ",F33-F38)</f>
        <v>214223</v>
      </c>
      <c r="G41" s="172">
        <f t="shared" si="20"/>
        <v>-2181511</v>
      </c>
      <c r="H41" s="172">
        <f t="shared" si="20"/>
        <v>-4056260</v>
      </c>
      <c r="I41" s="172">
        <f t="shared" si="20"/>
        <v>-4428281</v>
      </c>
      <c r="J41" s="172">
        <f t="shared" si="20"/>
        <v>-4592905</v>
      </c>
      <c r="K41" s="172">
        <f t="shared" si="20"/>
        <v>-4619498</v>
      </c>
      <c r="L41" s="172">
        <f t="shared" si="20"/>
        <v>-4267469</v>
      </c>
      <c r="M41" s="172">
        <f t="shared" si="20"/>
        <v>-3610152</v>
      </c>
      <c r="N41" s="172">
        <f t="shared" si="20"/>
        <v>-3600531</v>
      </c>
      <c r="O41" s="172">
        <f t="shared" si="20"/>
        <v>-2621653</v>
      </c>
      <c r="P41" s="172">
        <f t="shared" si="20"/>
        <v>-3040345</v>
      </c>
      <c r="Q41" s="172">
        <f t="shared" si="20"/>
        <v>-4554935</v>
      </c>
      <c r="R41" s="51" t="s">
        <v>137</v>
      </c>
    </row>
    <row r="42" ht="13.5" thickTop="1">
      <c r="A42" s="306"/>
    </row>
    <row r="43" spans="5:18" ht="12.75">
      <c r="E43" s="307"/>
      <c r="F43" s="117"/>
      <c r="O43" s="400" t="s">
        <v>397</v>
      </c>
      <c r="Q43" s="156"/>
      <c r="R43" s="147"/>
    </row>
    <row r="44" spans="5:18" ht="12.75">
      <c r="E44" s="237"/>
      <c r="F44" s="71"/>
      <c r="H44" s="308"/>
      <c r="I44" s="308"/>
      <c r="J44" s="308"/>
      <c r="K44" s="308"/>
      <c r="O44" s="51" t="s">
        <v>398</v>
      </c>
      <c r="Q44" s="199"/>
      <c r="R44" s="147"/>
    </row>
    <row r="45" spans="5:18" ht="12.75">
      <c r="E45" s="307"/>
      <c r="F45" s="309"/>
      <c r="H45" s="308"/>
      <c r="I45" s="308"/>
      <c r="J45" s="308"/>
      <c r="K45" s="308"/>
      <c r="O45" s="51" t="s">
        <v>399</v>
      </c>
      <c r="Q45" s="199"/>
      <c r="R45" s="147"/>
    </row>
    <row r="46" spans="8:11" ht="12.75">
      <c r="H46" s="308"/>
      <c r="I46" s="308"/>
      <c r="J46" s="308"/>
      <c r="K46" s="308"/>
    </row>
    <row r="47" spans="6:11" ht="12.75">
      <c r="F47" s="310"/>
      <c r="H47" s="308"/>
      <c r="I47" s="308"/>
      <c r="J47" s="308"/>
      <c r="K47" s="308"/>
    </row>
    <row r="48" spans="6:17" ht="12.75">
      <c r="F48" s="310"/>
      <c r="H48" s="308"/>
      <c r="I48" s="308"/>
      <c r="J48" s="308"/>
      <c r="K48" s="308"/>
      <c r="Q48" s="147"/>
    </row>
    <row r="49" spans="8:11" ht="12.75">
      <c r="H49" s="308"/>
      <c r="I49" s="308"/>
      <c r="J49" s="308"/>
      <c r="K49" s="308"/>
    </row>
    <row r="50" spans="8:11" ht="12.75">
      <c r="H50" s="308"/>
      <c r="I50" s="308"/>
      <c r="J50" s="308"/>
      <c r="K50" s="308"/>
    </row>
    <row r="51" spans="8:11" ht="12.75">
      <c r="H51" s="308"/>
      <c r="I51" s="308"/>
      <c r="J51" s="308"/>
      <c r="K51" s="30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7" r:id="rId1"/>
  <headerFooter>
    <oddFooter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269" customWidth="1"/>
    <col min="2" max="2" width="46.140625" style="71" customWidth="1"/>
    <col min="3" max="3" width="31.421875" style="71" hidden="1" customWidth="1" outlineLevel="1"/>
    <col min="4" max="4" width="13.421875" style="71" bestFit="1" customWidth="1" collapsed="1"/>
    <col min="5" max="5" width="13.7109375" style="71" customWidth="1"/>
    <col min="6" max="6" width="12.7109375" style="71" customWidth="1"/>
    <col min="7" max="7" width="12.421875" style="71" customWidth="1"/>
    <col min="8" max="8" width="12.57421875" style="71" customWidth="1"/>
    <col min="9" max="9" width="12.140625" style="71" customWidth="1"/>
    <col min="10" max="10" width="12.57421875" style="71" customWidth="1"/>
    <col min="11" max="16" width="12.7109375" style="71" customWidth="1"/>
    <col min="17" max="17" width="2.7109375" style="73" hidden="1" customWidth="1" outlineLevel="1"/>
    <col min="18" max="18" width="14.28125" style="71" hidden="1" customWidth="1" outlineLevel="1"/>
    <col min="19" max="19" width="11.421875" style="71" customWidth="1" collapsed="1"/>
    <col min="20" max="20" width="13.28125" style="71" bestFit="1" customWidth="1"/>
    <col min="21" max="16384" width="11.421875" style="71" customWidth="1"/>
  </cols>
  <sheetData>
    <row r="1" spans="1:18" ht="12.75">
      <c r="A1" s="420" t="s">
        <v>220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ht="12.75">
      <c r="A2" s="420" t="s">
        <v>233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ht="38.25" customHeight="1">
      <c r="A3" s="71"/>
    </row>
    <row r="4" spans="1:16" ht="12.75">
      <c r="A4" s="255" t="s">
        <v>0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8" ht="12.75">
      <c r="A5" s="348" t="s">
        <v>1</v>
      </c>
      <c r="C5" s="71" t="s">
        <v>238</v>
      </c>
      <c r="D5" s="290" t="s">
        <v>10</v>
      </c>
      <c r="E5" s="291">
        <v>42766</v>
      </c>
      <c r="F5" s="291">
        <f aca="true" t="shared" si="0" ref="F5:P5">EOMONTH(E5,1)</f>
        <v>42794</v>
      </c>
      <c r="G5" s="291">
        <f t="shared" si="0"/>
        <v>42825</v>
      </c>
      <c r="H5" s="291">
        <f t="shared" si="0"/>
        <v>42855</v>
      </c>
      <c r="I5" s="291">
        <f t="shared" si="0"/>
        <v>42886</v>
      </c>
      <c r="J5" s="291">
        <f t="shared" si="0"/>
        <v>42916</v>
      </c>
      <c r="K5" s="291">
        <f t="shared" si="0"/>
        <v>42947</v>
      </c>
      <c r="L5" s="291">
        <f t="shared" si="0"/>
        <v>42978</v>
      </c>
      <c r="M5" s="291">
        <f t="shared" si="0"/>
        <v>43008</v>
      </c>
      <c r="N5" s="291">
        <f t="shared" si="0"/>
        <v>43039</v>
      </c>
      <c r="O5" s="291">
        <f t="shared" si="0"/>
        <v>43069</v>
      </c>
      <c r="P5" s="291">
        <f t="shared" si="0"/>
        <v>43100</v>
      </c>
      <c r="Q5" s="349"/>
      <c r="R5" s="291" t="s">
        <v>214</v>
      </c>
    </row>
    <row r="6" spans="1:3" ht="12.75">
      <c r="A6" s="255"/>
      <c r="B6" s="239" t="s">
        <v>14</v>
      </c>
      <c r="C6" s="245"/>
    </row>
    <row r="7" spans="1:18" ht="12.75">
      <c r="A7" s="255">
        <f>A6+1</f>
        <v>1</v>
      </c>
      <c r="B7" s="52" t="s">
        <v>251</v>
      </c>
      <c r="C7" s="185"/>
      <c r="D7" s="173">
        <f>SUM(E7:P7)</f>
        <v>33997122</v>
      </c>
      <c r="E7" s="173">
        <f aca="true" t="shared" si="1" ref="E7:P7">E23-SUM(E8:E22)</f>
        <v>4328512</v>
      </c>
      <c r="F7" s="173">
        <f t="shared" si="1"/>
        <v>4944653</v>
      </c>
      <c r="G7" s="173">
        <f t="shared" si="1"/>
        <v>5439702</v>
      </c>
      <c r="H7" s="173">
        <f t="shared" si="1"/>
        <v>1197677</v>
      </c>
      <c r="I7" s="173">
        <f t="shared" si="1"/>
        <v>1258064</v>
      </c>
      <c r="J7" s="173">
        <f t="shared" si="1"/>
        <v>1256286</v>
      </c>
      <c r="K7" s="173">
        <f t="shared" si="1"/>
        <v>1387471</v>
      </c>
      <c r="L7" s="173">
        <f t="shared" si="1"/>
        <v>1276154</v>
      </c>
      <c r="M7" s="173">
        <f t="shared" si="1"/>
        <v>2480150</v>
      </c>
      <c r="N7" s="173">
        <f t="shared" si="1"/>
        <v>3697423</v>
      </c>
      <c r="O7" s="173">
        <f t="shared" si="1"/>
        <v>2860413</v>
      </c>
      <c r="P7" s="173">
        <f t="shared" si="1"/>
        <v>3870617</v>
      </c>
      <c r="Q7" s="220"/>
      <c r="R7" s="350">
        <f aca="true" t="shared" si="2" ref="R7:R22">SUM(E7:P7)</f>
        <v>33997122</v>
      </c>
    </row>
    <row r="8" spans="1:18" ht="12.75">
      <c r="A8" s="255">
        <v>2</v>
      </c>
      <c r="B8" s="351" t="s">
        <v>258</v>
      </c>
      <c r="C8" s="352">
        <v>100096</v>
      </c>
      <c r="D8" s="173">
        <f aca="true" t="shared" si="3" ref="D8:D22">SUM(E8:P8)</f>
        <v>13873092</v>
      </c>
      <c r="E8" s="353">
        <f>'Input Tab'!C19</f>
        <v>1156091</v>
      </c>
      <c r="F8" s="353">
        <f>'Input Tab'!D19</f>
        <v>1156091</v>
      </c>
      <c r="G8" s="353">
        <f>'Input Tab'!E19</f>
        <v>1156091</v>
      </c>
      <c r="H8" s="353">
        <f>'Input Tab'!F19</f>
        <v>1156091</v>
      </c>
      <c r="I8" s="353">
        <f>'Input Tab'!G19</f>
        <v>1156091</v>
      </c>
      <c r="J8" s="353">
        <f>'Input Tab'!H19</f>
        <v>1156091</v>
      </c>
      <c r="K8" s="353">
        <f>'Input Tab'!I19</f>
        <v>1156091</v>
      </c>
      <c r="L8" s="353">
        <f>'Input Tab'!J19</f>
        <v>1156091</v>
      </c>
      <c r="M8" s="353">
        <f>'Input Tab'!K19</f>
        <v>1156091</v>
      </c>
      <c r="N8" s="353">
        <f>'Input Tab'!L19</f>
        <v>1156091</v>
      </c>
      <c r="O8" s="353">
        <f>'Input Tab'!M19</f>
        <v>1156091</v>
      </c>
      <c r="P8" s="353">
        <f>'Input Tab'!N19</f>
        <v>1156091</v>
      </c>
      <c r="Q8" s="220"/>
      <c r="R8" s="350">
        <f t="shared" si="2"/>
        <v>13873092</v>
      </c>
    </row>
    <row r="9" spans="1:18" ht="12.75">
      <c r="A9" s="255">
        <v>3</v>
      </c>
      <c r="B9" s="351" t="s">
        <v>259</v>
      </c>
      <c r="C9" s="352">
        <v>107240</v>
      </c>
      <c r="D9" s="173">
        <f t="shared" si="3"/>
        <v>974371</v>
      </c>
      <c r="E9" s="353">
        <f>'Input Tab'!C20</f>
        <v>27196</v>
      </c>
      <c r="F9" s="353">
        <f>'Input Tab'!D20</f>
        <v>68413</v>
      </c>
      <c r="G9" s="353">
        <f>'Input Tab'!E20</f>
        <v>131499</v>
      </c>
      <c r="H9" s="353">
        <f>'Input Tab'!F20</f>
        <v>171132</v>
      </c>
      <c r="I9" s="353">
        <f>'Input Tab'!G20</f>
        <v>173723</v>
      </c>
      <c r="J9" s="353">
        <f>'Input Tab'!H20</f>
        <v>176961</v>
      </c>
      <c r="K9" s="353">
        <f>'Input Tab'!I20</f>
        <v>86835</v>
      </c>
      <c r="L9" s="353">
        <f>'Input Tab'!J20</f>
        <v>45787</v>
      </c>
      <c r="M9" s="353">
        <f>'Input Tab'!K20</f>
        <v>49910</v>
      </c>
      <c r="N9" s="353">
        <f>'Input Tab'!L20</f>
        <v>10749</v>
      </c>
      <c r="O9" s="353">
        <f>'Input Tab'!M20</f>
        <v>24129</v>
      </c>
      <c r="P9" s="353">
        <f>'Input Tab'!N20</f>
        <v>8037</v>
      </c>
      <c r="Q9" s="220"/>
      <c r="R9" s="350">
        <f>SUM(E9:P9)</f>
        <v>974371</v>
      </c>
    </row>
    <row r="10" spans="1:18" ht="12.75">
      <c r="A10" s="255">
        <v>4</v>
      </c>
      <c r="B10" s="52" t="s">
        <v>262</v>
      </c>
      <c r="C10" s="185">
        <v>100131</v>
      </c>
      <c r="D10" s="173">
        <f t="shared" si="3"/>
        <v>1625112</v>
      </c>
      <c r="E10" s="353">
        <f>'Input Tab'!C21</f>
        <v>157342</v>
      </c>
      <c r="F10" s="353">
        <f>'Input Tab'!D21</f>
        <v>157342</v>
      </c>
      <c r="G10" s="353">
        <f>'Input Tab'!E21</f>
        <v>157342</v>
      </c>
      <c r="H10" s="353">
        <f>'Input Tab'!F21</f>
        <v>157342</v>
      </c>
      <c r="I10" s="353">
        <f>'Input Tab'!G21</f>
        <v>157342</v>
      </c>
      <c r="J10" s="353">
        <f>'Input Tab'!H21</f>
        <v>157342</v>
      </c>
      <c r="K10" s="353">
        <f>'Input Tab'!I21</f>
        <v>157342</v>
      </c>
      <c r="L10" s="353">
        <f>'Input Tab'!J21</f>
        <v>157342</v>
      </c>
      <c r="M10" s="353">
        <f>'Input Tab'!K21</f>
        <v>153740</v>
      </c>
      <c r="N10" s="353">
        <f>'Input Tab'!L21</f>
        <v>153740</v>
      </c>
      <c r="O10" s="353">
        <f>'Input Tab'!M21</f>
        <v>153740</v>
      </c>
      <c r="P10" s="353">
        <f>'Input Tab'!N21</f>
        <v>-94844</v>
      </c>
      <c r="Q10" s="220"/>
      <c r="R10" s="350">
        <f t="shared" si="2"/>
        <v>1625112</v>
      </c>
    </row>
    <row r="11" spans="1:18" ht="13.5" customHeight="1">
      <c r="A11" s="255">
        <v>5</v>
      </c>
      <c r="B11" s="52" t="s">
        <v>260</v>
      </c>
      <c r="C11" s="185">
        <v>100085</v>
      </c>
      <c r="D11" s="173">
        <f t="shared" si="3"/>
        <v>7274220</v>
      </c>
      <c r="E11" s="354">
        <f>'Input Tab'!C22</f>
        <v>606185</v>
      </c>
      <c r="F11" s="354">
        <f>'Input Tab'!D22</f>
        <v>606185</v>
      </c>
      <c r="G11" s="354">
        <f>'Input Tab'!E22</f>
        <v>606185</v>
      </c>
      <c r="H11" s="354">
        <f>'Input Tab'!F22</f>
        <v>606185</v>
      </c>
      <c r="I11" s="354">
        <f>'Input Tab'!G22</f>
        <v>606185</v>
      </c>
      <c r="J11" s="354">
        <f>'Input Tab'!H22</f>
        <v>606185</v>
      </c>
      <c r="K11" s="354">
        <f>'Input Tab'!I22</f>
        <v>606185</v>
      </c>
      <c r="L11" s="354">
        <f>'Input Tab'!J22</f>
        <v>606185</v>
      </c>
      <c r="M11" s="354">
        <f>'Input Tab'!K22</f>
        <v>606185</v>
      </c>
      <c r="N11" s="354">
        <f>'Input Tab'!L22</f>
        <v>606185</v>
      </c>
      <c r="O11" s="354">
        <f>'Input Tab'!M22</f>
        <v>606185</v>
      </c>
      <c r="P11" s="354">
        <f>'Input Tab'!N22</f>
        <v>606185</v>
      </c>
      <c r="Q11" s="220"/>
      <c r="R11" s="350">
        <f t="shared" si="2"/>
        <v>7274220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3">
        <f t="shared" si="3"/>
        <v>16843635</v>
      </c>
      <c r="E12" s="354">
        <f>'Input Tab'!C23</f>
        <v>3294990</v>
      </c>
      <c r="F12" s="354">
        <f>'Input Tab'!D23</f>
        <v>2977347</v>
      </c>
      <c r="G12" s="354">
        <f>'Input Tab'!E23</f>
        <v>1626728</v>
      </c>
      <c r="H12" s="354">
        <f>'Input Tab'!F23</f>
        <v>1575507</v>
      </c>
      <c r="I12" s="354">
        <f>'Input Tab'!G23</f>
        <v>0</v>
      </c>
      <c r="J12" s="354">
        <f>'Input Tab'!H23</f>
        <v>0</v>
      </c>
      <c r="K12" s="354">
        <f>'Input Tab'!I23</f>
        <v>0</v>
      </c>
      <c r="L12" s="354">
        <f>'Input Tab'!J23</f>
        <v>0</v>
      </c>
      <c r="M12" s="353">
        <f>'Input Tab'!K23</f>
        <v>0</v>
      </c>
      <c r="N12" s="353">
        <f>'Input Tab'!L23</f>
        <v>0</v>
      </c>
      <c r="O12" s="354">
        <f>'Input Tab'!M23</f>
        <v>3624396</v>
      </c>
      <c r="P12" s="354">
        <f>'Input Tab'!N23</f>
        <v>3744667</v>
      </c>
      <c r="Q12" s="220"/>
      <c r="R12" s="350">
        <f t="shared" si="2"/>
        <v>16843635</v>
      </c>
    </row>
    <row r="13" spans="1:18" ht="12.75">
      <c r="A13" s="255">
        <f aca="true" t="shared" si="4" ref="A13:A23">A12+1</f>
        <v>7</v>
      </c>
      <c r="B13" s="71" t="s">
        <v>255</v>
      </c>
      <c r="C13" s="269">
        <v>100137</v>
      </c>
      <c r="D13" s="173">
        <f t="shared" si="3"/>
        <v>8621</v>
      </c>
      <c r="E13" s="354">
        <f>'Input Tab'!C24</f>
        <v>649</v>
      </c>
      <c r="F13" s="354">
        <f>'Input Tab'!D24</f>
        <v>670</v>
      </c>
      <c r="G13" s="354">
        <f>'Input Tab'!E24</f>
        <v>1792</v>
      </c>
      <c r="H13" s="354">
        <f>'Input Tab'!F24</f>
        <v>600</v>
      </c>
      <c r="I13" s="354">
        <f>'Input Tab'!G24</f>
        <v>562</v>
      </c>
      <c r="J13" s="354">
        <f>'Input Tab'!H24</f>
        <v>509</v>
      </c>
      <c r="K13" s="354">
        <f>'Input Tab'!I24</f>
        <v>488</v>
      </c>
      <c r="L13" s="354">
        <f>'Input Tab'!J24</f>
        <v>633</v>
      </c>
      <c r="M13" s="354">
        <f>'Input Tab'!K24</f>
        <v>591</v>
      </c>
      <c r="N13" s="354">
        <f>'Input Tab'!L24</f>
        <v>538</v>
      </c>
      <c r="O13" s="354">
        <f>'Input Tab'!M24</f>
        <v>625</v>
      </c>
      <c r="P13" s="354">
        <f>'Input Tab'!N24</f>
        <v>964</v>
      </c>
      <c r="Q13" s="220"/>
      <c r="R13" s="350">
        <f t="shared" si="2"/>
        <v>8621</v>
      </c>
    </row>
    <row r="14" spans="1:18" ht="12.75">
      <c r="A14" s="255">
        <f t="shared" si="4"/>
        <v>8</v>
      </c>
      <c r="B14" s="71" t="s">
        <v>18</v>
      </c>
      <c r="C14" s="185" t="s">
        <v>355</v>
      </c>
      <c r="D14" s="173">
        <f t="shared" si="3"/>
        <v>1422450</v>
      </c>
      <c r="E14" s="354">
        <f>'Input Tab'!C25</f>
        <v>99602</v>
      </c>
      <c r="F14" s="354">
        <f>'Input Tab'!D25</f>
        <v>151083</v>
      </c>
      <c r="G14" s="354">
        <f>'Input Tab'!E25</f>
        <v>134036</v>
      </c>
      <c r="H14" s="354">
        <f>'Input Tab'!F25</f>
        <v>148798</v>
      </c>
      <c r="I14" s="354">
        <f>'Input Tab'!G25</f>
        <v>124595</v>
      </c>
      <c r="J14" s="354">
        <f>'Input Tab'!H25</f>
        <v>119883</v>
      </c>
      <c r="K14" s="354">
        <f>'Input Tab'!I25</f>
        <v>137282</v>
      </c>
      <c r="L14" s="354">
        <f>'Input Tab'!J25</f>
        <v>85830</v>
      </c>
      <c r="M14" s="354">
        <f>'Input Tab'!K25</f>
        <v>80376</v>
      </c>
      <c r="N14" s="354">
        <f>'Input Tab'!L25</f>
        <v>93630</v>
      </c>
      <c r="O14" s="354">
        <f>'Input Tab'!M25</f>
        <v>120634</v>
      </c>
      <c r="P14" s="354">
        <f>'Input Tab'!N25</f>
        <v>126701</v>
      </c>
      <c r="Q14" s="220"/>
      <c r="R14" s="350">
        <f t="shared" si="2"/>
        <v>1422450</v>
      </c>
    </row>
    <row r="15" spans="1:18" ht="12.75">
      <c r="A15" s="255">
        <f t="shared" si="4"/>
        <v>9</v>
      </c>
      <c r="B15" s="52" t="s">
        <v>118</v>
      </c>
      <c r="C15" s="185">
        <v>185895</v>
      </c>
      <c r="D15" s="173">
        <f t="shared" si="3"/>
        <v>1694902</v>
      </c>
      <c r="E15" s="354">
        <f>'Input Tab'!C34</f>
        <v>148937</v>
      </c>
      <c r="F15" s="354">
        <f>'Input Tab'!D34</f>
        <v>130566</v>
      </c>
      <c r="G15" s="354">
        <f>'Input Tab'!E34</f>
        <v>12193</v>
      </c>
      <c r="H15" s="354">
        <f>'Input Tab'!F34</f>
        <v>75471</v>
      </c>
      <c r="I15" s="354">
        <f>'Input Tab'!G34</f>
        <v>143454</v>
      </c>
      <c r="J15" s="354">
        <f>'Input Tab'!H34</f>
        <v>141893</v>
      </c>
      <c r="K15" s="354">
        <f>'Input Tab'!I34</f>
        <v>193728</v>
      </c>
      <c r="L15" s="354">
        <f>'Input Tab'!J34</f>
        <v>173574</v>
      </c>
      <c r="M15" s="354">
        <f>'Input Tab'!K34</f>
        <v>153636</v>
      </c>
      <c r="N15" s="354">
        <f>'Input Tab'!L34</f>
        <v>151334</v>
      </c>
      <c r="O15" s="354">
        <f>'Input Tab'!M34</f>
        <v>203768</v>
      </c>
      <c r="P15" s="354">
        <f>'Input Tab'!N34</f>
        <v>166348</v>
      </c>
      <c r="Q15" s="220"/>
      <c r="R15" s="350">
        <f t="shared" si="2"/>
        <v>1694902</v>
      </c>
    </row>
    <row r="16" spans="1:18" ht="12.75" customHeight="1">
      <c r="A16" s="255">
        <f t="shared" si="4"/>
        <v>10</v>
      </c>
      <c r="B16" s="71" t="s">
        <v>237</v>
      </c>
      <c r="C16" s="185">
        <v>186298</v>
      </c>
      <c r="D16" s="173">
        <f t="shared" si="3"/>
        <v>2515394</v>
      </c>
      <c r="E16" s="354">
        <f>'Input Tab'!C35</f>
        <v>196425</v>
      </c>
      <c r="F16" s="354">
        <f>'Input Tab'!D35</f>
        <v>345889</v>
      </c>
      <c r="G16" s="354">
        <f>'Input Tab'!E35</f>
        <v>288540</v>
      </c>
      <c r="H16" s="354">
        <f>'Input Tab'!F35</f>
        <v>248184</v>
      </c>
      <c r="I16" s="354">
        <f>'Input Tab'!G35</f>
        <v>301011</v>
      </c>
      <c r="J16" s="354">
        <f>'Input Tab'!H35</f>
        <v>282927</v>
      </c>
      <c r="K16" s="354">
        <f>'Input Tab'!I35</f>
        <v>33555</v>
      </c>
      <c r="L16" s="354">
        <f>'Input Tab'!J35</f>
        <v>0</v>
      </c>
      <c r="M16" s="354">
        <f>'Input Tab'!K35</f>
        <v>33816</v>
      </c>
      <c r="N16" s="354">
        <f>'Input Tab'!L35</f>
        <v>132336</v>
      </c>
      <c r="O16" s="354">
        <f>'Input Tab'!M35</f>
        <v>238045</v>
      </c>
      <c r="P16" s="354">
        <f>'Input Tab'!N35</f>
        <v>414666</v>
      </c>
      <c r="Q16" s="220"/>
      <c r="R16" s="350">
        <f t="shared" si="2"/>
        <v>2515394</v>
      </c>
    </row>
    <row r="17" spans="1:18" ht="12.75">
      <c r="A17" s="255">
        <f>A16+1</f>
        <v>11</v>
      </c>
      <c r="B17" s="52" t="s">
        <v>284</v>
      </c>
      <c r="C17" s="185">
        <v>223063</v>
      </c>
      <c r="D17" s="173">
        <f t="shared" si="3"/>
        <v>5485164</v>
      </c>
      <c r="E17" s="354">
        <f>'Input Tab'!C36</f>
        <v>379378</v>
      </c>
      <c r="F17" s="354">
        <f>'Input Tab'!D36</f>
        <v>300385</v>
      </c>
      <c r="G17" s="354">
        <f>'Input Tab'!E36</f>
        <v>452188</v>
      </c>
      <c r="H17" s="354">
        <f>'Input Tab'!F36</f>
        <v>481737</v>
      </c>
      <c r="I17" s="354">
        <f>'Input Tab'!G36</f>
        <v>471993</v>
      </c>
      <c r="J17" s="354">
        <f>'Input Tab'!H36</f>
        <v>50938</v>
      </c>
      <c r="K17" s="354">
        <f>'Input Tab'!I36</f>
        <v>593742</v>
      </c>
      <c r="L17" s="354">
        <f>'Input Tab'!J36</f>
        <v>570212</v>
      </c>
      <c r="M17" s="354">
        <f>'Input Tab'!K36</f>
        <v>571536</v>
      </c>
      <c r="N17" s="354">
        <f>'Input Tab'!L36</f>
        <v>602604</v>
      </c>
      <c r="O17" s="354">
        <f>'Input Tab'!M36</f>
        <v>468199</v>
      </c>
      <c r="P17" s="354">
        <f>'Input Tab'!N36</f>
        <v>542252</v>
      </c>
      <c r="Q17" s="220"/>
      <c r="R17" s="350">
        <f t="shared" si="2"/>
        <v>5485164</v>
      </c>
    </row>
    <row r="18" spans="1:18" ht="12.75">
      <c r="A18" s="255">
        <f>A17+1</f>
        <v>12</v>
      </c>
      <c r="B18" s="52" t="s">
        <v>356</v>
      </c>
      <c r="C18" s="185" t="s">
        <v>356</v>
      </c>
      <c r="D18" s="173">
        <f t="shared" si="3"/>
        <v>0</v>
      </c>
      <c r="E18" s="353">
        <f>'Input Tab'!C37</f>
        <v>0</v>
      </c>
      <c r="F18" s="353">
        <f>'Input Tab'!D37</f>
        <v>0</v>
      </c>
      <c r="G18" s="353">
        <f>'Input Tab'!E37</f>
        <v>0</v>
      </c>
      <c r="H18" s="353">
        <f>'Input Tab'!F37</f>
        <v>0</v>
      </c>
      <c r="I18" s="353">
        <f>'Input Tab'!G37</f>
        <v>0</v>
      </c>
      <c r="J18" s="353">
        <f>'Input Tab'!H37</f>
        <v>0</v>
      </c>
      <c r="K18" s="353">
        <f>'Input Tab'!I37</f>
        <v>0</v>
      </c>
      <c r="L18" s="353">
        <f>'Input Tab'!J37</f>
        <v>0</v>
      </c>
      <c r="M18" s="353">
        <f>'Input Tab'!K37</f>
        <v>0</v>
      </c>
      <c r="N18" s="353">
        <f>'Input Tab'!L37</f>
        <v>0</v>
      </c>
      <c r="O18" s="353">
        <f>'Input Tab'!M37</f>
        <v>0</v>
      </c>
      <c r="P18" s="353">
        <f>'Input Tab'!N37</f>
        <v>0</v>
      </c>
      <c r="Q18" s="220"/>
      <c r="R18" s="350">
        <f t="shared" si="2"/>
        <v>0</v>
      </c>
    </row>
    <row r="19" spans="1:18" ht="12.75">
      <c r="A19" s="255">
        <f>A18+1</f>
        <v>13</v>
      </c>
      <c r="B19" s="52" t="s">
        <v>256</v>
      </c>
      <c r="C19" s="185" t="s">
        <v>257</v>
      </c>
      <c r="D19" s="173">
        <f t="shared" si="3"/>
        <v>25724026</v>
      </c>
      <c r="E19" s="353">
        <f>'Input Tab'!C38</f>
        <v>2230759</v>
      </c>
      <c r="F19" s="353">
        <f>'Input Tab'!D38</f>
        <v>1994043</v>
      </c>
      <c r="G19" s="353">
        <f>'Input Tab'!E38</f>
        <v>1868211</v>
      </c>
      <c r="H19" s="353">
        <f>'Input Tab'!F38</f>
        <v>1868712</v>
      </c>
      <c r="I19" s="353">
        <f>'Input Tab'!G38</f>
        <v>1898657</v>
      </c>
      <c r="J19" s="353">
        <f>'Input Tab'!H38</f>
        <v>1914518</v>
      </c>
      <c r="K19" s="353">
        <f>'Input Tab'!I38</f>
        <v>2289914</v>
      </c>
      <c r="L19" s="353">
        <f>'Input Tab'!J38</f>
        <v>2364389</v>
      </c>
      <c r="M19" s="353">
        <f>'Input Tab'!K38</f>
        <v>2310281</v>
      </c>
      <c r="N19" s="353">
        <f>'Input Tab'!L38</f>
        <v>2287477</v>
      </c>
      <c r="O19" s="353">
        <f>'Input Tab'!M38</f>
        <v>2345135</v>
      </c>
      <c r="P19" s="353">
        <f>'Input Tab'!N38</f>
        <v>2351930</v>
      </c>
      <c r="Q19" s="220"/>
      <c r="R19" s="350">
        <f t="shared" si="2"/>
        <v>25724026</v>
      </c>
    </row>
    <row r="20" spans="1:18" ht="12.75">
      <c r="A20" s="255">
        <f>A19+1</f>
        <v>14</v>
      </c>
      <c r="B20" s="52" t="s">
        <v>283</v>
      </c>
      <c r="C20" s="185">
        <v>181462</v>
      </c>
      <c r="D20" s="173">
        <f t="shared" si="3"/>
        <v>18521898</v>
      </c>
      <c r="E20" s="353">
        <f>'Input Tab'!C39</f>
        <v>1520651</v>
      </c>
      <c r="F20" s="353">
        <f>'Input Tab'!D39</f>
        <v>1752139</v>
      </c>
      <c r="G20" s="353">
        <f>'Input Tab'!E39</f>
        <v>2482824</v>
      </c>
      <c r="H20" s="353">
        <f>'Input Tab'!F39</f>
        <v>2281924</v>
      </c>
      <c r="I20" s="353">
        <f>'Input Tab'!G39</f>
        <v>941544</v>
      </c>
      <c r="J20" s="353">
        <f>'Input Tab'!H39</f>
        <v>1462141</v>
      </c>
      <c r="K20" s="353">
        <f>'Input Tab'!I39</f>
        <v>836660</v>
      </c>
      <c r="L20" s="353">
        <f>'Input Tab'!J39</f>
        <v>878233</v>
      </c>
      <c r="M20" s="353">
        <f>'Input Tab'!K39</f>
        <v>887125</v>
      </c>
      <c r="N20" s="353">
        <f>'Input Tab'!L39</f>
        <v>1965191</v>
      </c>
      <c r="O20" s="353">
        <f>'Input Tab'!M39</f>
        <v>2596464</v>
      </c>
      <c r="P20" s="353">
        <f>'Input Tab'!N39</f>
        <v>917002</v>
      </c>
      <c r="Q20" s="220"/>
      <c r="R20" s="350">
        <f t="shared" si="2"/>
        <v>18521898</v>
      </c>
    </row>
    <row r="21" spans="1:18" ht="12.75">
      <c r="A21" s="255">
        <f>A20+1</f>
        <v>15</v>
      </c>
      <c r="B21" s="71" t="s">
        <v>34</v>
      </c>
      <c r="C21" s="269"/>
      <c r="D21" s="173">
        <f t="shared" si="3"/>
        <v>2472918</v>
      </c>
      <c r="E21" s="175">
        <f>E35</f>
        <v>261636</v>
      </c>
      <c r="F21" s="175">
        <f>F35</f>
        <v>234225</v>
      </c>
      <c r="G21" s="175">
        <f aca="true" t="shared" si="5" ref="G21:P21">G35</f>
        <v>194814</v>
      </c>
      <c r="H21" s="175">
        <f t="shared" si="5"/>
        <v>174215</v>
      </c>
      <c r="I21" s="175">
        <f t="shared" si="5"/>
        <v>178872</v>
      </c>
      <c r="J21" s="175">
        <f t="shared" si="5"/>
        <v>185649</v>
      </c>
      <c r="K21" s="175">
        <f t="shared" si="5"/>
        <v>206488</v>
      </c>
      <c r="L21" s="175">
        <f t="shared" si="5"/>
        <v>204218</v>
      </c>
      <c r="M21" s="175">
        <f>M35</f>
        <v>178839</v>
      </c>
      <c r="N21" s="175">
        <f>N35</f>
        <v>185763</v>
      </c>
      <c r="O21" s="175">
        <f t="shared" si="5"/>
        <v>196857</v>
      </c>
      <c r="P21" s="175">
        <f t="shared" si="5"/>
        <v>271342</v>
      </c>
      <c r="Q21" s="175"/>
      <c r="R21" s="350">
        <f t="shared" si="2"/>
        <v>2472918</v>
      </c>
    </row>
    <row r="22" spans="1:18" ht="12.75">
      <c r="A22" s="255">
        <f t="shared" si="4"/>
        <v>16</v>
      </c>
      <c r="B22" s="355" t="s">
        <v>19</v>
      </c>
      <c r="C22" s="356"/>
      <c r="D22" s="173">
        <f t="shared" si="3"/>
        <v>67615</v>
      </c>
      <c r="E22" s="176">
        <f>E33</f>
        <v>91017</v>
      </c>
      <c r="F22" s="176">
        <f>F33</f>
        <v>23669</v>
      </c>
      <c r="G22" s="176">
        <f aca="true" t="shared" si="6" ref="G22:P22">G33</f>
        <v>2920</v>
      </c>
      <c r="H22" s="176">
        <f t="shared" si="6"/>
        <v>-17386</v>
      </c>
      <c r="I22" s="176">
        <f t="shared" si="6"/>
        <v>-41458</v>
      </c>
      <c r="J22" s="176">
        <f t="shared" si="6"/>
        <v>7446</v>
      </c>
      <c r="K22" s="176">
        <f t="shared" si="6"/>
        <v>-814</v>
      </c>
      <c r="L22" s="176">
        <f t="shared" si="6"/>
        <v>18701</v>
      </c>
      <c r="M22" s="176">
        <f t="shared" si="6"/>
        <v>-1380</v>
      </c>
      <c r="N22" s="176">
        <f>N33</f>
        <v>31</v>
      </c>
      <c r="O22" s="176">
        <f t="shared" si="6"/>
        <v>-15241</v>
      </c>
      <c r="P22" s="176">
        <f t="shared" si="6"/>
        <v>110</v>
      </c>
      <c r="Q22" s="176"/>
      <c r="R22" s="350">
        <f t="shared" si="2"/>
        <v>67615</v>
      </c>
    </row>
    <row r="23" spans="1:18" s="183" customFormat="1" ht="13.5" thickBot="1">
      <c r="A23" s="357">
        <f t="shared" si="4"/>
        <v>17</v>
      </c>
      <c r="B23" s="240" t="s">
        <v>227</v>
      </c>
      <c r="C23" s="240"/>
      <c r="D23" s="193">
        <f>SUM(E23:P23)</f>
        <v>132500540</v>
      </c>
      <c r="E23" s="358">
        <f>E37</f>
        <v>14499370</v>
      </c>
      <c r="F23" s="358">
        <f aca="true" t="shared" si="7" ref="F23:P23">F37</f>
        <v>14842700</v>
      </c>
      <c r="G23" s="358">
        <f>G37</f>
        <v>14555065</v>
      </c>
      <c r="H23" s="358">
        <f t="shared" si="7"/>
        <v>10126189</v>
      </c>
      <c r="I23" s="358">
        <f t="shared" si="7"/>
        <v>7370635</v>
      </c>
      <c r="J23" s="358">
        <f t="shared" si="7"/>
        <v>7518769</v>
      </c>
      <c r="K23" s="358">
        <f t="shared" si="7"/>
        <v>7684967</v>
      </c>
      <c r="L23" s="358">
        <f t="shared" si="7"/>
        <v>7537349</v>
      </c>
      <c r="M23" s="358">
        <f>M37</f>
        <v>8660896</v>
      </c>
      <c r="N23" s="358">
        <f>N37</f>
        <v>11043092</v>
      </c>
      <c r="O23" s="358">
        <f t="shared" si="7"/>
        <v>14579440</v>
      </c>
      <c r="P23" s="358">
        <f t="shared" si="7"/>
        <v>14082068</v>
      </c>
      <c r="Q23" s="177"/>
      <c r="R23" s="359">
        <f>SUM(R7:R21)</f>
        <v>132432925</v>
      </c>
    </row>
    <row r="24" spans="1:16" ht="13.5" thickTop="1">
      <c r="A24" s="255"/>
      <c r="E24" s="192" t="s">
        <v>29</v>
      </c>
      <c r="F24" s="360" t="s">
        <v>29</v>
      </c>
      <c r="G24" s="360"/>
      <c r="H24" s="360"/>
      <c r="I24" s="360"/>
      <c r="J24" s="360"/>
      <c r="K24" s="360"/>
      <c r="L24" s="360"/>
      <c r="M24" s="360"/>
      <c r="N24" s="360"/>
      <c r="O24" s="360"/>
      <c r="P24" s="360"/>
    </row>
    <row r="25" spans="1:20" ht="12.75">
      <c r="A25" s="255"/>
      <c r="B25" s="52" t="s">
        <v>228</v>
      </c>
      <c r="C25" s="52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T25" s="361"/>
    </row>
    <row r="26" spans="1:16" ht="12.75" outlineLevel="1">
      <c r="A26" s="255"/>
      <c r="B26" s="236" t="s">
        <v>14</v>
      </c>
      <c r="C26" s="236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</row>
    <row r="27" spans="1:18" ht="12.75" outlineLevel="1">
      <c r="A27" s="255"/>
      <c r="B27" s="71">
        <v>555000</v>
      </c>
      <c r="D27" s="360">
        <f>SUM(E27:P27)</f>
        <v>124999476</v>
      </c>
      <c r="E27" s="156">
        <f>_XLL.GET_BALANCE(E$83,"PTD","USD","Total","A","","001","555000","ED","AN","DL")</f>
        <v>13485698</v>
      </c>
      <c r="F27" s="156">
        <f>_XLL.GET_BALANCE(F$83,"PTD","USD","Total","A","","001","555000","ED","AN","DL")</f>
        <v>12588213</v>
      </c>
      <c r="G27" s="156">
        <f>_XLL.GET_BALANCE(G$83,"PTD","USD","Total","A","","001","555000","ED","AN","DL")</f>
        <v>10837848</v>
      </c>
      <c r="H27" s="156">
        <f>_XLL.GET_BALANCE(H$83,"PTD","USD","Total","A","","001","555000","ED","AN","DL")</f>
        <v>9028341</v>
      </c>
      <c r="I27" s="156">
        <f>_XLL.GET_BALANCE(I$83,"PTD","USD","Total","A","","001","555000","ED","AN","DL")</f>
        <v>6675797</v>
      </c>
      <c r="J27" s="156">
        <f>_XLL.GET_BALANCE(J$83,"PTD","USD","Total","A","","001","555000","ED","AN","DL")</f>
        <v>6710449</v>
      </c>
      <c r="K27" s="156">
        <f>_XLL.GET_BALANCE(K$83,"PTD","USD","Total","A","","001","555000","ED","AN","DL")</f>
        <v>8016677</v>
      </c>
      <c r="L27" s="156">
        <f>_XLL.GET_BALANCE(L$83,"PTD","USD","Total","A","","001","555000","ED","AN","DL")</f>
        <v>10889579</v>
      </c>
      <c r="M27" s="156">
        <f>_XLL.GET_BALANCE(M$83,"PTD","USD","Total","A","","001","555000","ED","AN","DL")</f>
        <v>9076302</v>
      </c>
      <c r="N27" s="156">
        <f>_XLL.GET_BALANCE(N$83,"PTD","USD","Total","A","","001","555000","ED","AN","DL")</f>
        <v>10336508</v>
      </c>
      <c r="O27" s="156">
        <f>_XLL.GET_BALANCE(O$83,"PTD","USD","Total","A","","001","555000","ED","AN","DL")</f>
        <v>14010883</v>
      </c>
      <c r="P27" s="156">
        <f>_XLL.GET_BALANCE(P$83,"PTD","USD","Total","A","","001","555000","ED","AN","DL")</f>
        <v>13343181</v>
      </c>
      <c r="Q27" s="220"/>
      <c r="R27" s="350">
        <f aca="true" t="shared" si="8" ref="R27:R36">SUM(E27:P27)</f>
        <v>124999476</v>
      </c>
    </row>
    <row r="28" spans="1:18" ht="12.75" outlineLevel="1">
      <c r="A28" s="255"/>
      <c r="B28" s="71">
        <v>555030</v>
      </c>
      <c r="D28" s="360">
        <f>SUM(E28:P28)</f>
        <v>0</v>
      </c>
      <c r="E28" s="156">
        <f>_XLL.GET_BALANCE(E$83,"PTD","USD","Total","A","","001","555030","ED","AN","DL")</f>
        <v>0</v>
      </c>
      <c r="F28" s="156">
        <f>_XLL.GET_BALANCE(F$83,"PTD","USD","Total","A","","001","555030","ED","AN","DL")</f>
        <v>0</v>
      </c>
      <c r="G28" s="156">
        <f>_XLL.GET_BALANCE(G$83,"PTD","USD","Total","A","","001","555030","ED","AN","DL")</f>
        <v>0</v>
      </c>
      <c r="H28" s="156">
        <f>_XLL.GET_BALANCE(H$83,"PTD","USD","Total","A","","001","555030","ED","AN","DL")</f>
        <v>0</v>
      </c>
      <c r="I28" s="156">
        <f>_XLL.GET_BALANCE(I$83,"PTD","USD","Total","A","","001","555030","ED","AN","DL")</f>
        <v>0</v>
      </c>
      <c r="J28" s="156">
        <f>_XLL.GET_BALANCE(J$83,"PTD","USD","Total","A","","001","555030","ED","AN","DL")</f>
        <v>0</v>
      </c>
      <c r="K28" s="156">
        <f>_XLL.GET_BALANCE(K$83,"PTD","USD","Total","A","","001","555030","ED","AN","DL")</f>
        <v>0</v>
      </c>
      <c r="L28" s="156">
        <f>_XLL.GET_BALANCE(L$83,"PTD","USD","Total","A","","001","555030","ED","AN","DL")</f>
        <v>0</v>
      </c>
      <c r="M28" s="156">
        <f>_XLL.GET_BALANCE(M$83,"PTD","USD","Total","A","","001","555030","ED","AN","DL")</f>
        <v>0</v>
      </c>
      <c r="N28" s="156">
        <f>_XLL.GET_BALANCE(N$83,"PTD","USD","Total","A","","001","555030","ED","AN","DL")</f>
        <v>0</v>
      </c>
      <c r="O28" s="156">
        <f>_XLL.GET_BALANCE(O$83,"PTD","USD","Total","A","","001","555030","ED","AN","DL")</f>
        <v>0</v>
      </c>
      <c r="P28" s="156">
        <f>_XLL.GET_BALANCE(P$83,"PTD","USD","Total","A","","001","555030","ED","AN","DL")</f>
        <v>0</v>
      </c>
      <c r="Q28" s="220"/>
      <c r="R28" s="350"/>
    </row>
    <row r="29" spans="1:18" ht="12.75" outlineLevel="1">
      <c r="A29" s="255"/>
      <c r="B29" s="71">
        <v>555100</v>
      </c>
      <c r="C29" s="71" t="s">
        <v>240</v>
      </c>
      <c r="D29" s="360">
        <f aca="true" t="shared" si="9" ref="D29:D36">SUM(E29:P29)</f>
        <v>-1659634</v>
      </c>
      <c r="E29" s="156">
        <f>_XLL.GET_BALANCE(E$83,"PTD","USD","Total","A","","001","555100","ED","AN","DL")</f>
        <v>-573578</v>
      </c>
      <c r="F29" s="156">
        <f>_XLL.GET_BALANCE(F$83,"PTD","USD","Total","A","","001","555100","ED","AN","DL")</f>
        <v>775802</v>
      </c>
      <c r="G29" s="156">
        <f>_XLL.GET_BALANCE(G$83,"PTD","USD","Total","A","","001","555100","ED","AN","DL")</f>
        <v>2897284</v>
      </c>
      <c r="H29" s="156">
        <f>_XLL.GET_BALANCE(H$83,"PTD","USD","Total","A","","001","555100","ED","AN","DL")</f>
        <v>639744</v>
      </c>
      <c r="I29" s="156">
        <f>_XLL.GET_BALANCE(I$83,"PTD","USD","Total","A","","001","555100","ED","AN","DL")</f>
        <v>428980</v>
      </c>
      <c r="J29" s="156">
        <f>_XLL.GET_BALANCE(J$83,"PTD","USD","Total","A","","001","555100","ED","AN","DL")</f>
        <v>503075</v>
      </c>
      <c r="K29" s="156">
        <f>_XLL.GET_BALANCE(K$83,"PTD","USD","Total","A","","001","555100","ED","AN","DL")</f>
        <v>-802503</v>
      </c>
      <c r="L29" s="156">
        <f>_XLL.GET_BALANCE(L$83,"PTD","USD","Total","A","","001","555100","ED","AN","DL")</f>
        <v>-4465783</v>
      </c>
      <c r="M29" s="156">
        <f>_XLL.GET_BALANCE(M$83,"PTD","USD","Total","A","","001","555100","ED","AN","DL")</f>
        <v>-1006515</v>
      </c>
      <c r="N29" s="156">
        <f>_XLL.GET_BALANCE(N$83,"PTD","USD","Total","A","","001","555100","ED","AN","DL")</f>
        <v>-94323</v>
      </c>
      <c r="O29" s="156">
        <f>_XLL.GET_BALANCE(O$83,"PTD","USD","Total","A","","001","555100","ED","AN","DL")</f>
        <v>-42409</v>
      </c>
      <c r="P29" s="156">
        <f>_XLL.GET_BALANCE(P$83,"PTD","USD","Total","A","","001","555100","ED","AN","DL")</f>
        <v>80592</v>
      </c>
      <c r="Q29" s="220"/>
      <c r="R29" s="350">
        <f t="shared" si="8"/>
        <v>-1659634</v>
      </c>
    </row>
    <row r="30" spans="1:18" ht="12.75" outlineLevel="1">
      <c r="A30" s="255"/>
      <c r="B30" s="52">
        <v>555312</v>
      </c>
      <c r="C30" s="52" t="s">
        <v>191</v>
      </c>
      <c r="D30" s="360">
        <f t="shared" si="9"/>
        <v>0</v>
      </c>
      <c r="E30" s="156">
        <f>_XLL.GET_BALANCE(E$83,"PTD","USD","Total","A","","001","555312","ED","AN","DL")</f>
        <v>0</v>
      </c>
      <c r="F30" s="156">
        <f>_XLL.GET_BALANCE(F$83,"PTD","USD","Total","A","","001","555312","ED","AN","DL")</f>
        <v>0</v>
      </c>
      <c r="G30" s="156">
        <f>_XLL.GET_BALANCE(G$83,"PTD","USD","Total","A","","001","555312","ED","AN","DL")</f>
        <v>0</v>
      </c>
      <c r="H30" s="156">
        <f>_XLL.GET_BALANCE(H$83,"PTD","USD","Total","A","","001","555312","ED","AN","DL")</f>
        <v>0</v>
      </c>
      <c r="I30" s="156">
        <f>_XLL.GET_BALANCE(I$83,"PTD","USD","Total","A","","001","555312","ED","AN","DL")</f>
        <v>0</v>
      </c>
      <c r="J30" s="156">
        <f>_XLL.GET_BALANCE(J$83,"PTD","USD","Total","A","","001","555312","ED","AN","DL")</f>
        <v>0</v>
      </c>
      <c r="K30" s="156">
        <f>_XLL.GET_BALANCE(K$83,"PTD","USD","Total","A","","001","555312","ED","AN","DL")</f>
        <v>0</v>
      </c>
      <c r="L30" s="156">
        <f>_XLL.GET_BALANCE(L$83,"PTD","USD","Total","A","","001","555312","ED","AN","DL")</f>
        <v>0</v>
      </c>
      <c r="M30" s="156">
        <f>_XLL.GET_BALANCE(M$83,"PTD","USD","Total","A","","001","555312","ED","AN","DL")</f>
        <v>0</v>
      </c>
      <c r="N30" s="156">
        <f>_XLL.GET_BALANCE(N$83,"PTD","USD","Total","A","","001","555312","ED","AN","DL")</f>
        <v>0</v>
      </c>
      <c r="O30" s="156">
        <f>_XLL.GET_BALANCE(O$83,"PTD","USD","Total","A","","001","555312","ED","AN","DL")</f>
        <v>0</v>
      </c>
      <c r="P30" s="156">
        <f>_XLL.GET_BALANCE(P$83,"PTD","USD","Total","A","","001","555312","ED","AN","DL")</f>
        <v>0</v>
      </c>
      <c r="Q30" s="220"/>
      <c r="R30" s="350">
        <f>SUM(E30:P30)</f>
        <v>0</v>
      </c>
    </row>
    <row r="31" spans="1:18" ht="12.75" outlineLevel="1">
      <c r="A31" s="255"/>
      <c r="B31" s="71">
        <v>555313</v>
      </c>
      <c r="C31" s="71" t="s">
        <v>191</v>
      </c>
      <c r="D31" s="360">
        <f t="shared" si="9"/>
        <v>0</v>
      </c>
      <c r="E31" s="156">
        <f>_XLL.GET_BALANCE(E$83,"PTD","USD","Total","A","","001","555313","ED","AN","DL")</f>
        <v>0</v>
      </c>
      <c r="F31" s="156">
        <f>_XLL.GET_BALANCE(F$83,"PTD","USD","Total","A","","001","555313","ED","AN","DL")</f>
        <v>0</v>
      </c>
      <c r="G31" s="156">
        <f>_XLL.GET_BALANCE(G$83,"PTD","USD","Total","A","","001","555313","ED","AN","DL")</f>
        <v>0</v>
      </c>
      <c r="H31" s="156">
        <f>_XLL.GET_BALANCE(H$83,"PTD","USD","Total","A","","001","555313","ED","AN","DL")</f>
        <v>0</v>
      </c>
      <c r="I31" s="156">
        <f>_XLL.GET_BALANCE(I$83,"PTD","USD","Total","A","","001","555313","ED","AN","DL")</f>
        <v>0</v>
      </c>
      <c r="J31" s="156">
        <f>_XLL.GET_BALANCE(J$83,"PTD","USD","Total","A","","001","555313","ED","AN","DL")</f>
        <v>0</v>
      </c>
      <c r="K31" s="156">
        <f>_XLL.GET_BALANCE(K$83,"PTD","USD","Total","A","","001","555313","ED","AN","DL")</f>
        <v>0</v>
      </c>
      <c r="L31" s="156">
        <f>_XLL.GET_BALANCE(L$83,"PTD","USD","Total","A","","001","555313","ED","AN","DL")</f>
        <v>0</v>
      </c>
      <c r="M31" s="156">
        <f>_XLL.GET_BALANCE(M$83,"PTD","USD","Total","A","","001","555313","ED","AN","DL")</f>
        <v>0</v>
      </c>
      <c r="N31" s="156">
        <f>_XLL.GET_BALANCE(N$83,"PTD","USD","Total","A","","001","555313","ED","AN","DL")</f>
        <v>0</v>
      </c>
      <c r="O31" s="156">
        <f>_XLL.GET_BALANCE(O$83,"PTD","USD","Total","A","","001","555313","ED","AN","DL")</f>
        <v>0</v>
      </c>
      <c r="P31" s="156">
        <f>_XLL.GET_BALANCE(P$83,"PTD","USD","Total","A","","001","555313","ED","AN","DL")</f>
        <v>0</v>
      </c>
      <c r="Q31" s="220"/>
      <c r="R31" s="350">
        <f>SUM(E31:P31)</f>
        <v>0</v>
      </c>
    </row>
    <row r="32" spans="1:18" ht="12.75" outlineLevel="1">
      <c r="A32" s="255"/>
      <c r="B32" s="71">
        <v>555380</v>
      </c>
      <c r="C32" s="71" t="s">
        <v>241</v>
      </c>
      <c r="D32" s="360">
        <f t="shared" si="9"/>
        <v>0</v>
      </c>
      <c r="E32" s="156">
        <f>_XLL.GET_BALANCE(E$83,"PTD","USD","Total","A","","001","555380","ED","AN","DL")</f>
        <v>0</v>
      </c>
      <c r="F32" s="156">
        <f>_XLL.GET_BALANCE(F$83,"PTD","USD","Total","A","","001","555380","ED","AN","DL")</f>
        <v>0</v>
      </c>
      <c r="G32" s="156">
        <f>_XLL.GET_BALANCE(G$83,"PTD","USD","Total","A","","001","555380","ED","AN","DL")</f>
        <v>0</v>
      </c>
      <c r="H32" s="156">
        <f>_XLL.GET_BALANCE(H$83,"PTD","USD","Total","A","","001","555380","ED","AN","DL")</f>
        <v>0</v>
      </c>
      <c r="I32" s="156">
        <f>_XLL.GET_BALANCE(I$83,"PTD","USD","Total","A","","001","555380","ED","AN","DL")</f>
        <v>0</v>
      </c>
      <c r="J32" s="156">
        <f>_XLL.GET_BALANCE(J$83,"PTD","USD","Total","A","","001","555380","ED","AN","DL")</f>
        <v>0</v>
      </c>
      <c r="K32" s="156">
        <f>_XLL.GET_BALANCE(K$83,"PTD","USD","Total","A","","001","555380","ED","AN","DL")</f>
        <v>0</v>
      </c>
      <c r="L32" s="156">
        <f>_XLL.GET_BALANCE(L$83,"PTD","USD","Total","A","","001","555380","ED","AN","DL")</f>
        <v>0</v>
      </c>
      <c r="M32" s="156">
        <f>_XLL.GET_BALANCE(M$83,"PTD","USD","Total","A","","001","555380","ED","AN","DL")</f>
        <v>0</v>
      </c>
      <c r="N32" s="156">
        <f>_XLL.GET_BALANCE(N$83,"PTD","USD","Total","A","","001","555380","ED","AN","DL")</f>
        <v>0</v>
      </c>
      <c r="O32" s="156">
        <f>_XLL.GET_BALANCE(O$83,"PTD","USD","Total","A","","001","555380","ED","AN","DL")</f>
        <v>0</v>
      </c>
      <c r="P32" s="156">
        <f>_XLL.GET_BALANCE(P$83,"PTD","USD","Total","A","","001","555380","ED","AN","DL")</f>
        <v>0</v>
      </c>
      <c r="Q32" s="220"/>
      <c r="R32" s="350">
        <f>SUM(E32:P32)</f>
        <v>0</v>
      </c>
    </row>
    <row r="33" spans="1:18" ht="12.75" outlineLevel="1">
      <c r="A33" s="255"/>
      <c r="B33" s="71">
        <v>555550</v>
      </c>
      <c r="C33" s="71" t="s">
        <v>242</v>
      </c>
      <c r="D33" s="360">
        <f t="shared" si="9"/>
        <v>67615</v>
      </c>
      <c r="E33" s="156">
        <f>_XLL.GET_BALANCE(E$83,"PTD","USD","Total","A","","001","555550","ED","AN","DL")</f>
        <v>91017</v>
      </c>
      <c r="F33" s="156">
        <f>_XLL.GET_BALANCE(F$83,"PTD","USD","Total","A","","001","555550","ED","AN","DL")</f>
        <v>23669</v>
      </c>
      <c r="G33" s="156">
        <f>_XLL.GET_BALANCE(G$83,"PTD","USD","Total","A","","001","555550","ED","AN","DL")</f>
        <v>2920</v>
      </c>
      <c r="H33" s="156">
        <f>_XLL.GET_BALANCE(H$83,"PTD","USD","Total","A","","001","555550","ED","AN","DL")</f>
        <v>-17386</v>
      </c>
      <c r="I33" s="156">
        <f>_XLL.GET_BALANCE(I$83,"PTD","USD","Total","A","","001","555550","ED","AN","DL")</f>
        <v>-41458</v>
      </c>
      <c r="J33" s="156">
        <f>_XLL.GET_BALANCE(J$83,"PTD","USD","Total","A","","001","555550","ED","AN","DL")</f>
        <v>7446</v>
      </c>
      <c r="K33" s="156">
        <f>_XLL.GET_BALANCE(K$83,"PTD","USD","Total","A","","001","555550","ED","AN","DL")</f>
        <v>-814</v>
      </c>
      <c r="L33" s="156">
        <f>_XLL.GET_BALANCE(L$83,"PTD","USD","Total","A","","001","555550","ED","AN","DL")</f>
        <v>18701</v>
      </c>
      <c r="M33" s="156">
        <f>_XLL.GET_BALANCE(M$83,"PTD","USD","Total","A","","001","555550","ED","AN","DL")</f>
        <v>-1380</v>
      </c>
      <c r="N33" s="156">
        <f>_XLL.GET_BALANCE(N$83,"PTD","USD","Total","A","","001","555550","ED","AN","DL")</f>
        <v>31</v>
      </c>
      <c r="O33" s="156">
        <f>_XLL.GET_BALANCE(O$83,"PTD","USD","Total","A","","001","555550","ED","AN","DL")</f>
        <v>-15241</v>
      </c>
      <c r="P33" s="156">
        <f>_XLL.GET_BALANCE(P$83,"PTD","USD","Total","A","","001","555550","ED","AN","DL")</f>
        <v>110</v>
      </c>
      <c r="Q33" s="220"/>
      <c r="R33" s="350">
        <f>SUM(E33:P33)</f>
        <v>67615</v>
      </c>
    </row>
    <row r="34" spans="1:18" ht="12.75" outlineLevel="1">
      <c r="A34" s="255"/>
      <c r="B34" s="71">
        <v>555700</v>
      </c>
      <c r="C34" s="71" t="s">
        <v>243</v>
      </c>
      <c r="D34" s="360">
        <f t="shared" si="9"/>
        <v>4793733</v>
      </c>
      <c r="E34" s="156">
        <f>_XLL.GET_BALANCE(E$83,"PTD","USD","Total","A","","001","555700","ED","AN","DL")</f>
        <v>805291</v>
      </c>
      <c r="F34" s="156">
        <f>_XLL.GET_BALANCE(F$83,"PTD","USD","Total","A","","001","555700","ED","AN","DL")</f>
        <v>832870</v>
      </c>
      <c r="G34" s="156">
        <f>_XLL.GET_BALANCE(G$83,"PTD","USD","Total","A","","001","555700","ED","AN","DL")</f>
        <v>410252</v>
      </c>
      <c r="H34" s="156">
        <f>_XLL.GET_BALANCE(H$83,"PTD","USD","Total","A","","001","555700","ED","AN","DL")</f>
        <v>96001</v>
      </c>
      <c r="I34" s="156">
        <f>_XLL.GET_BALANCE(I$83,"PTD","USD","Total","A","","001","555700","ED","AN","DL")</f>
        <v>128444</v>
      </c>
      <c r="J34" s="156">
        <f>_XLL.GET_BALANCE(J$83,"PTD","USD","Total","A","","001","555700","ED","AN","DL")</f>
        <v>112150</v>
      </c>
      <c r="K34" s="156">
        <f>_XLL.GET_BALANCE(K$83,"PTD","USD","Total","A","","001","555700","ED","AN","DL")</f>
        <v>265119</v>
      </c>
      <c r="L34" s="156">
        <f>_XLL.GET_BALANCE(L$83,"PTD","USD","Total","A","","001","555700","ED","AN","DL")</f>
        <v>890634</v>
      </c>
      <c r="M34" s="156">
        <f>_XLL.GET_BALANCE(M$83,"PTD","USD","Total","A","","001","555700","ED","AN","DL")</f>
        <v>413650</v>
      </c>
      <c r="N34" s="156">
        <f>_XLL.GET_BALANCE(N$83,"PTD","USD","Total","A","","001","555700","ED","AN","DL")</f>
        <v>615113</v>
      </c>
      <c r="O34" s="156">
        <f>_XLL.GET_BALANCE(O$83,"PTD","USD","Total","A","","001","555700","ED","AN","DL")</f>
        <v>138189</v>
      </c>
      <c r="P34" s="156">
        <f>_XLL.GET_BALANCE(P$83,"PTD","USD","Total","A","","001","555700","ED","AN","DL")</f>
        <v>86020</v>
      </c>
      <c r="Q34" s="220"/>
      <c r="R34" s="350">
        <f t="shared" si="8"/>
        <v>4793733</v>
      </c>
    </row>
    <row r="35" spans="1:18" ht="12.75" outlineLevel="1">
      <c r="A35" s="255"/>
      <c r="B35" s="71">
        <v>555710</v>
      </c>
      <c r="C35" s="71" t="s">
        <v>244</v>
      </c>
      <c r="D35" s="360">
        <f t="shared" si="9"/>
        <v>2472918</v>
      </c>
      <c r="E35" s="156">
        <f>_XLL.GET_BALANCE(E$83,"PTD","USD","Total","A","","001","555710","ED","AN","DL")</f>
        <v>261636</v>
      </c>
      <c r="F35" s="156">
        <f>_XLL.GET_BALANCE(F$83,"PTD","USD","Total","A","","001","555710","ED","AN","DL")</f>
        <v>234225</v>
      </c>
      <c r="G35" s="156">
        <f>_XLL.GET_BALANCE(G$83,"PTD","USD","Total","A","","001","555710","ED","AN","DL")</f>
        <v>194814</v>
      </c>
      <c r="H35" s="156">
        <f>_XLL.GET_BALANCE(H$83,"PTD","USD","Total","A","","001","555710","ED","AN","DL")</f>
        <v>174215</v>
      </c>
      <c r="I35" s="156">
        <f>_XLL.GET_BALANCE(I$83,"PTD","USD","Total","A","","001","555710","ED","AN","DL")</f>
        <v>178872</v>
      </c>
      <c r="J35" s="156">
        <f>_XLL.GET_BALANCE(J$83,"PTD","USD","Total","A","","001","555710","ED","AN","DL")</f>
        <v>185649</v>
      </c>
      <c r="K35" s="156">
        <f>_XLL.GET_BALANCE(K$83,"PTD","USD","Total","A","","001","555710","ED","AN","DL")</f>
        <v>206488</v>
      </c>
      <c r="L35" s="156">
        <f>_XLL.GET_BALANCE(L$83,"PTD","USD","Total","A","","001","555710","ED","AN","DL")</f>
        <v>204218</v>
      </c>
      <c r="M35" s="156">
        <f>_XLL.GET_BALANCE(M$83,"PTD","USD","Total","A","","001","555710","ED","AN","DL")</f>
        <v>178839</v>
      </c>
      <c r="N35" s="156">
        <f>_XLL.GET_BALANCE(N$83,"PTD","USD","Total","A","","001","555710","ED","AN","DL")</f>
        <v>185763</v>
      </c>
      <c r="O35" s="156">
        <f>_XLL.GET_BALANCE(O$83,"PTD","USD","Total","A","","001","555710","ED","AN","DL")</f>
        <v>196857</v>
      </c>
      <c r="P35" s="156">
        <f>_XLL.GET_BALANCE(P$83,"PTD","USD","Total","A","","001","555710","ED","AN","DL")</f>
        <v>271342</v>
      </c>
      <c r="Q35" s="220"/>
      <c r="R35" s="350">
        <f t="shared" si="8"/>
        <v>2472918</v>
      </c>
    </row>
    <row r="36" spans="1:18" ht="12.75" outlineLevel="1">
      <c r="A36" s="255"/>
      <c r="B36" s="237" t="s">
        <v>166</v>
      </c>
      <c r="C36" s="185" t="s">
        <v>346</v>
      </c>
      <c r="D36" s="362">
        <f t="shared" si="9"/>
        <v>1826433</v>
      </c>
      <c r="E36" s="363">
        <f>'Input Tab'!C41</f>
        <v>429306.43</v>
      </c>
      <c r="F36" s="363">
        <f>'Input Tab'!D41</f>
        <v>387920.54</v>
      </c>
      <c r="G36" s="363">
        <f>'Input Tab'!E41</f>
        <v>211947.47</v>
      </c>
      <c r="H36" s="363">
        <f>'Input Tab'!F41</f>
        <v>205273.81</v>
      </c>
      <c r="I36" s="363">
        <f>'Input Tab'!G41</f>
        <v>0</v>
      </c>
      <c r="J36" s="363">
        <f>'Input Tab'!H41</f>
        <v>0</v>
      </c>
      <c r="K36" s="363">
        <f>'Input Tab'!I41</f>
        <v>0</v>
      </c>
      <c r="L36" s="363">
        <f>'Input Tab'!J41</f>
        <v>0</v>
      </c>
      <c r="M36" s="363">
        <f>'Input Tab'!K41</f>
        <v>0</v>
      </c>
      <c r="N36" s="363">
        <f>'Input Tab'!L41</f>
        <v>0</v>
      </c>
      <c r="O36" s="363">
        <f>'Input Tab'!M41</f>
        <v>291161.26</v>
      </c>
      <c r="P36" s="363">
        <f>'Input Tab'!N41</f>
        <v>300823.05</v>
      </c>
      <c r="Q36" s="295"/>
      <c r="R36" s="350">
        <f t="shared" si="8"/>
        <v>1826433</v>
      </c>
    </row>
    <row r="37" spans="1:18" s="183" customFormat="1" ht="12.75" outlineLevel="1">
      <c r="A37" s="346"/>
      <c r="B37" s="238"/>
      <c r="C37" s="238"/>
      <c r="D37" s="194">
        <f>SUM(E37:P37)</f>
        <v>132500540</v>
      </c>
      <c r="E37" s="194">
        <f>SUM(E27:E36)</f>
        <v>14499370</v>
      </c>
      <c r="F37" s="194">
        <f aca="true" t="shared" si="10" ref="F37:P37">SUM(F27:F36)</f>
        <v>14842700</v>
      </c>
      <c r="G37" s="194">
        <f>SUM(G27:G36)</f>
        <v>14555065</v>
      </c>
      <c r="H37" s="194">
        <f t="shared" si="10"/>
        <v>10126189</v>
      </c>
      <c r="I37" s="194">
        <f t="shared" si="10"/>
        <v>7370635</v>
      </c>
      <c r="J37" s="194">
        <f t="shared" si="10"/>
        <v>7518769</v>
      </c>
      <c r="K37" s="194">
        <f t="shared" si="10"/>
        <v>7684967</v>
      </c>
      <c r="L37" s="194">
        <f t="shared" si="10"/>
        <v>7537349</v>
      </c>
      <c r="M37" s="194">
        <f>SUM(M27:M36)</f>
        <v>8660896</v>
      </c>
      <c r="N37" s="194">
        <f>SUM(N27:N36)</f>
        <v>11043092</v>
      </c>
      <c r="O37" s="194">
        <f t="shared" si="10"/>
        <v>14579440</v>
      </c>
      <c r="P37" s="194">
        <f t="shared" si="10"/>
        <v>14082068</v>
      </c>
      <c r="Q37" s="218"/>
      <c r="R37" s="194">
        <f>SUM(R27:R36)</f>
        <v>132500541</v>
      </c>
    </row>
    <row r="38" spans="1:16" ht="12.75">
      <c r="A38" s="255"/>
      <c r="B38" s="238"/>
      <c r="C38" s="238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</row>
    <row r="39" spans="1:16" ht="19.5" customHeight="1">
      <c r="A39" s="255"/>
      <c r="B39" s="239" t="s">
        <v>26</v>
      </c>
      <c r="C39" s="239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</row>
    <row r="40" spans="1:18" ht="12.75" customHeight="1">
      <c r="A40" s="255">
        <f>A23+1</f>
        <v>18</v>
      </c>
      <c r="B40" s="71" t="s">
        <v>27</v>
      </c>
      <c r="C40" s="269"/>
      <c r="D40" s="360">
        <f aca="true" t="shared" si="11" ref="D40:D45">SUM(E40:P40)</f>
        <v>-73317984</v>
      </c>
      <c r="E40" s="176">
        <f aca="true" t="shared" si="12" ref="E40:P40">E45-SUM(E41:E44)</f>
        <v>-7399212</v>
      </c>
      <c r="F40" s="176">
        <f t="shared" si="12"/>
        <v>-7019783</v>
      </c>
      <c r="G40" s="176">
        <f t="shared" si="12"/>
        <v>-6811174</v>
      </c>
      <c r="H40" s="176">
        <f t="shared" si="12"/>
        <v>-5705143</v>
      </c>
      <c r="I40" s="176">
        <f t="shared" si="12"/>
        <v>-4532469</v>
      </c>
      <c r="J40" s="176">
        <f t="shared" si="12"/>
        <v>-4249868</v>
      </c>
      <c r="K40" s="176">
        <f t="shared" si="12"/>
        <v>-5767715</v>
      </c>
      <c r="L40" s="176">
        <f t="shared" si="12"/>
        <v>-2850184</v>
      </c>
      <c r="M40" s="176">
        <f t="shared" si="12"/>
        <v>-5814723</v>
      </c>
      <c r="N40" s="176">
        <f t="shared" si="12"/>
        <v>-5456773</v>
      </c>
      <c r="O40" s="176">
        <f t="shared" si="12"/>
        <v>-7193618</v>
      </c>
      <c r="P40" s="176">
        <f t="shared" si="12"/>
        <v>-10517322</v>
      </c>
      <c r="Q40" s="364"/>
      <c r="R40" s="360">
        <f>SUM(E40:P40)</f>
        <v>-73317984</v>
      </c>
    </row>
    <row r="41" spans="1:18" ht="12.75">
      <c r="A41" s="255">
        <f>A40+1</f>
        <v>19</v>
      </c>
      <c r="B41" s="71" t="s">
        <v>32</v>
      </c>
      <c r="C41" s="269" t="s">
        <v>245</v>
      </c>
      <c r="D41" s="360">
        <f t="shared" si="11"/>
        <v>1028179</v>
      </c>
      <c r="E41" s="354">
        <f>'Input Tab'!C44</f>
        <v>108961</v>
      </c>
      <c r="F41" s="354">
        <f>'Input Tab'!D44</f>
        <v>65630</v>
      </c>
      <c r="G41" s="354">
        <f>'Input Tab'!E44</f>
        <v>34616</v>
      </c>
      <c r="H41" s="354">
        <f>'Input Tab'!F44</f>
        <v>34616</v>
      </c>
      <c r="I41" s="354">
        <f>'Input Tab'!G44</f>
        <v>34999</v>
      </c>
      <c r="J41" s="354">
        <f>'Input Tab'!H44</f>
        <v>32503</v>
      </c>
      <c r="K41" s="354">
        <f>'Input Tab'!I44</f>
        <v>119999</v>
      </c>
      <c r="L41" s="354">
        <f>'Input Tab'!J44</f>
        <v>193228</v>
      </c>
      <c r="M41" s="354">
        <f>'Input Tab'!K44</f>
        <v>135253</v>
      </c>
      <c r="N41" s="354">
        <f>'Input Tab'!L44</f>
        <v>91685</v>
      </c>
      <c r="O41" s="354">
        <f>'Input Tab'!M44</f>
        <v>85369</v>
      </c>
      <c r="P41" s="354">
        <f>'Input Tab'!N44</f>
        <v>91320</v>
      </c>
      <c r="Q41" s="364"/>
      <c r="R41" s="360">
        <f>SUM(E41:P41)</f>
        <v>1028179</v>
      </c>
    </row>
    <row r="42" spans="1:18" ht="12.75">
      <c r="A42" s="255">
        <f>A41+1</f>
        <v>20</v>
      </c>
      <c r="B42" s="52" t="s">
        <v>380</v>
      </c>
      <c r="C42" s="185" t="s">
        <v>345</v>
      </c>
      <c r="D42" s="360">
        <f t="shared" si="11"/>
        <v>143884</v>
      </c>
      <c r="E42" s="354">
        <f>'Input Tab'!C45</f>
        <v>12011</v>
      </c>
      <c r="F42" s="354">
        <f>'Input Tab'!D45</f>
        <v>10778</v>
      </c>
      <c r="G42" s="354">
        <f>'Input Tab'!E45</f>
        <v>12951</v>
      </c>
      <c r="H42" s="354">
        <f>'Input Tab'!F45</f>
        <v>12441</v>
      </c>
      <c r="I42" s="354">
        <f>'Input Tab'!G45</f>
        <v>12145</v>
      </c>
      <c r="J42" s="354">
        <f>'Input Tab'!H45</f>
        <v>10831</v>
      </c>
      <c r="K42" s="354">
        <f>'Input Tab'!I45</f>
        <v>11907</v>
      </c>
      <c r="L42" s="354">
        <f>'Input Tab'!J45</f>
        <v>12137</v>
      </c>
      <c r="M42" s="354">
        <f>'Input Tab'!K45</f>
        <v>11889</v>
      </c>
      <c r="N42" s="354">
        <f>'Input Tab'!L45</f>
        <v>11792</v>
      </c>
      <c r="O42" s="354">
        <f>'Input Tab'!M45</f>
        <v>12441</v>
      </c>
      <c r="P42" s="354">
        <f>'Input Tab'!N45</f>
        <v>12561</v>
      </c>
      <c r="Q42" s="364"/>
      <c r="R42" s="360">
        <f>SUM(E42:P42)</f>
        <v>143884</v>
      </c>
    </row>
    <row r="43" spans="1:18" ht="12.75">
      <c r="A43" s="255">
        <f>A42+1</f>
        <v>21</v>
      </c>
      <c r="B43" s="71" t="s">
        <v>53</v>
      </c>
      <c r="C43" s="365" t="s">
        <v>344</v>
      </c>
      <c r="D43" s="360">
        <f t="shared" si="11"/>
        <v>609833</v>
      </c>
      <c r="E43" s="354">
        <f>'Input Tab'!C46</f>
        <v>59941</v>
      </c>
      <c r="F43" s="354">
        <f>'Input Tab'!D46</f>
        <v>52430</v>
      </c>
      <c r="G43" s="354">
        <f>'Input Tab'!E46</f>
        <v>51169</v>
      </c>
      <c r="H43" s="354">
        <f>'Input Tab'!F46</f>
        <v>42548</v>
      </c>
      <c r="I43" s="354">
        <f>'Input Tab'!G46</f>
        <v>41040</v>
      </c>
      <c r="J43" s="354">
        <f>'Input Tab'!H46</f>
        <v>42730</v>
      </c>
      <c r="K43" s="354">
        <f>'Input Tab'!I46</f>
        <v>48894</v>
      </c>
      <c r="L43" s="354">
        <f>'Input Tab'!J46</f>
        <v>43177</v>
      </c>
      <c r="M43" s="354">
        <f>'Input Tab'!K46</f>
        <v>45470</v>
      </c>
      <c r="N43" s="354">
        <f>'Input Tab'!L46</f>
        <v>58024</v>
      </c>
      <c r="O43" s="354">
        <f>'Input Tab'!M46</f>
        <v>59295</v>
      </c>
      <c r="P43" s="354">
        <f>'Input Tab'!N46</f>
        <v>65115</v>
      </c>
      <c r="Q43" s="364"/>
      <c r="R43" s="360">
        <f>SUM(E43:P43)</f>
        <v>609833</v>
      </c>
    </row>
    <row r="44" spans="1:18" ht="12.75">
      <c r="A44" s="255">
        <f>A43+1</f>
        <v>22</v>
      </c>
      <c r="B44" s="71" t="s">
        <v>35</v>
      </c>
      <c r="C44" s="269"/>
      <c r="D44" s="360">
        <f t="shared" si="11"/>
        <v>-17242924</v>
      </c>
      <c r="E44" s="174">
        <f>E54</f>
        <v>-1027042</v>
      </c>
      <c r="F44" s="174">
        <f>F54</f>
        <v>-1389739</v>
      </c>
      <c r="G44" s="174">
        <f aca="true" t="shared" si="13" ref="G44:P44">G54</f>
        <v>-1383780</v>
      </c>
      <c r="H44" s="174">
        <f t="shared" si="13"/>
        <v>-1672760</v>
      </c>
      <c r="I44" s="174">
        <f t="shared" si="13"/>
        <v>-1364377</v>
      </c>
      <c r="J44" s="174">
        <f>J54</f>
        <v>-1258605</v>
      </c>
      <c r="K44" s="174">
        <f>K54</f>
        <v>-1203890</v>
      </c>
      <c r="L44" s="174">
        <f t="shared" si="13"/>
        <v>-1235695</v>
      </c>
      <c r="M44" s="174">
        <f t="shared" si="13"/>
        <v>-1239088</v>
      </c>
      <c r="N44" s="174">
        <f t="shared" si="13"/>
        <v>-1319524</v>
      </c>
      <c r="O44" s="174">
        <f t="shared" si="13"/>
        <v>-1882209</v>
      </c>
      <c r="P44" s="174">
        <f t="shared" si="13"/>
        <v>-2266215</v>
      </c>
      <c r="Q44" s="364"/>
      <c r="R44" s="360">
        <f>SUM(E44:P44)</f>
        <v>-17242924</v>
      </c>
    </row>
    <row r="45" spans="1:18" s="183" customFormat="1" ht="24.75" customHeight="1" thickBot="1">
      <c r="A45" s="357">
        <f>A44+1</f>
        <v>23</v>
      </c>
      <c r="B45" s="240" t="s">
        <v>226</v>
      </c>
      <c r="C45" s="240"/>
      <c r="D45" s="193">
        <f t="shared" si="11"/>
        <v>-88779012</v>
      </c>
      <c r="E45" s="358">
        <f>E55</f>
        <v>-8245341</v>
      </c>
      <c r="F45" s="358">
        <f>F55</f>
        <v>-8280684</v>
      </c>
      <c r="G45" s="358">
        <f aca="true" t="shared" si="14" ref="G45:P45">G55</f>
        <v>-8096218</v>
      </c>
      <c r="H45" s="358">
        <f>H55</f>
        <v>-7288298</v>
      </c>
      <c r="I45" s="358">
        <f>I55</f>
        <v>-5808662</v>
      </c>
      <c r="J45" s="358">
        <f t="shared" si="14"/>
        <v>-5422409</v>
      </c>
      <c r="K45" s="358">
        <f t="shared" si="14"/>
        <v>-6790805</v>
      </c>
      <c r="L45" s="358">
        <f t="shared" si="14"/>
        <v>-3837337</v>
      </c>
      <c r="M45" s="358">
        <f>M55</f>
        <v>-6861199</v>
      </c>
      <c r="N45" s="358">
        <f t="shared" si="14"/>
        <v>-6614796</v>
      </c>
      <c r="O45" s="358">
        <f t="shared" si="14"/>
        <v>-8918722</v>
      </c>
      <c r="P45" s="358">
        <f t="shared" si="14"/>
        <v>-12614541</v>
      </c>
      <c r="Q45" s="366"/>
      <c r="R45" s="359">
        <f>SUM(R40:R44)</f>
        <v>-88779012</v>
      </c>
    </row>
    <row r="46" spans="1:17" ht="13.5" thickTop="1">
      <c r="A46" s="25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367"/>
    </row>
    <row r="47" spans="1:17" ht="12.75" outlineLevel="2">
      <c r="A47" s="255"/>
      <c r="E47" s="360"/>
      <c r="F47" s="360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367"/>
    </row>
    <row r="48" spans="1:17" ht="12.75" outlineLevel="2">
      <c r="A48" s="255"/>
      <c r="B48" s="241" t="s">
        <v>26</v>
      </c>
      <c r="C48" s="241"/>
      <c r="E48" s="360"/>
      <c r="F48" s="360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367"/>
    </row>
    <row r="49" spans="1:18" ht="12.75" outlineLevel="2">
      <c r="A49" s="255"/>
      <c r="B49" s="71">
        <v>447000</v>
      </c>
      <c r="D49" s="360">
        <f aca="true" t="shared" si="15" ref="D49:D55">SUM(E49:P49)</f>
        <v>-60624754</v>
      </c>
      <c r="E49" s="156">
        <f>_XLL.GET_BALANCE(E$83,"PTD","USD","Total","A","","001","447000","ED","AN","DL")</f>
        <v>-6443349</v>
      </c>
      <c r="F49" s="156">
        <f>_XLL.GET_BALANCE(F$83,"PTD","USD","Total","A","","001","447000","ED","AN","DL")</f>
        <v>-4300395</v>
      </c>
      <c r="G49" s="156">
        <f>_XLL.GET_BALANCE(G$83,"PTD","USD","Total","A","","001","447000","ED","AN","DL")</f>
        <v>-3223885</v>
      </c>
      <c r="H49" s="156">
        <f>_XLL.GET_BALANCE(H$83,"PTD","USD","Total","A","","001","447000","ED","AN","DL")</f>
        <v>-3748719</v>
      </c>
      <c r="I49" s="156">
        <f>_XLL.GET_BALANCE(I$83,"PTD","USD","Total","A","","001","447000","ED","AN","DL")</f>
        <v>-2808113</v>
      </c>
      <c r="J49" s="156">
        <f>_XLL.GET_BALANCE(J$83,"PTD","USD","Total","A","","001","447000","ED","AN","DL")</f>
        <v>-2397556</v>
      </c>
      <c r="K49" s="156">
        <f>_XLL.GET_BALANCE(K$83,"PTD","USD","Total","A","","001","447000","ED","AN","DL")</f>
        <v>-5290605</v>
      </c>
      <c r="L49" s="156">
        <f>_XLL.GET_BALANCE(L$83,"PTD","USD","Total","A","","001","447000","ED","AN","DL")</f>
        <v>-7013104</v>
      </c>
      <c r="M49" s="156">
        <f>_XLL.GET_BALANCE(M$83,"PTD","USD","Total","A","","001","447000","ED","AN","DL")</f>
        <v>-5594362</v>
      </c>
      <c r="N49" s="156">
        <f>_XLL.GET_BALANCE(N$83,"PTD","USD","Total","A","","001","447000","ED","AN","DL")</f>
        <v>-4186325</v>
      </c>
      <c r="O49" s="156">
        <f>_XLL.GET_BALANCE(O$83,"PTD","USD","Total","A","","001","447000","ED","AN","DL")</f>
        <v>-6353557</v>
      </c>
      <c r="P49" s="156">
        <f>_XLL.GET_BALANCE(P$83,"PTD","USD","Total","A","","001","447000","ED","AN","DL")</f>
        <v>-9264784</v>
      </c>
      <c r="Q49" s="368"/>
      <c r="R49" s="350">
        <f aca="true" t="shared" si="16" ref="R49:R54">SUM(E49:P49)</f>
        <v>-60624754</v>
      </c>
    </row>
    <row r="50" spans="1:18" ht="12.75" outlineLevel="2">
      <c r="A50" s="255"/>
      <c r="B50" s="71">
        <v>447100</v>
      </c>
      <c r="D50" s="360">
        <f t="shared" si="15"/>
        <v>-3007384</v>
      </c>
      <c r="E50" s="156">
        <f>_XLL.GET_BALANCE(E$83,"PTD","USD","Total","A","","001","447100","ED","AN","DL")</f>
        <v>289518</v>
      </c>
      <c r="F50" s="156">
        <f>_XLL.GET_BALANCE(F$83,"PTD","USD","Total","A","","001","447100","ED","AN","DL")</f>
        <v>-1363010</v>
      </c>
      <c r="G50" s="156">
        <f>_XLL.GET_BALANCE(G$83,"PTD","USD","Total","A","","001","447100","ED","AN","DL")</f>
        <v>-2734594</v>
      </c>
      <c r="H50" s="156">
        <f>_XLL.GET_BALANCE(H$83,"PTD","USD","Total","A","","001","447100","ED","AN","DL")</f>
        <v>-1535664</v>
      </c>
      <c r="I50" s="156">
        <f>_XLL.GET_BALANCE(I$83,"PTD","USD","Total","A","","001","447100","ED","AN","DL")</f>
        <v>-1309900</v>
      </c>
      <c r="J50" s="156">
        <f>_XLL.GET_BALANCE(J$83,"PTD","USD","Total","A","","001","447100","ED","AN","DL")</f>
        <v>-1439179</v>
      </c>
      <c r="K50" s="156">
        <f>_XLL.GET_BALANCE(K$83,"PTD","USD","Total","A","","001","447100","ED","AN","DL")</f>
        <v>211353</v>
      </c>
      <c r="L50" s="156">
        <f>_XLL.GET_BALANCE(L$83,"PTD","USD","Total","A","","001","447100","ED","AN","DL")</f>
        <v>5635051</v>
      </c>
      <c r="M50" s="156">
        <f>_XLL.GET_BALANCE(M$83,"PTD","USD","Total","A","","001","447100","ED","AN","DL")</f>
        <v>589335</v>
      </c>
      <c r="N50" s="156">
        <f>_XLL.GET_BALANCE(N$83,"PTD","USD","Total","A","","001","447100","ED","AN","DL")</f>
        <v>-295289</v>
      </c>
      <c r="O50" s="156">
        <f>_XLL.GET_BALANCE(O$83,"PTD","USD","Total","A","","001","447100","ED","AN","DL")</f>
        <v>-331315</v>
      </c>
      <c r="P50" s="156">
        <f>_XLL.GET_BALANCE(P$83,"PTD","USD","Total","A","","001","447100","ED","AN","DL")</f>
        <v>-723690</v>
      </c>
      <c r="Q50" s="368"/>
      <c r="R50" s="350">
        <f t="shared" si="16"/>
        <v>-3007384</v>
      </c>
    </row>
    <row r="51" spans="1:18" ht="12.75" outlineLevel="2">
      <c r="A51" s="255"/>
      <c r="B51" s="71">
        <v>447313</v>
      </c>
      <c r="D51" s="360">
        <f t="shared" si="15"/>
        <v>0</v>
      </c>
      <c r="E51" s="156">
        <f>_XLL.GET_BALANCE(E$83,"PTD","USD","Total","A","","001","447313","ED","AN","DL")</f>
        <v>0</v>
      </c>
      <c r="F51" s="156">
        <f>_XLL.GET_BALANCE(F$83,"PTD","USD","Total","A","","001","447313","ED","AN","DL")</f>
        <v>0</v>
      </c>
      <c r="G51" s="156">
        <f>_XLL.GET_BALANCE(G$83,"PTD","USD","Total","A","","001","447313","ED","AN","DL")</f>
        <v>0</v>
      </c>
      <c r="H51" s="156">
        <f>_XLL.GET_BALANCE(H$83,"PTD","USD","Total","A","","001","447313","ED","AN","DL")</f>
        <v>0</v>
      </c>
      <c r="I51" s="156">
        <f>_XLL.GET_BALANCE(I$83,"PTD","USD","Total","A","","001","447313","ED","AN","DL")</f>
        <v>0</v>
      </c>
      <c r="J51" s="156">
        <f>_XLL.GET_BALANCE(J$83,"PTD","USD","Total","A","","001","447313","ED","AN","DL")</f>
        <v>0</v>
      </c>
      <c r="K51" s="156">
        <f>_XLL.GET_BALANCE(K$83,"PTD","USD","Total","A","","001","447313","ED","AN","DL")</f>
        <v>0</v>
      </c>
      <c r="L51" s="156">
        <f>_XLL.GET_BALANCE(L$83,"PTD","USD","Total","A","","001","447313","ED","AN","DL")</f>
        <v>0</v>
      </c>
      <c r="M51" s="156">
        <f>_XLL.GET_BALANCE(M$83,"PTD","USD","Total","A","","001","447313","ED","AN","DL")</f>
        <v>0</v>
      </c>
      <c r="N51" s="156">
        <f>_XLL.GET_BALANCE(N$83,"PTD","USD","Total","A","","001","447313","ED","AN","DL")</f>
        <v>0</v>
      </c>
      <c r="O51" s="156">
        <f>_XLL.GET_BALANCE(O$83,"PTD","USD","Total","A","","001","447313","ED","AN","DL")</f>
        <v>0</v>
      </c>
      <c r="P51" s="156">
        <f>_XLL.GET_BALANCE(P$83,"PTD","USD","Total","A","","001","447313","ED","AN","DL")</f>
        <v>0</v>
      </c>
      <c r="Q51" s="368"/>
      <c r="R51" s="350">
        <f t="shared" si="16"/>
        <v>0</v>
      </c>
    </row>
    <row r="52" spans="1:18" ht="12.75" outlineLevel="2">
      <c r="A52" s="255"/>
      <c r="B52" s="71">
        <v>447700</v>
      </c>
      <c r="D52" s="360">
        <f t="shared" si="15"/>
        <v>-5431032</v>
      </c>
      <c r="E52" s="156">
        <f>_XLL.GET_BALANCE(E$83,"PTD","USD","Total","A","","001","447700","ED","AN","DL")</f>
        <v>-802832</v>
      </c>
      <c r="F52" s="156">
        <f>_XLL.GET_BALANCE(F$83,"PTD","USD","Total","A","","001","447700","ED","AN","DL")</f>
        <v>-993315</v>
      </c>
      <c r="G52" s="156">
        <f>_XLL.GET_BALANCE(G$83,"PTD","USD","Total","A","","001","447700","ED","AN","DL")</f>
        <v>-559145</v>
      </c>
      <c r="H52" s="156">
        <f>_XLL.GET_BALANCE(H$83,"PTD","USD","Total","A","","001","447700","ED","AN","DL")</f>
        <v>-156940</v>
      </c>
      <c r="I52" s="156">
        <f>_XLL.GET_BALANCE(I$83,"PTD","USD","Total","A","","001","447700","ED","AN","DL")</f>
        <v>-147400</v>
      </c>
      <c r="J52" s="156">
        <f>_XLL.GET_BALANCE(J$83,"PTD","USD","Total","A","","001","447700","ED","AN","DL")</f>
        <v>-141420</v>
      </c>
      <c r="K52" s="156">
        <f>_XLL.GET_BALANCE(K$83,"PTD","USD","Total","A","","001","447700","ED","AN","DL")</f>
        <v>-301175</v>
      </c>
      <c r="L52" s="156">
        <f>_XLL.GET_BALANCE(L$83,"PTD","USD","Total","A","","001","447700","ED","AN","DL")</f>
        <v>-1019371</v>
      </c>
      <c r="M52" s="156">
        <f>_XLL.GET_BALANCE(M$83,"PTD","USD","Total","A","","001","447700","ED","AN","DL")</f>
        <v>-438245</v>
      </c>
      <c r="N52" s="156">
        <f>_XLL.GET_BALANCE(N$83,"PTD","USD","Total","A","","001","447700","ED","AN","DL")</f>
        <v>-627895</v>
      </c>
      <c r="O52" s="156">
        <f>_XLL.GET_BALANCE(O$83,"PTD","USD","Total","A","","001","447700","ED","AN","DL")</f>
        <v>-154784</v>
      </c>
      <c r="P52" s="156">
        <f>_XLL.GET_BALANCE(P$83,"PTD","USD","Total","A","","001","447700","ED","AN","DL")</f>
        <v>-88510</v>
      </c>
      <c r="Q52" s="368"/>
      <c r="R52" s="350">
        <f t="shared" si="16"/>
        <v>-5431032</v>
      </c>
    </row>
    <row r="53" spans="1:18" ht="12.75" outlineLevel="2">
      <c r="A53" s="255"/>
      <c r="B53" s="71">
        <v>447710</v>
      </c>
      <c r="D53" s="360">
        <f t="shared" si="15"/>
        <v>-2472918</v>
      </c>
      <c r="E53" s="156">
        <f>_XLL.GET_BALANCE(E$83,"PTD","USD","Total","A","","001","447710","ED","AN","DL")</f>
        <v>-261636</v>
      </c>
      <c r="F53" s="156">
        <f>_XLL.GET_BALANCE(F$83,"PTD","USD","Total","A","","001","447710","ED","AN","DL")</f>
        <v>-234225</v>
      </c>
      <c r="G53" s="156">
        <f>_XLL.GET_BALANCE(G$83,"PTD","USD","Total","A","","001","447710","ED","AN","DL")</f>
        <v>-194814</v>
      </c>
      <c r="H53" s="156">
        <f>_XLL.GET_BALANCE(H$83,"PTD","USD","Total","A","","001","447710","ED","AN","DL")</f>
        <v>-174215</v>
      </c>
      <c r="I53" s="156">
        <f>_XLL.GET_BALANCE(I$83,"PTD","USD","Total","A","","001","447710","ED","AN","DL")</f>
        <v>-178872</v>
      </c>
      <c r="J53" s="156">
        <f>_XLL.GET_BALANCE(J$83,"PTD","USD","Total","A","","001","447710","ED","AN","DL")</f>
        <v>-185649</v>
      </c>
      <c r="K53" s="156">
        <f>_XLL.GET_BALANCE(K$83,"PTD","USD","Total","A","","001","447710","ED","AN","DL")</f>
        <v>-206488</v>
      </c>
      <c r="L53" s="156">
        <f>_XLL.GET_BALANCE(L$83,"PTD","USD","Total","A","","001","447710","ED","AN","DL")</f>
        <v>-204218</v>
      </c>
      <c r="M53" s="156">
        <f>_XLL.GET_BALANCE(M$83,"PTD","USD","Total","A","","001","447710","ED","AN","DL")</f>
        <v>-178839</v>
      </c>
      <c r="N53" s="156">
        <f>_XLL.GET_BALANCE(N$83,"PTD","USD","Total","A","","001","447710","ED","AN","DL")</f>
        <v>-185763</v>
      </c>
      <c r="O53" s="156">
        <f>_XLL.GET_BALANCE(O$83,"PTD","USD","Total","A","","001","447710","ED","AN","DL")</f>
        <v>-196857</v>
      </c>
      <c r="P53" s="156">
        <f>_XLL.GET_BALANCE(P$83,"PTD","USD","Total","A","","001","447710","ED","AN","DL")</f>
        <v>-271342</v>
      </c>
      <c r="Q53" s="368"/>
      <c r="R53" s="350">
        <f t="shared" si="16"/>
        <v>-2472918</v>
      </c>
    </row>
    <row r="54" spans="1:18" ht="12.75" outlineLevel="2">
      <c r="A54" s="255"/>
      <c r="B54" s="71">
        <v>447720</v>
      </c>
      <c r="C54" s="52" t="s">
        <v>357</v>
      </c>
      <c r="D54" s="362">
        <f t="shared" si="15"/>
        <v>-17242924</v>
      </c>
      <c r="E54" s="179">
        <f>_XLL.GET_BALANCE(E$83,"PTD","USD","Total","A","","001","447720","ED","AN","DL")</f>
        <v>-1027042</v>
      </c>
      <c r="F54" s="179">
        <f>_XLL.GET_BALANCE(F$83,"PTD","USD","Total","A","","001","447720","ED","AN","DL")</f>
        <v>-1389739</v>
      </c>
      <c r="G54" s="179">
        <f>_XLL.GET_BALANCE(G$83,"PTD","USD","Total","A","","001","447720","ED","AN","DL")</f>
        <v>-1383780</v>
      </c>
      <c r="H54" s="179">
        <f>_XLL.GET_BALANCE(H$83,"PTD","USD","Total","A","","001","447720","ED","AN","DL")</f>
        <v>-1672760</v>
      </c>
      <c r="I54" s="179">
        <f>_XLL.GET_BALANCE(I$83,"PTD","USD","Total","A","","001","447720","ED","AN","DL")</f>
        <v>-1364377</v>
      </c>
      <c r="J54" s="179">
        <f>_XLL.GET_BALANCE(J$83,"PTD","USD","Total","A","","001","447720","ED","AN","DL")</f>
        <v>-1258605</v>
      </c>
      <c r="K54" s="179">
        <f>_XLL.GET_BALANCE(K$83,"PTD","USD","Total","A","","001","447720","ED","AN","DL")</f>
        <v>-1203890</v>
      </c>
      <c r="L54" s="179">
        <f>_XLL.GET_BALANCE(L$83,"PTD","USD","Total","A","","001","447720","ED","AN","DL")</f>
        <v>-1235695</v>
      </c>
      <c r="M54" s="179">
        <f>_XLL.GET_BALANCE(M$83,"PTD","USD","Total","A","","001","447720","ED","AN","DL")</f>
        <v>-1239088</v>
      </c>
      <c r="N54" s="179">
        <f>_XLL.GET_BALANCE(N$83,"PTD","USD","Total","A","","001","447720","ED","AN","DL")</f>
        <v>-1319524</v>
      </c>
      <c r="O54" s="179">
        <f>_XLL.GET_BALANCE(O$83,"PTD","USD","Total","A","","001","447720","ED","AN","DL")</f>
        <v>-1882209</v>
      </c>
      <c r="P54" s="179">
        <f>_XLL.GET_BALANCE(P$83,"PTD","USD","Total","A","","001","447720","ED","AN","DL")</f>
        <v>-2266215</v>
      </c>
      <c r="Q54" s="368"/>
      <c r="R54" s="369">
        <f t="shared" si="16"/>
        <v>-17242924</v>
      </c>
    </row>
    <row r="55" spans="1:18" s="183" customFormat="1" ht="12.75" outlineLevel="2">
      <c r="A55" s="346"/>
      <c r="D55" s="194">
        <f t="shared" si="15"/>
        <v>-88779012</v>
      </c>
      <c r="E55" s="180">
        <f aca="true" t="shared" si="17" ref="E55:P55">SUM(E49:E54)</f>
        <v>-8245341</v>
      </c>
      <c r="F55" s="180">
        <f t="shared" si="17"/>
        <v>-8280684</v>
      </c>
      <c r="G55" s="180">
        <f t="shared" si="17"/>
        <v>-8096218</v>
      </c>
      <c r="H55" s="180">
        <f t="shared" si="17"/>
        <v>-7288298</v>
      </c>
      <c r="I55" s="180">
        <f t="shared" si="17"/>
        <v>-5808662</v>
      </c>
      <c r="J55" s="180">
        <f t="shared" si="17"/>
        <v>-5422409</v>
      </c>
      <c r="K55" s="180">
        <f t="shared" si="17"/>
        <v>-6790805</v>
      </c>
      <c r="L55" s="180">
        <f t="shared" si="17"/>
        <v>-3837337</v>
      </c>
      <c r="M55" s="180">
        <f>SUM(M49:M54)</f>
        <v>-6861199</v>
      </c>
      <c r="N55" s="180">
        <f t="shared" si="17"/>
        <v>-6614796</v>
      </c>
      <c r="O55" s="180">
        <f t="shared" si="17"/>
        <v>-8918722</v>
      </c>
      <c r="P55" s="180">
        <f t="shared" si="17"/>
        <v>-12614541</v>
      </c>
      <c r="Q55" s="370"/>
      <c r="R55" s="194">
        <f>SUM(R49:R54)</f>
        <v>-88779012</v>
      </c>
    </row>
    <row r="56" spans="1:18" ht="12.75" outlineLevel="2">
      <c r="A56" s="255"/>
      <c r="E56" s="360"/>
      <c r="F56" s="360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368"/>
      <c r="R56" s="360"/>
    </row>
    <row r="57" spans="1:18" ht="12.75">
      <c r="A57" s="255"/>
      <c r="B57" s="239" t="s">
        <v>20</v>
      </c>
      <c r="C57" s="239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368"/>
      <c r="R57" s="360"/>
    </row>
    <row r="58" spans="1:18" ht="12.75">
      <c r="A58" s="255">
        <f>A45+1</f>
        <v>24</v>
      </c>
      <c r="B58" s="52" t="s">
        <v>236</v>
      </c>
      <c r="C58" s="52"/>
      <c r="D58" s="360">
        <f>SUM(E58:P58)</f>
        <v>5866591</v>
      </c>
      <c r="E58" s="156">
        <f>_XLL.GET_BALANCE(E$83,"PTD","USD","Total","A","","001","501110","ED","AN","DL")</f>
        <v>653011</v>
      </c>
      <c r="F58" s="156">
        <f>_XLL.GET_BALANCE(F$83,"PTD","USD","Total","A","","001","501110","ED","AN","DL")</f>
        <v>601581</v>
      </c>
      <c r="G58" s="156">
        <f>_XLL.GET_BALANCE(G$83,"PTD","USD","Total","A","","001","501110","ED","AN","DL")</f>
        <v>506752</v>
      </c>
      <c r="H58" s="156">
        <f>_XLL.GET_BALANCE(H$83,"PTD","USD","Total","A","","001","501110","ED","AN","DL")</f>
        <v>286373</v>
      </c>
      <c r="I58" s="156">
        <f>_XLL.GET_BALANCE(I$83,"PTD","USD","Total","A","","001","501110","ED","AN","DL")</f>
        <v>3929</v>
      </c>
      <c r="J58" s="156">
        <f>_XLL.GET_BALANCE(J$83,"PTD","USD","Total","A","","001","501110","ED","AN","DL")</f>
        <v>96468</v>
      </c>
      <c r="K58" s="156">
        <f>_XLL.GET_BALANCE(K$83,"PTD","USD","Total","A","","001","501110","ED","AN","DL")</f>
        <v>622930</v>
      </c>
      <c r="L58" s="156">
        <f>_XLL.GET_BALANCE(L$83,"PTD","USD","Total","A","","001","501110","ED","AN","DL")</f>
        <v>576580</v>
      </c>
      <c r="M58" s="156">
        <f>_XLL.GET_BALANCE(M$83,"PTD","USD","Total","A","","001","501110","ED","AN","DL")</f>
        <v>711029</v>
      </c>
      <c r="N58" s="156">
        <f>_XLL.GET_BALANCE(N$83,"PTD","USD","Total","A","","001","501110","ED","AN","DL")</f>
        <v>522428</v>
      </c>
      <c r="O58" s="156">
        <f>_XLL.GET_BALANCE(O$83,"PTD","USD","Total","A","","001","501110","ED","AN","DL")</f>
        <v>614943</v>
      </c>
      <c r="P58" s="156">
        <f>_XLL.GET_BALANCE(P$83,"PTD","USD","Total","A","","001","501110","ED","AN","DL")</f>
        <v>670567</v>
      </c>
      <c r="Q58" s="371"/>
      <c r="R58" s="195">
        <f>SUM(E58:P58)</f>
        <v>5866591</v>
      </c>
    </row>
    <row r="59" spans="1:18" ht="12.75">
      <c r="A59" s="255">
        <f>+A58+1</f>
        <v>25</v>
      </c>
      <c r="B59" s="52" t="s">
        <v>235</v>
      </c>
      <c r="C59" s="52"/>
      <c r="D59" s="360">
        <f>SUM(E59:P59)</f>
        <v>29381</v>
      </c>
      <c r="E59" s="156">
        <f>_XLL.GET_BALANCE(E$83,"PTD","USD","Total","A","","001","501120","ED","AN","DL")</f>
        <v>3295</v>
      </c>
      <c r="F59" s="156">
        <f>_XLL.GET_BALANCE(F$83,"PTD","USD","Total","A","","001","501120","ED","AN","DL")</f>
        <v>2449</v>
      </c>
      <c r="G59" s="156">
        <f>_XLL.GET_BALANCE(G$83,"PTD","USD","Total","A","","001","501120","ED","AN","DL")</f>
        <v>1816</v>
      </c>
      <c r="H59" s="156">
        <f>_XLL.GET_BALANCE(H$83,"PTD","USD","Total","A","","001","501120","ED","AN","DL")</f>
        <v>2406</v>
      </c>
      <c r="I59" s="156">
        <f>_XLL.GET_BALANCE(I$83,"PTD","USD","Total","A","","001","501120","ED","AN","DL")</f>
        <v>-50</v>
      </c>
      <c r="J59" s="156">
        <f>_XLL.GET_BALANCE(J$83,"PTD","USD","Total","A","","001","501120","ED","AN","DL")</f>
        <v>4924</v>
      </c>
      <c r="K59" s="156">
        <f>_XLL.GET_BALANCE(K$83,"PTD","USD","Total","A","","001","501120","ED","AN","DL")</f>
        <v>1635</v>
      </c>
      <c r="L59" s="156">
        <f>_XLL.GET_BALANCE(L$83,"PTD","USD","Total","A","","001","501120","ED","AN","DL")</f>
        <v>2055</v>
      </c>
      <c r="M59" s="156">
        <f>_XLL.GET_BALANCE(M$83,"PTD","USD","Total","A","","001","501120","ED","AN","DL")</f>
        <v>535</v>
      </c>
      <c r="N59" s="156">
        <f>_XLL.GET_BALANCE(N$83,"PTD","USD","Total","A","","001","501120","ED","AN","DL")</f>
        <v>7595</v>
      </c>
      <c r="O59" s="156">
        <f>_XLL.GET_BALANCE(O$83,"PTD","USD","Total","A","","001","501120","ED","AN","DL")</f>
        <v>73</v>
      </c>
      <c r="P59" s="156">
        <f>_XLL.GET_BALANCE(P$83,"PTD","USD","Total","A","","001","501120","ED","AN","DL")</f>
        <v>2648</v>
      </c>
      <c r="Q59" s="371"/>
      <c r="R59" s="195">
        <f>SUM(E59:P59)</f>
        <v>29381</v>
      </c>
    </row>
    <row r="60" spans="1:18" ht="12.75">
      <c r="A60" s="255">
        <f>+A59+1</f>
        <v>26</v>
      </c>
      <c r="B60" s="73" t="s">
        <v>164</v>
      </c>
      <c r="C60" s="73"/>
      <c r="D60" s="360">
        <f>SUM(E60:P60)</f>
        <v>20218281</v>
      </c>
      <c r="E60" s="156">
        <f>_XLL.GET_BALANCE(E$83,"PTD","USD","Total","A","","001","501140","ED","AN","DL")</f>
        <v>2431169</v>
      </c>
      <c r="F60" s="156">
        <f>_XLL.GET_BALANCE(F$83,"PTD","USD","Total","A","","001","501140","ED","AN","DL")</f>
        <v>832329</v>
      </c>
      <c r="G60" s="156">
        <f>_XLL.GET_BALANCE(G$83,"PTD","USD","Total","A","","001","501140","ED","AN","DL")</f>
        <v>1144320</v>
      </c>
      <c r="H60" s="156">
        <f>_XLL.GET_BALANCE(H$83,"PTD","USD","Total","A","","001","501140","ED","AN","DL")</f>
        <v>1237540</v>
      </c>
      <c r="I60" s="156">
        <f>_XLL.GET_BALANCE(I$83,"PTD","USD","Total","A","","001","501140","ED","AN","DL")</f>
        <v>589200</v>
      </c>
      <c r="J60" s="156">
        <f>_XLL.GET_BALANCE(J$83,"PTD","USD","Total","A","","001","501140","ED","AN","DL")</f>
        <v>827357</v>
      </c>
      <c r="K60" s="156">
        <f>_XLL.GET_BALANCE(K$83,"PTD","USD","Total","A","","001","501140","ED","AN","DL")</f>
        <v>2405242</v>
      </c>
      <c r="L60" s="156">
        <f>_XLL.GET_BALANCE(L$83,"PTD","USD","Total","A","","001","501140","ED","AN","DL")</f>
        <v>3165929</v>
      </c>
      <c r="M60" s="156">
        <f>_XLL.GET_BALANCE(M$83,"PTD","USD","Total","A","","001","501140","ED","AN","DL")</f>
        <v>1812443</v>
      </c>
      <c r="N60" s="156">
        <f>_XLL.GET_BALANCE(N$83,"PTD","USD","Total","A","","001","501140","ED","AN","DL")</f>
        <v>2238001</v>
      </c>
      <c r="O60" s="156">
        <f>_XLL.GET_BALANCE(O$83,"PTD","USD","Total","A","","001","501140","ED","AN","DL")</f>
        <v>1367953</v>
      </c>
      <c r="P60" s="156">
        <f>_XLL.GET_BALANCE(P$83,"PTD","USD","Total","A","","001","501140","ED","AN","DL")</f>
        <v>2166798</v>
      </c>
      <c r="Q60" s="371"/>
      <c r="R60" s="372">
        <f>SUM(E60:P60)</f>
        <v>20218281</v>
      </c>
    </row>
    <row r="61" spans="1:18" ht="12.75">
      <c r="A61" s="255">
        <f>+A60+1</f>
        <v>27</v>
      </c>
      <c r="B61" s="73" t="s">
        <v>163</v>
      </c>
      <c r="C61" s="73"/>
      <c r="D61" s="360">
        <f>SUM(E61:P61)</f>
        <v>174686</v>
      </c>
      <c r="E61" s="156">
        <f>_XLL.GET_BALANCE(E$83,"PTD","USD","Total","A","","001","501160","ED","AN","DL")</f>
        <v>20051</v>
      </c>
      <c r="F61" s="156">
        <f>_XLL.GET_BALANCE(F$83,"PTD","USD","Total","A","","001","501160","ED","AN","DL")</f>
        <v>9405</v>
      </c>
      <c r="G61" s="156">
        <f>_XLL.GET_BALANCE(G$83,"PTD","USD","Total","A","","001","501160","ED","AN","DL")</f>
        <v>6597</v>
      </c>
      <c r="H61" s="156">
        <f>_XLL.GET_BALANCE(H$83,"PTD","USD","Total","A","","001","501160","ED","AN","DL")</f>
        <v>27277</v>
      </c>
      <c r="I61" s="156">
        <f>_XLL.GET_BALANCE(I$83,"PTD","USD","Total","A","","001","501160","ED","AN","DL")</f>
        <v>0</v>
      </c>
      <c r="J61" s="156">
        <f>_XLL.GET_BALANCE(J$83,"PTD","USD","Total","A","","001","501160","ED","AN","DL")</f>
        <v>3840</v>
      </c>
      <c r="K61" s="156">
        <f>_XLL.GET_BALANCE(K$83,"PTD","USD","Total","A","","001","501160","ED","AN","DL")</f>
        <v>28621</v>
      </c>
      <c r="L61" s="156">
        <f>_XLL.GET_BALANCE(L$83,"PTD","USD","Total","A","","001","501160","ED","AN","DL")</f>
        <v>18427</v>
      </c>
      <c r="M61" s="156">
        <f>_XLL.GET_BALANCE(M$83,"PTD","USD","Total","A","","001","501160","ED","AN","DL")</f>
        <v>6184</v>
      </c>
      <c r="N61" s="156">
        <f>_XLL.GET_BALANCE(N$83,"PTD","USD","Total","A","","001","501160","ED","AN","DL")</f>
        <v>18648</v>
      </c>
      <c r="O61" s="156">
        <f>_XLL.GET_BALANCE(O$83,"PTD","USD","Total","A","","001","501160","ED","AN","DL")</f>
        <v>25408</v>
      </c>
      <c r="P61" s="156">
        <f>_XLL.GET_BALANCE(P$83,"PTD","USD","Total","A","","001","501160","ED","AN","DL")</f>
        <v>10228</v>
      </c>
      <c r="Q61" s="371"/>
      <c r="R61" s="372">
        <f>SUM(E61:P61)</f>
        <v>174686</v>
      </c>
    </row>
    <row r="62" spans="1:18" s="183" customFormat="1" ht="27.75" customHeight="1" thickBot="1">
      <c r="A62" s="357">
        <f>+A61+1</f>
        <v>28</v>
      </c>
      <c r="B62" s="240" t="s">
        <v>225</v>
      </c>
      <c r="C62" s="240"/>
      <c r="D62" s="193">
        <f>SUM(E62:P62)</f>
        <v>26288939</v>
      </c>
      <c r="E62" s="170">
        <f>SUM(E58:E61)</f>
        <v>3107526</v>
      </c>
      <c r="F62" s="170">
        <f aca="true" t="shared" si="18" ref="F62:P62">SUM(F58:F61)</f>
        <v>1445764</v>
      </c>
      <c r="G62" s="170">
        <f t="shared" si="18"/>
        <v>1659485</v>
      </c>
      <c r="H62" s="170">
        <f t="shared" si="18"/>
        <v>1553596</v>
      </c>
      <c r="I62" s="170">
        <f t="shared" si="18"/>
        <v>593079</v>
      </c>
      <c r="J62" s="170">
        <f t="shared" si="18"/>
        <v>932589</v>
      </c>
      <c r="K62" s="170">
        <f t="shared" si="18"/>
        <v>3058428</v>
      </c>
      <c r="L62" s="170">
        <f t="shared" si="18"/>
        <v>3762991</v>
      </c>
      <c r="M62" s="170">
        <f t="shared" si="18"/>
        <v>2530191</v>
      </c>
      <c r="N62" s="170">
        <f t="shared" si="18"/>
        <v>2786672</v>
      </c>
      <c r="O62" s="170">
        <f t="shared" si="18"/>
        <v>2008377</v>
      </c>
      <c r="P62" s="170">
        <f t="shared" si="18"/>
        <v>2850241</v>
      </c>
      <c r="Q62" s="373"/>
      <c r="R62" s="359">
        <f>SUM(E62:P62)</f>
        <v>26288939</v>
      </c>
    </row>
    <row r="63" spans="1:17" ht="8.25" customHeight="1" thickTop="1">
      <c r="A63" s="25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367"/>
    </row>
    <row r="64" spans="1:17" ht="18.75" customHeight="1">
      <c r="A64" s="255"/>
      <c r="B64" s="239" t="s">
        <v>28</v>
      </c>
      <c r="C64" s="239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367"/>
    </row>
    <row r="65" spans="1:18" ht="12.75">
      <c r="A65" s="255">
        <f>A62+1</f>
        <v>29</v>
      </c>
      <c r="B65" s="71" t="s">
        <v>21</v>
      </c>
      <c r="C65" s="52" t="s">
        <v>264</v>
      </c>
      <c r="D65" s="328">
        <f>SUM(E65:P65)</f>
        <v>508426</v>
      </c>
      <c r="E65" s="374">
        <f>'Input Tab'!C49</f>
        <v>58054</v>
      </c>
      <c r="F65" s="374">
        <f>'Input Tab'!D49</f>
        <v>53688</v>
      </c>
      <c r="G65" s="374">
        <f>'Input Tab'!E49</f>
        <v>47755</v>
      </c>
      <c r="H65" s="374">
        <f>'Input Tab'!F49</f>
        <v>28066</v>
      </c>
      <c r="I65" s="374">
        <f>'Input Tab'!G49</f>
        <v>0</v>
      </c>
      <c r="J65" s="374">
        <f>'Input Tab'!H49</f>
        <v>8826</v>
      </c>
      <c r="K65" s="374">
        <f>'Input Tab'!I49</f>
        <v>55406</v>
      </c>
      <c r="L65" s="374">
        <f>'Input Tab'!J49</f>
        <v>48916</v>
      </c>
      <c r="M65" s="374">
        <f>'Input Tab'!K49</f>
        <v>57893</v>
      </c>
      <c r="N65" s="374">
        <f>'Input Tab'!L49</f>
        <v>42599</v>
      </c>
      <c r="O65" s="374">
        <f>'Input Tab'!M49</f>
        <v>50527</v>
      </c>
      <c r="P65" s="374">
        <f>'Input Tab'!N49</f>
        <v>56696</v>
      </c>
      <c r="Q65" s="367"/>
      <c r="R65" s="63">
        <f>SUM(E65:P65)</f>
        <v>508426</v>
      </c>
    </row>
    <row r="66" spans="1:18" ht="12.75">
      <c r="A66" s="255">
        <f>A65+1</f>
        <v>30</v>
      </c>
      <c r="B66" s="71" t="s">
        <v>30</v>
      </c>
      <c r="C66" s="52" t="s">
        <v>263</v>
      </c>
      <c r="D66" s="328">
        <f>SUM(E66:P66)</f>
        <v>901281</v>
      </c>
      <c r="E66" s="374">
        <f>'Input Tab'!C50</f>
        <v>98882</v>
      </c>
      <c r="F66" s="374">
        <f>'Input Tab'!D50</f>
        <v>78121</v>
      </c>
      <c r="G66" s="374">
        <f>'Input Tab'!E50</f>
        <v>51861</v>
      </c>
      <c r="H66" s="374">
        <f>'Input Tab'!F50</f>
        <v>53431</v>
      </c>
      <c r="I66" s="374">
        <f>'Input Tab'!G50</f>
        <v>30106</v>
      </c>
      <c r="J66" s="374">
        <f>'Input Tab'!H50</f>
        <v>32503</v>
      </c>
      <c r="K66" s="374">
        <f>'Input Tab'!I50</f>
        <v>96593</v>
      </c>
      <c r="L66" s="374">
        <f>'Input Tab'!J50</f>
        <v>98520</v>
      </c>
      <c r="M66" s="374">
        <f>'Input Tab'!K50</f>
        <v>85114</v>
      </c>
      <c r="N66" s="374">
        <f>'Input Tab'!L50</f>
        <v>85618</v>
      </c>
      <c r="O66" s="374">
        <f>'Input Tab'!M50</f>
        <v>91612</v>
      </c>
      <c r="P66" s="374">
        <f>'Input Tab'!N50</f>
        <v>98920</v>
      </c>
      <c r="Q66" s="367"/>
      <c r="R66" s="63">
        <f>SUM(E66:P66)</f>
        <v>901281</v>
      </c>
    </row>
    <row r="67" spans="1:17" ht="9" customHeight="1">
      <c r="A67" s="25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367"/>
    </row>
    <row r="68" spans="1:17" ht="21" customHeight="1">
      <c r="A68" s="255"/>
      <c r="B68" s="239" t="s">
        <v>31</v>
      </c>
      <c r="C68" s="239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367"/>
    </row>
    <row r="69" spans="1:18" ht="12.75">
      <c r="A69" s="255">
        <f>A66+1</f>
        <v>31</v>
      </c>
      <c r="B69" s="71" t="s">
        <v>21</v>
      </c>
      <c r="D69" s="375" t="s">
        <v>22</v>
      </c>
      <c r="E69" s="376">
        <f>IF(E65=0," ",E58/E65)</f>
        <v>11.25</v>
      </c>
      <c r="F69" s="376">
        <f>IF(F65=0," ",F58/F65)</f>
        <v>11.21</v>
      </c>
      <c r="G69" s="376">
        <f>IF(G65=0," ",G58/G65)</f>
        <v>10.61</v>
      </c>
      <c r="H69" s="376">
        <f aca="true" t="shared" si="19" ref="H69:P69">IF(H65=0," ",H58/H65)</f>
        <v>10.2</v>
      </c>
      <c r="I69" s="376" t="str">
        <f>IF(I65=0," ",I58/I65)</f>
        <v> </v>
      </c>
      <c r="J69" s="376">
        <f t="shared" si="19"/>
        <v>10.93</v>
      </c>
      <c r="K69" s="376">
        <f>IF(K65=0," ",K58/K65)</f>
        <v>11.24</v>
      </c>
      <c r="L69" s="376">
        <f t="shared" si="19"/>
        <v>11.79</v>
      </c>
      <c r="M69" s="376">
        <f t="shared" si="19"/>
        <v>12.28</v>
      </c>
      <c r="N69" s="376">
        <f t="shared" si="19"/>
        <v>12.26</v>
      </c>
      <c r="O69" s="376">
        <f t="shared" si="19"/>
        <v>12.17</v>
      </c>
      <c r="P69" s="376">
        <f t="shared" si="19"/>
        <v>11.83</v>
      </c>
      <c r="Q69" s="377"/>
      <c r="R69" s="378">
        <f>R58/R65</f>
        <v>11.54</v>
      </c>
    </row>
    <row r="70" spans="1:18" ht="12.75">
      <c r="A70" s="255">
        <f>A69+1</f>
        <v>32</v>
      </c>
      <c r="B70" s="71" t="s">
        <v>24</v>
      </c>
      <c r="D70" s="255" t="s">
        <v>23</v>
      </c>
      <c r="E70" s="376">
        <f>IF(E66=0," ",E60/E66)</f>
        <v>24.59</v>
      </c>
      <c r="F70" s="376">
        <f>IF(F66=0," ",F60/F66)</f>
        <v>10.65</v>
      </c>
      <c r="G70" s="376">
        <f aca="true" t="shared" si="20" ref="G70:P70">IF(G66=0," ",G60/G66)</f>
        <v>22.07</v>
      </c>
      <c r="H70" s="376">
        <f t="shared" si="20"/>
        <v>23.16</v>
      </c>
      <c r="I70" s="376">
        <f>IF(I66=0," ",I60/I66)</f>
        <v>19.57</v>
      </c>
      <c r="J70" s="376">
        <f t="shared" si="20"/>
        <v>25.45</v>
      </c>
      <c r="K70" s="376">
        <f t="shared" si="20"/>
        <v>24.9</v>
      </c>
      <c r="L70" s="376">
        <f t="shared" si="20"/>
        <v>32.13</v>
      </c>
      <c r="M70" s="376">
        <f t="shared" si="20"/>
        <v>21.29</v>
      </c>
      <c r="N70" s="376">
        <f t="shared" si="20"/>
        <v>26.14</v>
      </c>
      <c r="O70" s="376">
        <f t="shared" si="20"/>
        <v>14.93</v>
      </c>
      <c r="P70" s="376">
        <f t="shared" si="20"/>
        <v>21.9</v>
      </c>
      <c r="Q70" s="377"/>
      <c r="R70" s="378">
        <f>R60/R66</f>
        <v>22.43</v>
      </c>
    </row>
    <row r="71" spans="1:17" ht="12.75">
      <c r="A71" s="25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367"/>
    </row>
    <row r="72" spans="1:17" ht="12.75">
      <c r="A72" s="255"/>
      <c r="B72" s="239" t="s">
        <v>25</v>
      </c>
      <c r="C72" s="239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367"/>
    </row>
    <row r="73" spans="1:18" ht="12.75">
      <c r="A73" s="255">
        <f>A70+1</f>
        <v>33</v>
      </c>
      <c r="B73" s="71" t="s">
        <v>183</v>
      </c>
      <c r="D73" s="360">
        <f aca="true" t="shared" si="21" ref="D73:D79">SUM(E73:P73)</f>
        <v>11963</v>
      </c>
      <c r="E73" s="156">
        <f>_XLL.GET_BALANCE(E$83,"PTD","USD","Total","A","","001","547213","ED","AN","DL")</f>
        <v>-1576</v>
      </c>
      <c r="F73" s="156">
        <f>_XLL.GET_BALANCE(F$83,"PTD","USD","Total","A","","001","547213","ED","AN","DL")</f>
        <v>1542</v>
      </c>
      <c r="G73" s="156">
        <f>_XLL.GET_BALANCE(G$83,"PTD","USD","Total","A","","001","547213","ED","AN","DL")</f>
        <v>0</v>
      </c>
      <c r="H73" s="156">
        <f>_XLL.GET_BALANCE(H$83,"PTD","USD","Total","A","","001","547213","ED","AN","DL")</f>
        <v>19</v>
      </c>
      <c r="I73" s="156">
        <f>_XLL.GET_BALANCE(I$83,"PTD","USD","Total","A","","001","547213","ED","AN","DL")</f>
        <v>1674</v>
      </c>
      <c r="J73" s="156">
        <f>_XLL.GET_BALANCE(J$83,"PTD","USD","Total","A","","001","547213","ED","AN","DL")</f>
        <v>1347</v>
      </c>
      <c r="K73" s="156">
        <f>_XLL.GET_BALANCE(K$83,"PTD","USD","Total","A","","001","547213","ED","AN","DL")</f>
        <v>1454</v>
      </c>
      <c r="L73" s="156">
        <f>_XLL.GET_BALANCE(L$83,"PTD","USD","Total","A","","001","547213","ED","AN","DL")</f>
        <v>-3</v>
      </c>
      <c r="M73" s="156">
        <f>_XLL.GET_BALANCE(M$83,"PTD","USD","Total","A","","001","547213","ED","AN","DL")</f>
        <v>21</v>
      </c>
      <c r="N73" s="156">
        <f>_XLL.GET_BALANCE(N$83,"PTD","USD","Total","A","","001","547213","ED","AN","DL")</f>
        <v>1819</v>
      </c>
      <c r="O73" s="156">
        <f>_XLL.GET_BALANCE(O$83,"PTD","USD","Total","A","","001","547213","ED","AN","DL")</f>
        <v>2101</v>
      </c>
      <c r="P73" s="156">
        <f>_XLL.GET_BALANCE(P$83,"PTD","USD","Total","A","","001","547213","ED","AN","DL")</f>
        <v>3565</v>
      </c>
      <c r="Q73" s="379"/>
      <c r="R73" s="380">
        <f aca="true" t="shared" si="22" ref="R73:R78">SUM(E73:P73)</f>
        <v>11963</v>
      </c>
    </row>
    <row r="74" spans="1:18" ht="12.75">
      <c r="A74" s="255">
        <f aca="true" t="shared" si="23" ref="A74:A79">A73+1</f>
        <v>34</v>
      </c>
      <c r="B74" s="71" t="s">
        <v>176</v>
      </c>
      <c r="D74" s="360">
        <f t="shared" si="21"/>
        <v>753503</v>
      </c>
      <c r="E74" s="156">
        <f>_XLL.GET_BALANCE(E$83,"PTD","USD","Total","A","","001","547216","ED","AN","DL")</f>
        <v>62250</v>
      </c>
      <c r="F74" s="156">
        <f>_XLL.GET_BALANCE(F$83,"PTD","USD","Total","A","","001","547216","ED","AN","DL")</f>
        <v>33173</v>
      </c>
      <c r="G74" s="156">
        <f>_XLL.GET_BALANCE(G$83,"PTD","USD","Total","A","","001","547216","ED","AN","DL")</f>
        <v>52301</v>
      </c>
      <c r="H74" s="156">
        <f>_XLL.GET_BALANCE(H$83,"PTD","USD","Total","A","","001","547216","ED","AN","DL")</f>
        <v>17025</v>
      </c>
      <c r="I74" s="156">
        <f>_XLL.GET_BALANCE(I$83,"PTD","USD","Total","A","","001","547216","ED","AN","DL")</f>
        <v>32380</v>
      </c>
      <c r="J74" s="156">
        <f>_XLL.GET_BALANCE(J$83,"PTD","USD","Total","A","","001","547216","ED","AN","DL")</f>
        <v>38501</v>
      </c>
      <c r="K74" s="156">
        <f>_XLL.GET_BALANCE(K$83,"PTD","USD","Total","A","","001","547216","ED","AN","DL")</f>
        <v>114633</v>
      </c>
      <c r="L74" s="156">
        <f>_XLL.GET_BALANCE(L$83,"PTD","USD","Total","A","","001","547216","ED","AN","DL")</f>
        <v>190719</v>
      </c>
      <c r="M74" s="156">
        <f>_XLL.GET_BALANCE(M$83,"PTD","USD","Total","A","","001","547216","ED","AN","DL")</f>
        <v>59334</v>
      </c>
      <c r="N74" s="156">
        <f>_XLL.GET_BALANCE(N$83,"PTD","USD","Total","A","","001","547216","ED","AN","DL")</f>
        <v>36878</v>
      </c>
      <c r="O74" s="156">
        <f>_XLL.GET_BALANCE(O$83,"PTD","USD","Total","A","","001","547216","ED","AN","DL")</f>
        <v>44523</v>
      </c>
      <c r="P74" s="156">
        <f>_XLL.GET_BALANCE(P$83,"PTD","USD","Total","A","","001","547216","ED","AN","DL")</f>
        <v>71786</v>
      </c>
      <c r="Q74" s="379"/>
      <c r="R74" s="380">
        <f t="shared" si="22"/>
        <v>753503</v>
      </c>
    </row>
    <row r="75" spans="1:18" ht="12.75">
      <c r="A75" s="255">
        <f t="shared" si="23"/>
        <v>35</v>
      </c>
      <c r="B75" s="71" t="s">
        <v>175</v>
      </c>
      <c r="D75" s="360">
        <f t="shared" si="21"/>
        <v>177635</v>
      </c>
      <c r="E75" s="156">
        <f>_XLL.GET_BALANCE(E83,"PTD","USD","Total","A","","001","547211","ED","AN","DL")</f>
        <v>14101</v>
      </c>
      <c r="F75" s="156">
        <f>_XLL.GET_BALANCE(F83,"PTD","USD","Total","A","","001","547211","ED","AN","DL")</f>
        <v>4234</v>
      </c>
      <c r="G75" s="156">
        <f>_XLL.GET_BALANCE(G83,"PTD","USD","Total","A","","001","547211","ED","AN","DL")</f>
        <v>5383</v>
      </c>
      <c r="H75" s="156">
        <f>_XLL.GET_BALANCE(H83,"PTD","USD","Total","A","","001","547211","ED","AN","DL")</f>
        <v>2662</v>
      </c>
      <c r="I75" s="156">
        <f>_XLL.GET_BALANCE(I83,"PTD","USD","Total","A","","001","547211","ED","AN","DL")</f>
        <v>1660</v>
      </c>
      <c r="J75" s="156">
        <f>_XLL.GET_BALANCE(J83,"PTD","USD","Total","A","","001","547211","ED","AN","DL")</f>
        <v>4799</v>
      </c>
      <c r="K75" s="156">
        <f>_XLL.GET_BALANCE(K83,"PTD","USD","Total","A","","001","547211","ED","AN","DL")</f>
        <v>34135</v>
      </c>
      <c r="L75" s="156">
        <f>_XLL.GET_BALANCE(L83,"PTD","USD","Total","A","","001","547211","ED","AN","DL")</f>
        <v>70967</v>
      </c>
      <c r="M75" s="156">
        <f>_XLL.GET_BALANCE(M83,"PTD","USD","Total","A","","001","547211","ED","AN","DL")</f>
        <v>21007</v>
      </c>
      <c r="N75" s="156">
        <f>_XLL.GET_BALANCE(N83,"PTD","USD","Total","A","","001","547211","ED","AN","DL")</f>
        <v>8765</v>
      </c>
      <c r="O75" s="156">
        <f>_XLL.GET_BALANCE(O83,"PTD","USD","Total","A","","001","547211","ED","AN","DL")</f>
        <v>4062</v>
      </c>
      <c r="P75" s="156">
        <f>_XLL.GET_BALANCE(P83,"PTD","USD","Total","A","","001","547211","ED","AN","DL")</f>
        <v>5860</v>
      </c>
      <c r="Q75" s="379"/>
      <c r="R75" s="380">
        <f t="shared" si="22"/>
        <v>177635</v>
      </c>
    </row>
    <row r="76" spans="1:18" ht="12.75">
      <c r="A76" s="255">
        <f t="shared" si="23"/>
        <v>36</v>
      </c>
      <c r="B76" s="71" t="s">
        <v>177</v>
      </c>
      <c r="D76" s="360">
        <f t="shared" si="21"/>
        <v>36279453</v>
      </c>
      <c r="E76" s="156">
        <f>_XLL.GET_BALANCE(E$83,"PTD","USD","Total","A","","001","547610","ED","AN","DL")</f>
        <v>4593125</v>
      </c>
      <c r="F76" s="156">
        <f>_XLL.GET_BALANCE(F$83,"PTD","USD","Total","A","","001","547610","ED","AN","DL")</f>
        <v>2383174</v>
      </c>
      <c r="G76" s="156">
        <f>_XLL.GET_BALANCE(G$83,"PTD","USD","Total","A","","001","547610","ED","AN","DL")</f>
        <v>1870423</v>
      </c>
      <c r="H76" s="156">
        <f>_XLL.GET_BALANCE(H$83,"PTD","USD","Total","A","","001","547610","ED","AN","DL")</f>
        <v>1426854</v>
      </c>
      <c r="I76" s="156">
        <f>_XLL.GET_BALANCE(I$83,"PTD","USD","Total","A","","001","547610","ED","AN","DL")</f>
        <v>1089979</v>
      </c>
      <c r="J76" s="156">
        <f>_XLL.GET_BALANCE(J$83,"PTD","USD","Total","A","","001","547610","ED","AN","DL")</f>
        <v>1279879</v>
      </c>
      <c r="K76" s="156">
        <f>_XLL.GET_BALANCE(K$83,"PTD","USD","Total","A","","001","547610","ED","AN","DL")</f>
        <v>4045224</v>
      </c>
      <c r="L76" s="156">
        <f>_XLL.GET_BALANCE(L$83,"PTD","USD","Total","A","","001","547610","ED","AN","DL")</f>
        <v>4345131</v>
      </c>
      <c r="M76" s="156">
        <f>_XLL.GET_BALANCE(M$83,"PTD","USD","Total","A","","001","547610","ED","AN","DL")</f>
        <v>3827452</v>
      </c>
      <c r="N76" s="156">
        <f>_XLL.GET_BALANCE(N$83,"PTD","USD","Total","A","","001","547610","ED","AN","DL")</f>
        <v>3374389</v>
      </c>
      <c r="O76" s="156">
        <f>_XLL.GET_BALANCE(O$83,"PTD","USD","Total","A","","001","547610","ED","AN","DL")</f>
        <v>3658011</v>
      </c>
      <c r="P76" s="156">
        <f>_XLL.GET_BALANCE(P$83,"PTD","USD","Total","A","","001","547610","ED","AN","DL")</f>
        <v>4385812</v>
      </c>
      <c r="Q76" s="379"/>
      <c r="R76" s="380">
        <f t="shared" si="22"/>
        <v>36279453</v>
      </c>
    </row>
    <row r="77" spans="1:18" ht="12.75">
      <c r="A77" s="255">
        <f>A76+1</f>
        <v>37</v>
      </c>
      <c r="B77" s="52" t="s">
        <v>189</v>
      </c>
      <c r="C77" s="52"/>
      <c r="D77" s="360">
        <f t="shared" si="21"/>
        <v>30033795</v>
      </c>
      <c r="E77" s="156">
        <f>_XLL.GET_BALANCE(E$83,"PTD","USD","Total","A","","001","547312","ED","AN","DL")</f>
        <v>4264501</v>
      </c>
      <c r="F77" s="156">
        <f>_XLL.GET_BALANCE(F$83,"PTD","USD","Total","A","","001","547312","ED","AN","DL")</f>
        <v>1800867</v>
      </c>
      <c r="G77" s="156">
        <f>_XLL.GET_BALANCE(G$83,"PTD","USD","Total","A","","001","547312","ED","AN","DL")</f>
        <v>714582</v>
      </c>
      <c r="H77" s="156">
        <f>_XLL.GET_BALANCE(H$83,"PTD","USD","Total","A","","001","547312","ED","AN","DL")</f>
        <v>853392</v>
      </c>
      <c r="I77" s="156">
        <f>_XLL.GET_BALANCE(I$83,"PTD","USD","Total","A","","001","547312","ED","AN","DL")</f>
        <v>1065062</v>
      </c>
      <c r="J77" s="156">
        <f>_XLL.GET_BALANCE(J$83,"PTD","USD","Total","A","","001","547312","ED","AN","DL")</f>
        <v>923329</v>
      </c>
      <c r="K77" s="156">
        <f>_XLL.GET_BALANCE(K$83,"PTD","USD","Total","A","","001","547312","ED","AN","DL")</f>
        <v>3730447</v>
      </c>
      <c r="L77" s="156">
        <f>_XLL.GET_BALANCE(L$83,"PTD","USD","Total","A","","001","547312","ED","AN","DL")</f>
        <v>3804998</v>
      </c>
      <c r="M77" s="156">
        <f>_XLL.GET_BALANCE(M$83,"PTD","USD","Total","A","","001","547312","ED","AN","DL")</f>
        <v>3063190</v>
      </c>
      <c r="N77" s="156">
        <f>_XLL.GET_BALANCE(N$83,"PTD","USD","Total","A","","001","547312","ED","AN","DL")</f>
        <v>2843590</v>
      </c>
      <c r="O77" s="156">
        <f>_XLL.GET_BALANCE(O$83,"PTD","USD","Total","A","","001","547312","ED","AN","DL")</f>
        <v>3405581</v>
      </c>
      <c r="P77" s="156">
        <f>_XLL.GET_BALANCE(P$83,"PTD","USD","Total","A","","001","547312","ED","AN","DL")</f>
        <v>3564256</v>
      </c>
      <c r="Q77" s="379"/>
      <c r="R77" s="380">
        <f>SUM(E77:P77)</f>
        <v>30033795</v>
      </c>
    </row>
    <row r="78" spans="1:18" ht="12.75">
      <c r="A78" s="255">
        <f>A77+1</f>
        <v>38</v>
      </c>
      <c r="B78" s="242" t="s">
        <v>178</v>
      </c>
      <c r="C78" s="242"/>
      <c r="D78" s="360">
        <f t="shared" si="21"/>
        <v>2270136</v>
      </c>
      <c r="E78" s="179">
        <f>_XLL.GET_BALANCE(E$83,"PTD","USD","Total","A","","001","547310","ED","AN","DL")</f>
        <v>122615</v>
      </c>
      <c r="F78" s="179">
        <f>_XLL.GET_BALANCE(F$83,"PTD","USD","Total","A","","001","547310","ED","AN","DL")</f>
        <v>116639</v>
      </c>
      <c r="G78" s="179">
        <f>_XLL.GET_BALANCE(G$83,"PTD","USD","Total","A","","001","547310","ED","AN","DL")</f>
        <v>91757</v>
      </c>
      <c r="H78" s="179">
        <f>_XLL.GET_BALANCE(H$83,"PTD","USD","Total","A","","001","547310","ED","AN","DL")</f>
        <v>17105</v>
      </c>
      <c r="I78" s="179">
        <f>_XLL.GET_BALANCE(I$83,"PTD","USD","Total","A","","001","547310","ED","AN","DL")</f>
        <v>64806</v>
      </c>
      <c r="J78" s="179">
        <f>_XLL.GET_BALANCE(J$83,"PTD","USD","Total","A","","001","547310","ED","AN","DL")</f>
        <v>65147</v>
      </c>
      <c r="K78" s="179">
        <f>_XLL.GET_BALANCE(K$83,"PTD","USD","Total","A","","001","547310","ED","AN","DL")</f>
        <v>323775</v>
      </c>
      <c r="L78" s="179">
        <f>_XLL.GET_BALANCE(L$83,"PTD","USD","Total","A","","001","547310","ED","AN","DL")</f>
        <v>1107794</v>
      </c>
      <c r="M78" s="179">
        <f>_XLL.GET_BALANCE(M$83,"PTD","USD","Total","A","","001","547310","ED","AN","DL")</f>
        <v>254154</v>
      </c>
      <c r="N78" s="179">
        <f>_XLL.GET_BALANCE(N$83,"PTD","USD","Total","A","","001","547310","ED","AN","DL")</f>
        <v>51117</v>
      </c>
      <c r="O78" s="179">
        <f>_XLL.GET_BALANCE(O$83,"PTD","USD","Total","A","","001","547310","ED","AN","DL")</f>
        <v>36057</v>
      </c>
      <c r="P78" s="179">
        <f>_XLL.GET_BALANCE(P$83,"PTD","USD","Total","A","","001","547310","ED","AN","DL")</f>
        <v>19170</v>
      </c>
      <c r="Q78" s="379"/>
      <c r="R78" s="381">
        <f t="shared" si="22"/>
        <v>2270136</v>
      </c>
    </row>
    <row r="79" spans="1:18" s="183" customFormat="1" ht="21.75" customHeight="1">
      <c r="A79" s="357">
        <f t="shared" si="23"/>
        <v>39</v>
      </c>
      <c r="B79" s="240" t="s">
        <v>224</v>
      </c>
      <c r="C79" s="240"/>
      <c r="D79" s="193">
        <f t="shared" si="21"/>
        <v>69526485</v>
      </c>
      <c r="E79" s="170">
        <f aca="true" t="shared" si="24" ref="E79:P79">SUM(E73:E78)</f>
        <v>9055016</v>
      </c>
      <c r="F79" s="170">
        <f t="shared" si="24"/>
        <v>4339629</v>
      </c>
      <c r="G79" s="170">
        <f t="shared" si="24"/>
        <v>2734446</v>
      </c>
      <c r="H79" s="170">
        <f t="shared" si="24"/>
        <v>2317057</v>
      </c>
      <c r="I79" s="170">
        <f t="shared" si="24"/>
        <v>2255561</v>
      </c>
      <c r="J79" s="170">
        <f t="shared" si="24"/>
        <v>2313002</v>
      </c>
      <c r="K79" s="170">
        <f t="shared" si="24"/>
        <v>8249668</v>
      </c>
      <c r="L79" s="170">
        <f t="shared" si="24"/>
        <v>9519606</v>
      </c>
      <c r="M79" s="170">
        <f t="shared" si="24"/>
        <v>7225158</v>
      </c>
      <c r="N79" s="170">
        <f t="shared" si="24"/>
        <v>6316558</v>
      </c>
      <c r="O79" s="170">
        <f t="shared" si="24"/>
        <v>7150335</v>
      </c>
      <c r="P79" s="170">
        <f t="shared" si="24"/>
        <v>8050449</v>
      </c>
      <c r="Q79" s="382"/>
      <c r="R79" s="383">
        <f>SUM(R73:R78)</f>
        <v>69526485</v>
      </c>
    </row>
    <row r="80" spans="1:18" ht="15.75" customHeight="1">
      <c r="A80" s="255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379"/>
      <c r="R80" s="384"/>
    </row>
    <row r="81" spans="1:18" ht="21" customHeight="1">
      <c r="A81" s="357">
        <f>A79+1</f>
        <v>40</v>
      </c>
      <c r="B81" s="243" t="s">
        <v>54</v>
      </c>
      <c r="C81" s="243"/>
      <c r="D81" s="385">
        <f>SUM(E81:P81)</f>
        <v>139536952</v>
      </c>
      <c r="E81" s="170">
        <f aca="true" t="shared" si="25" ref="E81:P81">E23+E45+E62+E79</f>
        <v>18416571</v>
      </c>
      <c r="F81" s="170">
        <f t="shared" si="25"/>
        <v>12347409</v>
      </c>
      <c r="G81" s="170">
        <f t="shared" si="25"/>
        <v>10852778</v>
      </c>
      <c r="H81" s="170">
        <f t="shared" si="25"/>
        <v>6708544</v>
      </c>
      <c r="I81" s="170">
        <f t="shared" si="25"/>
        <v>4410613</v>
      </c>
      <c r="J81" s="170">
        <f t="shared" si="25"/>
        <v>5341951</v>
      </c>
      <c r="K81" s="170">
        <f t="shared" si="25"/>
        <v>12202258</v>
      </c>
      <c r="L81" s="170">
        <f t="shared" si="25"/>
        <v>16982609</v>
      </c>
      <c r="M81" s="170">
        <f t="shared" si="25"/>
        <v>11555046</v>
      </c>
      <c r="N81" s="170">
        <f t="shared" si="25"/>
        <v>13531526</v>
      </c>
      <c r="O81" s="170">
        <f t="shared" si="25"/>
        <v>14819430</v>
      </c>
      <c r="P81" s="170">
        <f t="shared" si="25"/>
        <v>12368217</v>
      </c>
      <c r="Q81" s="386"/>
      <c r="R81" s="387">
        <f>R23-R45+R62+R79</f>
        <v>317027361</v>
      </c>
    </row>
    <row r="82" spans="5:17" ht="12" customHeight="1"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367"/>
    </row>
    <row r="83" spans="2:17" ht="12.75" outlineLevel="1">
      <c r="B83" s="244" t="s">
        <v>29</v>
      </c>
      <c r="C83" s="244"/>
      <c r="E83" s="388">
        <v>201701</v>
      </c>
      <c r="F83" s="388">
        <v>201702</v>
      </c>
      <c r="G83" s="388">
        <v>201703</v>
      </c>
      <c r="H83" s="388">
        <v>201704</v>
      </c>
      <c r="I83" s="388">
        <v>201705</v>
      </c>
      <c r="J83" s="388">
        <v>201706</v>
      </c>
      <c r="K83" s="388">
        <v>201707</v>
      </c>
      <c r="L83" s="388">
        <v>201708</v>
      </c>
      <c r="M83" s="388">
        <v>201709</v>
      </c>
      <c r="N83" s="388">
        <v>201710</v>
      </c>
      <c r="O83" s="388">
        <v>201711</v>
      </c>
      <c r="P83" s="388">
        <v>201712</v>
      </c>
      <c r="Q83" s="367"/>
    </row>
    <row r="84" spans="2:17" ht="12.75">
      <c r="B84" s="245" t="s">
        <v>231</v>
      </c>
      <c r="C84" s="245"/>
      <c r="D84" s="389"/>
      <c r="E84" s="364"/>
      <c r="F84" s="175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67"/>
    </row>
    <row r="85" spans="1:18" ht="12.75">
      <c r="A85" s="255">
        <f>A81+1</f>
        <v>41</v>
      </c>
      <c r="B85" s="244" t="s">
        <v>156</v>
      </c>
      <c r="C85" s="244"/>
      <c r="D85" s="220">
        <f aca="true" t="shared" si="26" ref="D85:D92">SUM(E85:P85)</f>
        <v>-12765475</v>
      </c>
      <c r="E85" s="156">
        <f>_XLL.GET_BALANCE(E$83,"PTD","USD","Total","A","","001","456100","ED","AN","DL")</f>
        <v>-920621</v>
      </c>
      <c r="F85" s="156">
        <f>_XLL.GET_BALANCE(F$83,"PTD","USD","Total","A","","001","456100","ED","AN","DL")</f>
        <v>-869298</v>
      </c>
      <c r="G85" s="156">
        <f>_XLL.GET_BALANCE(G$83,"PTD","USD","Total","A","","001","456100","ED","AN","DL")</f>
        <v>-946913</v>
      </c>
      <c r="H85" s="156">
        <f>_XLL.GET_BALANCE(H$83,"PTD","USD","Total","A","","001","456100","ED","AN","DL")</f>
        <v>-1144968</v>
      </c>
      <c r="I85" s="156">
        <f>_XLL.GET_BALANCE(I$83,"PTD","USD","Total","A","","001","456100","ED","AN","DL")</f>
        <v>-1540591</v>
      </c>
      <c r="J85" s="156">
        <f>_XLL.GET_BALANCE(J$83,"PTD","USD","Total","A","","001","456100","ED","AN","DL")</f>
        <v>-1592052</v>
      </c>
      <c r="K85" s="156">
        <f>_XLL.GET_BALANCE(K$83,"PTD","USD","Total","A","","001","456100","ED","AN","DL")</f>
        <v>-1190519</v>
      </c>
      <c r="L85" s="156">
        <f>_XLL.GET_BALANCE(L$83,"PTD","USD","Total","A","","001","456100","ED","AN","DL")</f>
        <v>-1212796</v>
      </c>
      <c r="M85" s="156">
        <f>_XLL.GET_BALANCE(M$83,"PTD","USD","Total","A","","001","456100","ED","AN","DL")</f>
        <v>-932841</v>
      </c>
      <c r="N85" s="156">
        <f>_XLL.GET_BALANCE(N$83,"PTD","USD","Total","A","","001","456100","ED","AN","DL")</f>
        <v>-795994</v>
      </c>
      <c r="O85" s="156">
        <f>_XLL.GET_BALANCE(O$83,"PTD","USD","Total","A","","001","456100","ED","AN","DL")</f>
        <v>-714587</v>
      </c>
      <c r="P85" s="156">
        <f>_XLL.GET_BALANCE(P$83,"PTD","USD","Total","A","","001","456100","ED","AN","DL")</f>
        <v>-904295</v>
      </c>
      <c r="Q85" s="379"/>
      <c r="R85" s="380">
        <f aca="true" t="shared" si="27" ref="R85:R92">SUM(E85:P85)</f>
        <v>-12765475</v>
      </c>
    </row>
    <row r="86" spans="1:18" ht="12.75">
      <c r="A86" s="255">
        <v>45</v>
      </c>
      <c r="B86" s="244" t="s">
        <v>286</v>
      </c>
      <c r="C86" s="244"/>
      <c r="D86" s="220">
        <f t="shared" si="26"/>
        <v>-3192000</v>
      </c>
      <c r="E86" s="231">
        <f>_XLL.GET_BALANCE(E$83,"PTD","USD","Total","A","","001","456120","ED","AN","DL")</f>
        <v>-266000</v>
      </c>
      <c r="F86" s="231">
        <f>_XLL.GET_BALANCE(F$83,"PTD","USD","Total","A","","001","456120","ED","AN","DL")</f>
        <v>-266000</v>
      </c>
      <c r="G86" s="231">
        <f>_XLL.GET_BALANCE(G$83,"PTD","USD","Total","A","","001","456120","ED","AN","DL")</f>
        <v>-266000</v>
      </c>
      <c r="H86" s="231">
        <f>_XLL.GET_BALANCE(H$83,"PTD","USD","Total","A","","001","456120","ED","AN","DL")</f>
        <v>-266000</v>
      </c>
      <c r="I86" s="231">
        <f>_XLL.GET_BALANCE(I$83,"PTD","USD","Total","A","","001","456120","ED","AN","DL")</f>
        <v>-266000</v>
      </c>
      <c r="J86" s="231">
        <f>_XLL.GET_BALANCE(J$83,"PTD","USD","Total","A","","001","456120","ED","AN","DL")</f>
        <v>-266000</v>
      </c>
      <c r="K86" s="231">
        <f>_XLL.GET_BALANCE(K$83,"PTD","USD","Total","A","","001","456120","ED","AN","DL")</f>
        <v>-266000</v>
      </c>
      <c r="L86" s="231">
        <f>_XLL.GET_BALANCE(L$83,"PTD","USD","Total","A","","001","456120","ED","AN","DL")</f>
        <v>-266000</v>
      </c>
      <c r="M86" s="231">
        <f>_XLL.GET_BALANCE(M$83,"PTD","USD","Total","A","","001","456120","ED","AN","DL")</f>
        <v>-266000</v>
      </c>
      <c r="N86" s="231">
        <f>_XLL.GET_BALANCE(N$83,"PTD","USD","Total","A","","001","456120","ED","AN","DL")</f>
        <v>-266000</v>
      </c>
      <c r="O86" s="231">
        <f>_XLL.GET_BALANCE(O$83,"PTD","USD","Total","A","","001","456120","ED","AN","DL")</f>
        <v>-266000</v>
      </c>
      <c r="P86" s="231">
        <f>_XLL.GET_BALANCE(P$83,"PTD","USD","Total","A","","001","456120","ED","AN","DL")</f>
        <v>-266000</v>
      </c>
      <c r="Q86" s="379"/>
      <c r="R86" s="380">
        <f t="shared" si="27"/>
        <v>-3192000</v>
      </c>
    </row>
    <row r="87" spans="1:18" ht="12.75">
      <c r="A87" s="255">
        <f>A86+1</f>
        <v>46</v>
      </c>
      <c r="B87" s="244" t="s">
        <v>361</v>
      </c>
      <c r="C87" s="244"/>
      <c r="D87" s="220">
        <f t="shared" si="26"/>
        <v>-340671</v>
      </c>
      <c r="E87" s="156">
        <f>_XLL.GET_BALANCE(E$83,"PTD","USD","Total","A","","001","456020","ED","AN","DL")</f>
        <v>-978</v>
      </c>
      <c r="F87" s="156">
        <f>_XLL.GET_BALANCE(F$83,"PTD","USD","Total","A","","001","456020","ED","AN","DL")</f>
        <v>-14933</v>
      </c>
      <c r="G87" s="156">
        <f>_XLL.GET_BALANCE(G$83,"PTD","USD","Total","A","","001","456020","ED","AN","DL")</f>
        <v>-21941</v>
      </c>
      <c r="H87" s="156">
        <f>_XLL.GET_BALANCE(H$83,"PTD","USD","Total","A","","001","456020","ED","AN","DL")</f>
        <v>-81132</v>
      </c>
      <c r="I87" s="156">
        <f>_XLL.GET_BALANCE(I$83,"PTD","USD","Total","A","","001","456020","ED","AN","DL")</f>
        <v>-102201</v>
      </c>
      <c r="J87" s="156">
        <f>_XLL.GET_BALANCE(J$83,"PTD","USD","Total","A","","001","456020","ED","AN","DL")</f>
        <v>-94841</v>
      </c>
      <c r="K87" s="156">
        <f>_XLL.GET_BALANCE(K$83,"PTD","USD","Total","A","","001","456020","ED","AN","DL")</f>
        <v>-5638</v>
      </c>
      <c r="L87" s="156">
        <f>_XLL.GET_BALANCE(L$83,"PTD","USD","Total","A","","001","456020","ED","AN","DL")</f>
        <v>0</v>
      </c>
      <c r="M87" s="156">
        <f>_XLL.GET_BALANCE(M$83,"PTD","USD","Total","A","","001","456020","ED","AN","DL")</f>
        <v>-386</v>
      </c>
      <c r="N87" s="156">
        <f>_XLL.GET_BALANCE(N$83,"PTD","USD","Total","A","","001","456020","ED","AN","DL")</f>
        <v>-17483</v>
      </c>
      <c r="O87" s="156">
        <f>_XLL.GET_BALANCE(O$83,"PTD","USD","Total","A","","001","456020","ED","AN","DL")</f>
        <v>-1078</v>
      </c>
      <c r="P87" s="156">
        <f>_XLL.GET_BALANCE(P$83,"PTD","USD","Total","A","","001","456020","ED","AN","DL")</f>
        <v>-60</v>
      </c>
      <c r="Q87" s="156"/>
      <c r="R87" s="380">
        <f t="shared" si="27"/>
        <v>-340671</v>
      </c>
    </row>
    <row r="88" spans="1:18" ht="12.75">
      <c r="A88" s="255">
        <f>+A87+1</f>
        <v>47</v>
      </c>
      <c r="B88" s="244" t="s">
        <v>360</v>
      </c>
      <c r="C88" s="244"/>
      <c r="D88" s="220">
        <f t="shared" si="26"/>
        <v>-2472918</v>
      </c>
      <c r="E88" s="156">
        <f>_XLL.GET_BALANCE(E$83,"PTD","USD","Total","A","","001","456130","ED","AN","DL")</f>
        <v>-261636</v>
      </c>
      <c r="F88" s="156">
        <f>_XLL.GET_BALANCE(F$83,"PTD","USD","Total","A","","001","456130","ED","AN","DL")</f>
        <v>-234225</v>
      </c>
      <c r="G88" s="156">
        <f>_XLL.GET_BALANCE(G$83,"PTD","USD","Total","A","","001","456130","ED","AN","DL")</f>
        <v>-194814</v>
      </c>
      <c r="H88" s="156">
        <f>_XLL.GET_BALANCE(H$83,"PTD","USD","Total","A","","001","456130","ED","AN","DL")</f>
        <v>-174215</v>
      </c>
      <c r="I88" s="156">
        <f>_XLL.GET_BALANCE(I$83,"PTD","USD","Total","A","","001","456130","ED","AN","DL")</f>
        <v>-178872</v>
      </c>
      <c r="J88" s="156">
        <f>_XLL.GET_BALANCE(J$83,"PTD","USD","Total","A","","001","456130","ED","AN","DL")</f>
        <v>-185649</v>
      </c>
      <c r="K88" s="156">
        <f>_XLL.GET_BALANCE(K$83,"PTD","USD","Total","A","","001","456130","ED","AN","DL")</f>
        <v>-206488</v>
      </c>
      <c r="L88" s="156">
        <f>_XLL.GET_BALANCE(L$83,"PTD","USD","Total","A","","001","456130","ED","AN","DL")</f>
        <v>-204218</v>
      </c>
      <c r="M88" s="156">
        <f>_XLL.GET_BALANCE(M$83,"PTD","USD","Total","A","","001","456130","ED","AN","DL")</f>
        <v>-178839</v>
      </c>
      <c r="N88" s="156">
        <f>_XLL.GET_BALANCE(N$83,"PTD","USD","Total","A","","001","456130","ED","AN","DL")</f>
        <v>-185763</v>
      </c>
      <c r="O88" s="156">
        <f>_XLL.GET_BALANCE(O$83,"PTD","USD","Total","A","","001","456130","ED","AN","DL")</f>
        <v>-196857</v>
      </c>
      <c r="P88" s="156">
        <f>_XLL.GET_BALANCE(P$83,"PTD","USD","Total","A","","001","456130","ED","AN","DL")</f>
        <v>-271342</v>
      </c>
      <c r="Q88" s="379"/>
      <c r="R88" s="380">
        <f t="shared" si="27"/>
        <v>-2472918</v>
      </c>
    </row>
    <row r="89" spans="1:18" ht="12.75">
      <c r="A89" s="255">
        <f>+A88+1</f>
        <v>48</v>
      </c>
      <c r="B89" s="52" t="s">
        <v>289</v>
      </c>
      <c r="C89" s="52"/>
      <c r="D89" s="195">
        <f>SUM(E89:P89)</f>
        <v>-60240</v>
      </c>
      <c r="E89" s="196">
        <f>_XLL.GET_BALANCE(E$83,"PTD","USD","Total","A","","001","456017","ED","AN","DL")</f>
        <v>-5020</v>
      </c>
      <c r="F89" s="196">
        <f>_XLL.GET_BALANCE(F$83,"PTD","USD","Total","A","","001","456017","ED","AN","DL")</f>
        <v>-5020</v>
      </c>
      <c r="G89" s="196">
        <f>_XLL.GET_BALANCE(G$83,"PTD","USD","Total","A","","001","456017","ED","AN","DL")</f>
        <v>-5020</v>
      </c>
      <c r="H89" s="196">
        <f>_XLL.GET_BALANCE(H$83,"PTD","USD","Total","A","","001","456017","ED","AN","DL")</f>
        <v>-5020</v>
      </c>
      <c r="I89" s="196">
        <f>_XLL.GET_BALANCE(I$83,"PTD","USD","Total","A","","001","456017","ED","AN","DL")</f>
        <v>-5020</v>
      </c>
      <c r="J89" s="196">
        <f>_XLL.GET_BALANCE(J$83,"PTD","USD","Total","A","","001","456017","ED","AN","DL")</f>
        <v>-5020</v>
      </c>
      <c r="K89" s="196">
        <f>_XLL.GET_BALANCE(K$83,"PTD","USD","Total","A","","001","456017","ED","AN","DL")</f>
        <v>-5020</v>
      </c>
      <c r="L89" s="196">
        <f>_XLL.GET_BALANCE(L$83,"PTD","USD","Total","A","","001","456017","ED","AN","DL")</f>
        <v>-5020</v>
      </c>
      <c r="M89" s="196">
        <f>_XLL.GET_BALANCE(M$83,"PTD","USD","Total","A","","001","456017","ED","AN","DL")</f>
        <v>-5020</v>
      </c>
      <c r="N89" s="196">
        <f>_XLL.GET_BALANCE(N$83,"PTD","USD","Total","A","","001","456017","ED","AN","DL")</f>
        <v>-5020</v>
      </c>
      <c r="O89" s="196">
        <f>_XLL.GET_BALANCE(O$83,"PTD","USD","Total","A","","001","456017","ED","AN","DL")</f>
        <v>-5020</v>
      </c>
      <c r="P89" s="196">
        <f>_XLL.GET_BALANCE(P$83,"PTD","USD","Total","A","","001","456017","ED","AN","DL")</f>
        <v>-5020</v>
      </c>
      <c r="Q89" s="379"/>
      <c r="R89" s="380">
        <f t="shared" si="27"/>
        <v>-60240</v>
      </c>
    </row>
    <row r="90" spans="1:18" ht="12.75">
      <c r="A90" s="255">
        <f>+A89+1</f>
        <v>49</v>
      </c>
      <c r="B90" s="265" t="s">
        <v>381</v>
      </c>
      <c r="C90" s="244"/>
      <c r="D90" s="220">
        <f t="shared" si="26"/>
        <v>-105372</v>
      </c>
      <c r="E90" s="156">
        <f>_XLL.GET_BALANCE(E$83,"PTD","USD","Total","A","","001","456700","ED","WA","DL")</f>
        <v>-8781</v>
      </c>
      <c r="F90" s="156">
        <f>_XLL.GET_BALANCE(F$83,"PTD","USD","Total","A","","001","456700","ED","WA","DL")</f>
        <v>-8781</v>
      </c>
      <c r="G90" s="156">
        <f>_XLL.GET_BALANCE(G$83,"PTD","USD","Total","A","","001","456700","ED","WA","DL")</f>
        <v>-8781</v>
      </c>
      <c r="H90" s="156">
        <f>_XLL.GET_BALANCE(H$83,"PTD","USD","Total","A","","001","456700","ED","WA","DL")</f>
        <v>-8781</v>
      </c>
      <c r="I90" s="156">
        <f>_XLL.GET_BALANCE(I$83,"PTD","USD","Total","A","","001","456700","ED","WA","DL")</f>
        <v>-8781</v>
      </c>
      <c r="J90" s="156">
        <f>_XLL.GET_BALANCE(J$83,"PTD","USD","Total","A","","001","456700","ED","WA","DL")</f>
        <v>-8781</v>
      </c>
      <c r="K90" s="156">
        <f>_XLL.GET_BALANCE(K$83,"PTD","USD","Total","A","","001","456700","ED","WA","DL")</f>
        <v>-8781</v>
      </c>
      <c r="L90" s="156">
        <f>_XLL.GET_BALANCE(L$83,"PTD","USD","Total","A","","001","456700","ED","WA","DL")</f>
        <v>-8781</v>
      </c>
      <c r="M90" s="156">
        <f>_XLL.GET_BALANCE(M$83,"PTD","USD","Total","A","","001","456700","ED","WA","DL")</f>
        <v>-8781</v>
      </c>
      <c r="N90" s="156">
        <f>_XLL.GET_BALANCE(N$83,"PTD","USD","Total","A","","001","456700","ED","WA","DL")</f>
        <v>-8781</v>
      </c>
      <c r="O90" s="156">
        <f>_XLL.GET_BALANCE(O$83,"PTD","USD","Total","A","","001","456700","ED","WA","DL")</f>
        <v>-8781</v>
      </c>
      <c r="P90" s="156">
        <f>_XLL.GET_BALANCE(P$83,"PTD","USD","Total","A","","001","456700","ED","WA","DL")</f>
        <v>-8781</v>
      </c>
      <c r="Q90" s="391"/>
      <c r="R90" s="380">
        <f t="shared" si="27"/>
        <v>-105372</v>
      </c>
    </row>
    <row r="91" spans="1:18" ht="12.75">
      <c r="A91" s="255">
        <f>+A90+1</f>
        <v>50</v>
      </c>
      <c r="B91" s="246" t="s">
        <v>290</v>
      </c>
      <c r="C91" s="246" t="s">
        <v>246</v>
      </c>
      <c r="D91" s="220">
        <f t="shared" si="26"/>
        <v>-1662936</v>
      </c>
      <c r="E91" s="179">
        <f>_XLL.GET_BALANCE(E$83,"PTD","USD","Total","A","","001","456705","ED","AN","DL")</f>
        <v>-138578</v>
      </c>
      <c r="F91" s="179">
        <f>_XLL.GET_BALANCE(F$83,"PTD","USD","Total","A","","001","456705","ED","AN","DL")</f>
        <v>-138578</v>
      </c>
      <c r="G91" s="179">
        <f>_XLL.GET_BALANCE(G$83,"PTD","USD","Total","A","","001","456705","ED","AN","DL")</f>
        <v>-138578</v>
      </c>
      <c r="H91" s="179">
        <f>_XLL.GET_BALANCE(H$83,"PTD","USD","Total","A","","001","456705","ED","AN","DL")</f>
        <v>-138578</v>
      </c>
      <c r="I91" s="179">
        <f>_XLL.GET_BALANCE(I$83,"PTD","USD","Total","A","","001","456705","ED","AN","DL")</f>
        <v>-138578</v>
      </c>
      <c r="J91" s="179">
        <f>_XLL.GET_BALANCE(J$83,"PTD","USD","Total","A","","001","456705","ED","AN","DL")</f>
        <v>-138578</v>
      </c>
      <c r="K91" s="179">
        <f>_XLL.GET_BALANCE(K$83,"PTD","USD","Total","A","","001","456705","ED","AN","DL")</f>
        <v>-138578</v>
      </c>
      <c r="L91" s="179">
        <f>_XLL.GET_BALANCE(L$83,"PTD","USD","Total","A","","001","456705","ED","AN","DL")</f>
        <v>-138578</v>
      </c>
      <c r="M91" s="179">
        <f>_XLL.GET_BALANCE(M$83,"PTD","USD","Total","A","","001","456705","ED","AN","DL")</f>
        <v>-138578</v>
      </c>
      <c r="N91" s="179">
        <f>_XLL.GET_BALANCE(N$83,"PTD","USD","Total","A","","001","456705","ED","AN","DL")</f>
        <v>-138578</v>
      </c>
      <c r="O91" s="179">
        <f>_XLL.GET_BALANCE(O$83,"PTD","USD","Total","A","","001","456705","ED","AN","DL")</f>
        <v>-138578</v>
      </c>
      <c r="P91" s="179">
        <f>_XLL.GET_BALANCE(P$83,"PTD","USD","Total","A","","001","456705","ED","AN","DL")</f>
        <v>-138578</v>
      </c>
      <c r="Q91" s="379"/>
      <c r="R91" s="381">
        <f t="shared" si="27"/>
        <v>-1662936</v>
      </c>
    </row>
    <row r="92" spans="1:18" s="183" customFormat="1" ht="20.25" customHeight="1">
      <c r="A92" s="357">
        <f>A91+1</f>
        <v>51</v>
      </c>
      <c r="B92" s="247" t="s">
        <v>230</v>
      </c>
      <c r="C92" s="247"/>
      <c r="D92" s="193">
        <f t="shared" si="26"/>
        <v>-20599612</v>
      </c>
      <c r="E92" s="193">
        <f>SUM(E85:E91)</f>
        <v>-1601614</v>
      </c>
      <c r="F92" s="193">
        <f aca="true" t="shared" si="28" ref="F92:P92">SUM(F85:F91)</f>
        <v>-1536835</v>
      </c>
      <c r="G92" s="193">
        <f t="shared" si="28"/>
        <v>-1582047</v>
      </c>
      <c r="H92" s="193">
        <f t="shared" si="28"/>
        <v>-1818694</v>
      </c>
      <c r="I92" s="193">
        <f t="shared" si="28"/>
        <v>-2240043</v>
      </c>
      <c r="J92" s="193">
        <f t="shared" si="28"/>
        <v>-2290921</v>
      </c>
      <c r="K92" s="193">
        <f t="shared" si="28"/>
        <v>-1821024</v>
      </c>
      <c r="L92" s="193">
        <f t="shared" si="28"/>
        <v>-1835393</v>
      </c>
      <c r="M92" s="193">
        <f t="shared" si="28"/>
        <v>-1530445</v>
      </c>
      <c r="N92" s="193">
        <f t="shared" si="28"/>
        <v>-1417619</v>
      </c>
      <c r="O92" s="193">
        <f t="shared" si="28"/>
        <v>-1330901</v>
      </c>
      <c r="P92" s="193">
        <f t="shared" si="28"/>
        <v>-1594076</v>
      </c>
      <c r="Q92" s="382"/>
      <c r="R92" s="383">
        <f t="shared" si="27"/>
        <v>-20599612</v>
      </c>
    </row>
    <row r="93" spans="1:18" ht="12.75">
      <c r="A93" s="255"/>
      <c r="D93" s="73"/>
      <c r="E93" s="220"/>
      <c r="F93" s="360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379"/>
      <c r="R93" s="380"/>
    </row>
    <row r="94" spans="1:18" ht="12.75">
      <c r="A94" s="255"/>
      <c r="B94" s="239" t="s">
        <v>232</v>
      </c>
      <c r="C94" s="239"/>
      <c r="D94" s="73"/>
      <c r="E94" s="220"/>
      <c r="F94" s="360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379"/>
      <c r="R94" s="380"/>
    </row>
    <row r="95" spans="1:18" ht="12.75">
      <c r="A95" s="255">
        <f>A92+1</f>
        <v>52</v>
      </c>
      <c r="B95" s="52" t="s">
        <v>157</v>
      </c>
      <c r="C95" s="52"/>
      <c r="D95" s="220">
        <f>SUM(E95:P95)</f>
        <v>17515239</v>
      </c>
      <c r="E95" s="156">
        <f>_XLL.GET_BALANCE(E$83,"PTD","USD","Total","A","","001","565000","ED","AN","DL")</f>
        <v>1458776</v>
      </c>
      <c r="F95" s="191">
        <f>_XLL.GET_BALANCE(F$83,"PTD","USD","Total","A","","001","565000","ED","AN","DL")</f>
        <v>1490333</v>
      </c>
      <c r="G95" s="191">
        <f>_XLL.GET_BALANCE(G$83,"PTD","USD","Total","A","","001","565000","ED","AN","DL")</f>
        <v>1434562</v>
      </c>
      <c r="H95" s="191">
        <f>_XLL.GET_BALANCE(H$83,"PTD","USD","Total","A","","001","565000","ED","AN","DL")</f>
        <v>1413091</v>
      </c>
      <c r="I95" s="191">
        <f>_XLL.GET_BALANCE(I$83,"PTD","USD","Total","A","","001","565000","ED","AN","DL")</f>
        <v>1482573</v>
      </c>
      <c r="J95" s="191">
        <f>_XLL.GET_BALANCE(J$83,"PTD","USD","Total","A","","001","565000","ED","AN","DL")</f>
        <v>1418075</v>
      </c>
      <c r="K95" s="191">
        <f>_XLL.GET_BALANCE(K$83,"PTD","USD","Total","A","","001","565000","ED","AN","DL")</f>
        <v>1429765</v>
      </c>
      <c r="L95" s="191">
        <f>_XLL.GET_BALANCE(L$83,"PTD","USD","Total","A","","001","565000","ED","AN","DL")</f>
        <v>1487322</v>
      </c>
      <c r="M95" s="191">
        <f>_XLL.GET_BALANCE(M$83,"PTD","USD","Total","A","","001","565000","ED","AN","DL")</f>
        <v>1474406</v>
      </c>
      <c r="N95" s="191">
        <f>_XLL.GET_BALANCE(N$83,"PTD","USD","Total","A","","001","565000","ED","AN","DL")</f>
        <v>1449542</v>
      </c>
      <c r="O95" s="191">
        <f>_XLL.GET_BALANCE(O$83,"PTD","USD","Total","A","","001","565000","ED","AN","DL")</f>
        <v>1470647</v>
      </c>
      <c r="P95" s="191">
        <f>_XLL.GET_BALANCE(P$83,"PTD","USD","Total","A","","001","565000","ED","AN","DL")</f>
        <v>1506147</v>
      </c>
      <c r="Q95" s="379"/>
      <c r="R95" s="380">
        <f>SUM(E95:P95)</f>
        <v>17515239</v>
      </c>
    </row>
    <row r="96" spans="1:18" ht="12.75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1">
        <f>_XLL.GET_BALANCE(E$83,"PTD","USD","Total","A","","001","565312","ED","AN","DL")</f>
        <v>0</v>
      </c>
      <c r="F96" s="191">
        <f>_XLL.GET_BALANCE(F$83,"PTD","USD","Total","A","","001","565312","ED","AN","DL")</f>
        <v>0</v>
      </c>
      <c r="G96" s="191">
        <f>_XLL.GET_BALANCE(G$83,"PTD","USD","Total","A","","001","565312","ED","AN","DL")</f>
        <v>0</v>
      </c>
      <c r="H96" s="191">
        <f>_XLL.GET_BALANCE(H$83,"PTD","USD","Total","A","","001","565312","ED","AN","DL")</f>
        <v>0</v>
      </c>
      <c r="I96" s="191">
        <f>_XLL.GET_BALANCE(I$83,"PTD","USD","Total","A","","001","565312","ED","AN","DL")</f>
        <v>0</v>
      </c>
      <c r="J96" s="191">
        <f>_XLL.GET_BALANCE(J$83,"PTD","USD","Total","A","","001","565312","ED","AN","DL")</f>
        <v>0</v>
      </c>
      <c r="K96" s="191">
        <f>_XLL.GET_BALANCE(K$83,"PTD","USD","Total","A","","001","565312","ED","AN","DL")</f>
        <v>0</v>
      </c>
      <c r="L96" s="191">
        <f>_XLL.GET_BALANCE(L$83,"PTD","USD","Total","A","","001","565312","ED","AN","DL")</f>
        <v>0</v>
      </c>
      <c r="M96" s="191">
        <f>_XLL.GET_BALANCE(M$83,"PTD","USD","Total","A","","001","565312","ED","AN","DL")</f>
        <v>0</v>
      </c>
      <c r="N96" s="191">
        <f>_XLL.GET_BALANCE(N$83,"PTD","USD","Total","A","","001","565312","ED","AN","DL")</f>
        <v>0</v>
      </c>
      <c r="O96" s="191">
        <f>_XLL.GET_BALANCE(O$83,"PTD","USD","Total","A","","001","565312","ED","AN","DL")</f>
        <v>0</v>
      </c>
      <c r="P96" s="191">
        <f>_XLL.GET_BALANCE(P$83,"PTD","USD","Total","A","","001","565312","ED","AN","DL")</f>
        <v>0</v>
      </c>
      <c r="Q96" s="379"/>
      <c r="R96" s="380">
        <f>SUM(E96:P96)</f>
        <v>0</v>
      </c>
    </row>
    <row r="97" spans="1:18" ht="12.75">
      <c r="A97" s="256">
        <f>A96+1</f>
        <v>54</v>
      </c>
      <c r="B97" s="248" t="s">
        <v>158</v>
      </c>
      <c r="C97" s="248"/>
      <c r="D97" s="220">
        <f>SUM(E97:P97)</f>
        <v>54432</v>
      </c>
      <c r="E97" s="179">
        <f>_XLL.GET_BALANCE(E$83,"PTD","USD","Total","A","","001","565710","ED","AN","DL")</f>
        <v>4536</v>
      </c>
      <c r="F97" s="179">
        <f>_XLL.GET_BALANCE(F$83,"PTD","USD","Total","A","","001","565710","ED","AN","DL")</f>
        <v>4536</v>
      </c>
      <c r="G97" s="179">
        <f>_XLL.GET_BALANCE(G$83,"PTD","USD","Total","A","","001","565710","ED","AN","DL")</f>
        <v>4536</v>
      </c>
      <c r="H97" s="179">
        <f>_XLL.GET_BALANCE(H$83,"PTD","USD","Total","A","","001","565710","ED","AN","DL")</f>
        <v>4536</v>
      </c>
      <c r="I97" s="179">
        <f>_XLL.GET_BALANCE(I$83,"PTD","USD","Total","A","","001","565710","ED","AN","DL")</f>
        <v>4536</v>
      </c>
      <c r="J97" s="179">
        <f>_XLL.GET_BALANCE(J$83,"PTD","USD","Total","A","","001","565710","ED","AN","DL")</f>
        <v>4536</v>
      </c>
      <c r="K97" s="179">
        <f>_XLL.GET_BALANCE(K$83,"PTD","USD","Total","A","","001","565710","ED","AN","DL")</f>
        <v>4536</v>
      </c>
      <c r="L97" s="179">
        <f>_XLL.GET_BALANCE(L$83,"PTD","USD","Total","A","","001","565710","ED","AN","DL")</f>
        <v>4536</v>
      </c>
      <c r="M97" s="179">
        <f>_XLL.GET_BALANCE(M$83,"PTD","USD","Total","A","","001","565710","ED","AN","DL")</f>
        <v>4536</v>
      </c>
      <c r="N97" s="179">
        <f>_XLL.GET_BALANCE(N$83,"PTD","USD","Total","A","","001","565710","ED","AN","DL")</f>
        <v>4536</v>
      </c>
      <c r="O97" s="179">
        <f>_XLL.GET_BALANCE(O$83,"PTD","USD","Total","A","","001","565710","ED","AN","DL")</f>
        <v>4536</v>
      </c>
      <c r="P97" s="179">
        <f>_XLL.GET_BALANCE(P$83,"PTD","USD","Total","A","","001","565710","ED","AN","DL")</f>
        <v>4536</v>
      </c>
      <c r="Q97" s="379"/>
      <c r="R97" s="381">
        <f>SUM(E97:P97)</f>
        <v>54432</v>
      </c>
    </row>
    <row r="98" spans="1:18" s="183" customFormat="1" ht="20.25" customHeight="1">
      <c r="A98" s="357">
        <f>A97+1</f>
        <v>55</v>
      </c>
      <c r="B98" s="247" t="s">
        <v>229</v>
      </c>
      <c r="C98" s="247"/>
      <c r="D98" s="193">
        <f>SUM(E98:P98)</f>
        <v>17569671</v>
      </c>
      <c r="E98" s="170">
        <f aca="true" t="shared" si="29" ref="E98:P98">SUM(E95:E97)</f>
        <v>1463312</v>
      </c>
      <c r="F98" s="170">
        <f t="shared" si="29"/>
        <v>1494869</v>
      </c>
      <c r="G98" s="170">
        <f t="shared" si="29"/>
        <v>1439098</v>
      </c>
      <c r="H98" s="170">
        <f t="shared" si="29"/>
        <v>1417627</v>
      </c>
      <c r="I98" s="170">
        <f t="shared" si="29"/>
        <v>1487109</v>
      </c>
      <c r="J98" s="170">
        <f t="shared" si="29"/>
        <v>1422611</v>
      </c>
      <c r="K98" s="170">
        <f t="shared" si="29"/>
        <v>1434301</v>
      </c>
      <c r="L98" s="170">
        <f t="shared" si="29"/>
        <v>1491858</v>
      </c>
      <c r="M98" s="170">
        <f t="shared" si="29"/>
        <v>1478942</v>
      </c>
      <c r="N98" s="170">
        <f t="shared" si="29"/>
        <v>1454078</v>
      </c>
      <c r="O98" s="170">
        <f t="shared" si="29"/>
        <v>1475183</v>
      </c>
      <c r="P98" s="170">
        <f t="shared" si="29"/>
        <v>1510683</v>
      </c>
      <c r="Q98" s="382"/>
      <c r="R98" s="383">
        <f>SUM(E98:P98)</f>
        <v>17569671</v>
      </c>
    </row>
    <row r="99" spans="1:18" ht="12.75">
      <c r="A99" s="25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379"/>
      <c r="R99" s="380"/>
    </row>
    <row r="100" spans="1:18" ht="12.75">
      <c r="A100" s="255"/>
      <c r="B100" s="239" t="s">
        <v>351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379"/>
      <c r="R100" s="380"/>
    </row>
    <row r="101" spans="1:18" ht="12.75">
      <c r="A101" s="255">
        <f>A98+1</f>
        <v>56</v>
      </c>
      <c r="B101" s="52" t="s">
        <v>354</v>
      </c>
      <c r="D101" s="360">
        <f>SUM(E101:P101)</f>
        <v>482390</v>
      </c>
      <c r="E101" s="175">
        <f>_XLL.GET_BALANCE(E$83,"PTD","USD","Total","A","","001","557170","ED","AN","DL")</f>
        <v>44479</v>
      </c>
      <c r="F101" s="175">
        <f>_XLL.GET_BALANCE(F$83,"PTD","USD","Total","A","","001","557170","ED","AN","DL")</f>
        <v>43154</v>
      </c>
      <c r="G101" s="175">
        <f>_XLL.GET_BALANCE(G$83,"PTD","USD","Total","A","","001","557170","ED","AN","DL")</f>
        <v>35685</v>
      </c>
      <c r="H101" s="175">
        <f>_XLL.GET_BALANCE(H$83,"PTD","USD","Total","A","","001","557170","ED","AN","DL")</f>
        <v>28909</v>
      </c>
      <c r="I101" s="175">
        <f>_XLL.GET_BALANCE(I$83,"PTD","USD","Total","A","","001","557170","ED","AN","DL")</f>
        <v>46073</v>
      </c>
      <c r="J101" s="175">
        <f>_XLL.GET_BALANCE(J$83,"PTD","USD","Total","A","","001","557170","ED","AN","DL")</f>
        <v>41037</v>
      </c>
      <c r="K101" s="175">
        <f>_XLL.GET_BALANCE(K$83,"PTD","USD","Total","A","","001","557170","ED","AN","DL")</f>
        <v>36369</v>
      </c>
      <c r="L101" s="175">
        <f>_XLL.GET_BALANCE(L$83,"PTD","USD","Total","A","","001","557170","ED","AN","DL")</f>
        <v>42289</v>
      </c>
      <c r="M101" s="175">
        <f>_XLL.GET_BALANCE(M$83,"PTD","USD","Total","A","","001","557170","ED","AN","DL")</f>
        <v>41607</v>
      </c>
      <c r="N101" s="175">
        <f>_XLL.GET_BALANCE(N$83,"PTD","USD","Total","A","","001","557170","ED","AN","DL")</f>
        <v>49081</v>
      </c>
      <c r="O101" s="175">
        <f>_XLL.GET_BALANCE(O$83,"PTD","USD","Total","A","","001","557170","ED","AN","DL")</f>
        <v>37026</v>
      </c>
      <c r="P101" s="175">
        <f>_XLL.GET_BALANCE(P$83,"PTD","USD","Total","A","","001","557170","ED","AN","DL")</f>
        <v>36681</v>
      </c>
      <c r="Q101" s="379"/>
      <c r="R101" s="380"/>
    </row>
    <row r="102" spans="1:18" ht="12.75">
      <c r="A102" s="255">
        <f>A101+1</f>
        <v>57</v>
      </c>
      <c r="B102" s="254" t="s">
        <v>353</v>
      </c>
      <c r="D102" s="360">
        <f>SUM(E102:P102)</f>
        <v>375</v>
      </c>
      <c r="E102" s="175">
        <f>_XLL.GET_BALANCE(E$83,"PTD","USD","Total","A","","001","557172","ED","AN","DL")</f>
        <v>0</v>
      </c>
      <c r="F102" s="175">
        <f>_XLL.GET_BALANCE(F$83,"PTD","USD","Total","A","","001","557172","ED","AN","DL")</f>
        <v>0</v>
      </c>
      <c r="G102" s="175">
        <f>_XLL.GET_BALANCE(G$83,"PTD","USD","Total","A","","001","557172","ED","AN","DL")</f>
        <v>375</v>
      </c>
      <c r="H102" s="175">
        <f>_XLL.GET_BALANCE(H$83,"PTD","USD","Total","A","","001","557172","ED","AN","DL")</f>
        <v>0</v>
      </c>
      <c r="I102" s="175">
        <f>_XLL.GET_BALANCE(I$83,"PTD","USD","Total","A","","001","557172","ED","AN","DL")</f>
        <v>0</v>
      </c>
      <c r="J102" s="175">
        <f>_XLL.GET_BALANCE(J$83,"PTD","USD","Total","A","","001","557172","ED","AN","DL")</f>
        <v>0</v>
      </c>
      <c r="K102" s="175">
        <f>_XLL.GET_BALANCE(K$83,"PTD","USD","Total","A","","001","557172","ED","AN","DL")</f>
        <v>0</v>
      </c>
      <c r="L102" s="175">
        <f>_XLL.GET_BALANCE(L$83,"PTD","USD","Total","A","","001","557172","ED","AN","DL")</f>
        <v>0</v>
      </c>
      <c r="M102" s="175">
        <f>_XLL.GET_BALANCE(M$83,"PTD","USD","Total","A","","001","557172","ED","AN","DL")</f>
        <v>0</v>
      </c>
      <c r="N102" s="175">
        <f>_XLL.GET_BALANCE(N$83,"PTD","USD","Total","A","","001","557172","ED","AN","DL")</f>
        <v>0</v>
      </c>
      <c r="O102" s="175">
        <f>_XLL.GET_BALANCE(O$83,"PTD","USD","Total","A","","001","557172","ED","AN","DL")</f>
        <v>0</v>
      </c>
      <c r="P102" s="175">
        <f>_XLL.GET_BALANCE(P$83,"PTD","USD","Total","A","","001","557172","ED","AN","DL")</f>
        <v>0</v>
      </c>
      <c r="Q102" s="379"/>
      <c r="R102" s="380"/>
    </row>
    <row r="103" spans="1:18" ht="12.75">
      <c r="A103" s="255">
        <f>A102+1</f>
        <v>58</v>
      </c>
      <c r="B103" s="254" t="s">
        <v>387</v>
      </c>
      <c r="C103" s="71" t="s">
        <v>388</v>
      </c>
      <c r="D103" s="360">
        <f>SUM(E103:P103)</f>
        <v>136020</v>
      </c>
      <c r="E103" s="175">
        <f>_XLL.GET_BALANCE(E$83,"PTD","USD","Total","A","","001","557165","ED","AN","DL")</f>
        <v>2240</v>
      </c>
      <c r="F103" s="175">
        <f>_XLL.GET_BALANCE(F$83,"PTD","USD","Total","A","","001","557165","ED","AN","DL")</f>
        <v>-23818</v>
      </c>
      <c r="G103" s="175">
        <f>_XLL.GET_BALANCE(G$83,"PTD","USD","Total","A","","001","557165","ED","AN","DL")</f>
        <v>72055</v>
      </c>
      <c r="H103" s="175">
        <f>_XLL.GET_BALANCE(H$83,"PTD","USD","Total","A","","001","557165","ED","AN","DL")</f>
        <v>16276</v>
      </c>
      <c r="I103" s="175">
        <f>_XLL.GET_BALANCE(I$83,"PTD","USD","Total","A","","001","557165","ED","AN","DL")</f>
        <v>10752</v>
      </c>
      <c r="J103" s="175">
        <f>_XLL.GET_BALANCE(J$83,"PTD","USD","Total","A","","001","557165","ED","AN","DL")</f>
        <v>8955</v>
      </c>
      <c r="K103" s="175">
        <f>_XLL.GET_BALANCE(K$83,"PTD","USD","Total","A","","001","557165","ED","AN","DL")</f>
        <v>7171</v>
      </c>
      <c r="L103" s="175">
        <f>_XLL.GET_BALANCE(L$83,"PTD","USD","Total","A","","001","557165","ED","AN","DL")</f>
        <v>3705</v>
      </c>
      <c r="M103" s="175">
        <f>_XLL.GET_BALANCE(M$83,"PTD","USD","Total","A","","001","557165","ED","AN","DL")</f>
        <v>4436</v>
      </c>
      <c r="N103" s="175">
        <f>_XLL.GET_BALANCE(N$83,"PTD","USD","Total","A","","001","557165","ED","AN","DL")</f>
        <v>-1472</v>
      </c>
      <c r="O103" s="175">
        <f>_XLL.GET_BALANCE(O$83,"PTD","USD","Total","A","","001","557165","ED","AN","DL")</f>
        <v>14270</v>
      </c>
      <c r="P103" s="175">
        <f>_XLL.GET_BALANCE(P$83,"PTD","USD","Total","A","","001","557165","ED","AN","DL")</f>
        <v>21450</v>
      </c>
      <c r="Q103" s="379"/>
      <c r="R103" s="380"/>
    </row>
    <row r="104" spans="1:18" ht="12.75">
      <c r="A104" s="255">
        <f>A103+1</f>
        <v>59</v>
      </c>
      <c r="B104" s="254" t="s">
        <v>393</v>
      </c>
      <c r="C104" s="71" t="s">
        <v>394</v>
      </c>
      <c r="D104" s="360">
        <f>SUM(E104:P104)</f>
        <v>109563</v>
      </c>
      <c r="E104" s="175">
        <f>_XLL.GET_BALANCE(E$83,"PTD","USD","Total","A","","001","557018","ED","AN","DL")</f>
        <v>0</v>
      </c>
      <c r="F104" s="175">
        <f>_XLL.GET_BALANCE(F$83,"PTD","USD","Total","A","","001","557018","ED","AN","DL")</f>
        <v>0</v>
      </c>
      <c r="G104" s="175">
        <f>_XLL.GET_BALANCE(G$83,"PTD","USD","Total","A","","001","557018","ED","AN","DL")</f>
        <v>0</v>
      </c>
      <c r="H104" s="175">
        <f>_XLL.GET_BALANCE(H$83,"PTD","USD","Total","A","","001","557018","ED","AN","DL")</f>
        <v>0</v>
      </c>
      <c r="I104" s="175">
        <f>_XLL.GET_BALANCE(I$83,"PTD","USD","Total","A","","001","557018","ED","AN","DL")</f>
        <v>56508</v>
      </c>
      <c r="J104" s="175">
        <f>_XLL.GET_BALANCE(J$83,"PTD","USD","Total","A","","001","557018","ED","AN","DL")</f>
        <v>3568</v>
      </c>
      <c r="K104" s="175">
        <f>_XLL.GET_BALANCE(K$83,"PTD","USD","Total","A","","001","557018","ED","AN","DL")</f>
        <v>3361</v>
      </c>
      <c r="L104" s="175">
        <f>_XLL.GET_BALANCE(L$83,"PTD","USD","Total","A","","001","557018","ED","AN","DL")</f>
        <v>18245</v>
      </c>
      <c r="M104" s="175">
        <f>_XLL.GET_BALANCE(M$83,"PTD","USD","Total","A","","001","557018","ED","AN","DL")</f>
        <v>16472</v>
      </c>
      <c r="N104" s="175">
        <f>_XLL.GET_BALANCE(N$83,"PTD","USD","Total","A","","001","557018","ED","AN","DL")</f>
        <v>3758</v>
      </c>
      <c r="O104" s="175">
        <f>_XLL.GET_BALANCE(O$83,"PTD","USD","Total","A","","001","557018","ED","AN","DL")</f>
        <v>4192</v>
      </c>
      <c r="P104" s="175">
        <f>_XLL.GET_BALANCE(P$83,"PTD","USD","Total","A","","001","557018","ED","AN","DL")</f>
        <v>3459</v>
      </c>
      <c r="Q104" s="379"/>
      <c r="R104" s="380"/>
    </row>
    <row r="105" spans="1:18" s="183" customFormat="1" ht="20.25" customHeight="1">
      <c r="A105" s="255">
        <f>A104+1</f>
        <v>60</v>
      </c>
      <c r="B105" s="247" t="s">
        <v>352</v>
      </c>
      <c r="C105" s="247"/>
      <c r="D105" s="193">
        <f>D101+D102+D103+D104</f>
        <v>728348</v>
      </c>
      <c r="E105" s="193">
        <f>E101+E102+E103+E104</f>
        <v>46719</v>
      </c>
      <c r="F105" s="193">
        <f aca="true" t="shared" si="30" ref="F105:P105">F101+F102+F103+F104</f>
        <v>19336</v>
      </c>
      <c r="G105" s="193">
        <f t="shared" si="30"/>
        <v>108115</v>
      </c>
      <c r="H105" s="193">
        <f t="shared" si="30"/>
        <v>45185</v>
      </c>
      <c r="I105" s="193">
        <f t="shared" si="30"/>
        <v>113333</v>
      </c>
      <c r="J105" s="193">
        <f t="shared" si="30"/>
        <v>53560</v>
      </c>
      <c r="K105" s="193">
        <f t="shared" si="30"/>
        <v>46901</v>
      </c>
      <c r="L105" s="193">
        <f t="shared" si="30"/>
        <v>64239</v>
      </c>
      <c r="M105" s="193">
        <f t="shared" si="30"/>
        <v>62515</v>
      </c>
      <c r="N105" s="193">
        <f t="shared" si="30"/>
        <v>51367</v>
      </c>
      <c r="O105" s="193">
        <f t="shared" si="30"/>
        <v>55488</v>
      </c>
      <c r="P105" s="193">
        <f t="shared" si="30"/>
        <v>61590</v>
      </c>
      <c r="Q105" s="382"/>
      <c r="R105" s="383"/>
    </row>
    <row r="106" spans="1:18" ht="9" customHeight="1">
      <c r="A106" s="255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379"/>
      <c r="R106" s="380"/>
    </row>
    <row r="107" spans="1:18" ht="12.75">
      <c r="A107" s="255"/>
      <c r="B107" s="140" t="s">
        <v>184</v>
      </c>
      <c r="C107" s="140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379"/>
      <c r="R107" s="380"/>
    </row>
    <row r="108" spans="1:18" ht="12.75">
      <c r="A108" s="255">
        <f>A105+1</f>
        <v>61</v>
      </c>
      <c r="B108" s="71" t="s">
        <v>208</v>
      </c>
      <c r="D108" s="360">
        <f>SUM(E108:P108)</f>
        <v>20211262</v>
      </c>
      <c r="E108" s="173">
        <f>_XLL.GET_BALANCE(E$83,"PTD","USD","Total","A","","001","557010","ED","AN","DL")</f>
        <v>465163</v>
      </c>
      <c r="F108" s="173">
        <f>_XLL.GET_BALANCE(F$83,"PTD","USD","Total","A","","001","557010","ED","AN","DL")</f>
        <v>1164156</v>
      </c>
      <c r="G108" s="173">
        <f>_XLL.GET_BALANCE(G$83,"PTD","USD","Total","A","","001","557010","ED","AN","DL")</f>
        <v>1884211</v>
      </c>
      <c r="H108" s="173">
        <f>_XLL.GET_BALANCE(H$83,"PTD","USD","Total","A","","001","557010","ED","AN","DL")</f>
        <v>1500828</v>
      </c>
      <c r="I108" s="173">
        <f>_XLL.GET_BALANCE(I$83,"PTD","USD","Total","A","","001","557010","ED","AN","DL")</f>
        <v>1281528</v>
      </c>
      <c r="J108" s="173">
        <f>_XLL.GET_BALANCE(J$83,"PTD","USD","Total","A","","001","557010","ED","AN","DL")</f>
        <v>953551</v>
      </c>
      <c r="K108" s="173">
        <f>_XLL.GET_BALANCE(K$83,"PTD","USD","Total","A","","001","557010","ED","AN","DL")</f>
        <v>2237102</v>
      </c>
      <c r="L108" s="173">
        <f>_XLL.GET_BALANCE(L$83,"PTD","USD","Total","A","","001","557010","ED","AN","DL")</f>
        <v>2455984</v>
      </c>
      <c r="M108" s="173">
        <f>_XLL.GET_BALANCE(M$83,"PTD","USD","Total","A","","001","557010","ED","AN","DL")</f>
        <v>2162307</v>
      </c>
      <c r="N108" s="173">
        <f>_XLL.GET_BALANCE(N$83,"PTD","USD","Total","A","","001","557010","ED","AN","DL")</f>
        <v>3267054</v>
      </c>
      <c r="O108" s="173">
        <f>_XLL.GET_BALANCE(O$83,"PTD","USD","Total","A","","001","557010","ED","AN","DL")</f>
        <v>1211843</v>
      </c>
      <c r="P108" s="173">
        <f>_XLL.GET_BALANCE(P$83,"PTD","USD","Total","A","","001","557010","ED","AN","DL")</f>
        <v>1627535</v>
      </c>
      <c r="Q108" s="379"/>
      <c r="R108" s="380">
        <f aca="true" t="shared" si="31" ref="R108:R117">SUM(E108:P108)</f>
        <v>20211262</v>
      </c>
    </row>
    <row r="109" spans="1:18" ht="12.75">
      <c r="A109" s="255">
        <f>A108+1</f>
        <v>62</v>
      </c>
      <c r="B109" s="71" t="s">
        <v>179</v>
      </c>
      <c r="D109" s="360">
        <f aca="true" t="shared" si="32" ref="D109:D117">SUM(E109:P109)</f>
        <v>-8419893</v>
      </c>
      <c r="E109" s="173">
        <f>_XLL.GET_BALANCE(E$83,"PTD","USD","Total","A","","001","557150","ED","AN","DL")</f>
        <v>-2907151</v>
      </c>
      <c r="F109" s="173">
        <f>_XLL.GET_BALANCE(F$83,"PTD","USD","Total","A","","001","557150","ED","AN","DL")</f>
        <v>921961</v>
      </c>
      <c r="G109" s="173">
        <f>_XLL.GET_BALANCE(G$83,"PTD","USD","Total","A","","001","557150","ED","AN","DL")</f>
        <v>1755397</v>
      </c>
      <c r="H109" s="173">
        <f>_XLL.GET_BALANCE(H$83,"PTD","USD","Total","A","","001","557150","ED","AN","DL")</f>
        <v>2054073</v>
      </c>
      <c r="I109" s="173">
        <f>_XLL.GET_BALANCE(I$83,"PTD","USD","Total","A","","001","557150","ED","AN","DL")</f>
        <v>2367946</v>
      </c>
      <c r="J109" s="173">
        <f>_XLL.GET_BALANCE(J$83,"PTD","USD","Total","A","","001","557150","ED","AN","DL")</f>
        <v>2455784</v>
      </c>
      <c r="K109" s="173">
        <f>_XLL.GET_BALANCE(K$83,"PTD","USD","Total","A","","001","557150","ED","AN","DL")</f>
        <v>-2976389</v>
      </c>
      <c r="L109" s="173">
        <f>_XLL.GET_BALANCE(L$83,"PTD","USD","Total","A","","001","557150","ED","AN","DL")</f>
        <v>-1245477</v>
      </c>
      <c r="M109" s="173">
        <f>_XLL.GET_BALANCE(M$83,"PTD","USD","Total","A","","001","557150","ED","AN","DL")</f>
        <v>-2654374</v>
      </c>
      <c r="N109" s="173">
        <f>_XLL.GET_BALANCE(N$83,"PTD","USD","Total","A","","001","557150","ED","AN","DL")</f>
        <v>-2535241</v>
      </c>
      <c r="O109" s="173">
        <f>_XLL.GET_BALANCE(O$83,"PTD","USD","Total","A","","001","557150","ED","AN","DL")</f>
        <v>-2174544</v>
      </c>
      <c r="P109" s="173">
        <f>_XLL.GET_BALANCE(P$83,"PTD","USD","Total","A","","001","557150","ED","AN","DL")</f>
        <v>-3481878</v>
      </c>
      <c r="Q109" s="379"/>
      <c r="R109" s="380">
        <f t="shared" si="31"/>
        <v>-8419893</v>
      </c>
    </row>
    <row r="110" spans="1:18" ht="12.75">
      <c r="A110" s="255">
        <f aca="true" t="shared" si="33" ref="A110:A117">A109+1</f>
        <v>63</v>
      </c>
      <c r="B110" s="71" t="s">
        <v>180</v>
      </c>
      <c r="D110" s="360">
        <f t="shared" si="32"/>
        <v>2274789</v>
      </c>
      <c r="E110" s="173">
        <f>_XLL.GET_BALANCE(E$83,"PTD","USD","Total","A","","001","557700","ED","AN","DL")</f>
        <v>0</v>
      </c>
      <c r="F110" s="173">
        <f>_XLL.GET_BALANCE(F$83,"PTD","USD","Total","A","","001","557700","ED","AN","DL")</f>
        <v>109560</v>
      </c>
      <c r="G110" s="173">
        <f>_XLL.GET_BALANCE(G$83,"PTD","USD","Total","A","","001","557700","ED","AN","DL")</f>
        <v>11750</v>
      </c>
      <c r="H110" s="173">
        <f>_XLL.GET_BALANCE(H$83,"PTD","USD","Total","A","","001","557700","ED","AN","DL")</f>
        <v>0</v>
      </c>
      <c r="I110" s="173">
        <f>_XLL.GET_BALANCE(I$83,"PTD","USD","Total","A","","001","557700","ED","AN","DL")</f>
        <v>12636</v>
      </c>
      <c r="J110" s="173">
        <f>_XLL.GET_BALANCE(J$83,"PTD","USD","Total","A","","001","557700","ED","AN","DL")</f>
        <v>0</v>
      </c>
      <c r="K110" s="173">
        <f>_XLL.GET_BALANCE(K$83,"PTD","USD","Total","A","","001","557700","ED","AN","DL")</f>
        <v>742450</v>
      </c>
      <c r="L110" s="173">
        <f>_XLL.GET_BALANCE(L$83,"PTD","USD","Total","A","","001","557700","ED","AN","DL")</f>
        <v>658115</v>
      </c>
      <c r="M110" s="173">
        <f>_XLL.GET_BALANCE(M$83,"PTD","USD","Total","A","","001","557700","ED","AN","DL")</f>
        <v>58678</v>
      </c>
      <c r="N110" s="173">
        <f>_XLL.GET_BALANCE(N$83,"PTD","USD","Total","A","","001","557700","ED","AN","DL")</f>
        <v>14250</v>
      </c>
      <c r="O110" s="173">
        <f>_XLL.GET_BALANCE(O$83,"PTD","USD","Total","A","","001","557700","ED","AN","DL")</f>
        <v>437640</v>
      </c>
      <c r="P110" s="173">
        <f>_XLL.GET_BALANCE(P$83,"PTD","USD","Total","A","","001","557700","ED","AN","DL")</f>
        <v>229710</v>
      </c>
      <c r="Q110" s="379"/>
      <c r="R110" s="380">
        <f t="shared" si="31"/>
        <v>2274789</v>
      </c>
    </row>
    <row r="111" spans="1:18" ht="12.75">
      <c r="A111" s="255">
        <f t="shared" si="33"/>
        <v>64</v>
      </c>
      <c r="B111" s="52" t="s">
        <v>217</v>
      </c>
      <c r="C111" s="52"/>
      <c r="D111" s="360">
        <f t="shared" si="32"/>
        <v>-2274789</v>
      </c>
      <c r="E111" s="173">
        <f>_XLL.GET_BALANCE(E$83,"PTD","USD","Total","A","","001","557711","ED","AN","DL")</f>
        <v>0</v>
      </c>
      <c r="F111" s="173">
        <f>_XLL.GET_BALANCE(F$83,"PTD","USD","Total","A","","001","557711","ED","AN","DL")</f>
        <v>-109560</v>
      </c>
      <c r="G111" s="173">
        <f>_XLL.GET_BALANCE(G$83,"PTD","USD","Total","A","","001","557711","ED","AN","DL")</f>
        <v>-11750</v>
      </c>
      <c r="H111" s="173">
        <f>_XLL.GET_BALANCE(H$83,"PTD","USD","Total","A","","001","557711","ED","AN","DL")</f>
        <v>0</v>
      </c>
      <c r="I111" s="173">
        <f>_XLL.GET_BALANCE(I$83,"PTD","USD","Total","A","","001","557711","ED","AN","DL")</f>
        <v>-12636</v>
      </c>
      <c r="J111" s="173">
        <f>_XLL.GET_BALANCE(J$83,"PTD","USD","Total","A","","001","557711","ED","AN","DL")</f>
        <v>0</v>
      </c>
      <c r="K111" s="173">
        <f>_XLL.GET_BALANCE(K$83,"PTD","USD","Total","A","","001","557711","ED","AN","DL")</f>
        <v>-742450</v>
      </c>
      <c r="L111" s="173">
        <f>_XLL.GET_BALANCE(L$83,"PTD","USD","Total","A","","001","557711","ED","AN","DL")</f>
        <v>-658115</v>
      </c>
      <c r="M111" s="173">
        <f>_XLL.GET_BALANCE(M$83,"PTD","USD","Total","A","","001","557711","ED","AN","DL")</f>
        <v>-58678</v>
      </c>
      <c r="N111" s="173">
        <f>_XLL.GET_BALANCE(N$83,"PTD","USD","Total","A","","001","557711","ED","AN","DL")</f>
        <v>-14250</v>
      </c>
      <c r="O111" s="173">
        <f>_XLL.GET_BALANCE(O$83,"PTD","USD","Total","A","","001","557711","ED","AN","DL")</f>
        <v>-437640</v>
      </c>
      <c r="P111" s="173">
        <f>_XLL.GET_BALANCE(P$83,"PTD","USD","Total","A","","001","557711","ED","AN","DL")</f>
        <v>-229710</v>
      </c>
      <c r="Q111" s="379"/>
      <c r="R111" s="380">
        <f>SUM(E111:P111)</f>
        <v>-2274789</v>
      </c>
    </row>
    <row r="112" spans="1:18" ht="12.75">
      <c r="A112" s="255">
        <f t="shared" si="33"/>
        <v>65</v>
      </c>
      <c r="B112" s="71" t="s">
        <v>212</v>
      </c>
      <c r="D112" s="360">
        <f t="shared" si="32"/>
        <v>49347739</v>
      </c>
      <c r="E112" s="173">
        <f>_XLL.GET_BALANCE(E$83,"PTD","USD","Total","A","","001","557730","ED","AN","DL")</f>
        <v>5714140</v>
      </c>
      <c r="F112" s="173">
        <f>_XLL.GET_BALANCE(F$83,"PTD","USD","Total","A","","001","557730","ED","AN","DL")</f>
        <v>2992717</v>
      </c>
      <c r="G112" s="173">
        <f>_XLL.GET_BALANCE(G$83,"PTD","USD","Total","A","","001","557730","ED","AN","DL")</f>
        <v>1792656</v>
      </c>
      <c r="H112" s="173">
        <f>_XLL.GET_BALANCE(H$83,"PTD","USD","Total","A","","001","557730","ED","AN","DL")</f>
        <v>2068334</v>
      </c>
      <c r="I112" s="173">
        <f>_XLL.GET_BALANCE(I$83,"PTD","USD","Total","A","","001","557730","ED","AN","DL")</f>
        <v>3018889</v>
      </c>
      <c r="J112" s="173">
        <f>_XLL.GET_BALANCE(J$83,"PTD","USD","Total","A","","001","557730","ED","AN","DL")</f>
        <v>3893940</v>
      </c>
      <c r="K112" s="173">
        <f>_XLL.GET_BALANCE(K$83,"PTD","USD","Total","A","","001","557730","ED","AN","DL")</f>
        <v>5452335</v>
      </c>
      <c r="L112" s="173">
        <f>_XLL.GET_BALANCE(L$83,"PTD","USD","Total","A","","001","557730","ED","AN","DL")</f>
        <v>5589840</v>
      </c>
      <c r="M112" s="173">
        <f>_XLL.GET_BALANCE(M$83,"PTD","USD","Total","A","","001","557730","ED","AN","DL")</f>
        <v>5975860</v>
      </c>
      <c r="N112" s="173">
        <f>_XLL.GET_BALANCE(N$83,"PTD","USD","Total","A","","001","557730","ED","AN","DL")</f>
        <v>2954838</v>
      </c>
      <c r="O112" s="173">
        <f>_XLL.GET_BALANCE(O$83,"PTD","USD","Total","A","","001","557730","ED","AN","DL")</f>
        <v>5198347</v>
      </c>
      <c r="P112" s="173">
        <f>_XLL.GET_BALANCE(P$83,"PTD","USD","Total","A","","001","557730","ED","AN","DL")</f>
        <v>4695843</v>
      </c>
      <c r="Q112" s="379"/>
      <c r="R112" s="380">
        <f t="shared" si="31"/>
        <v>49347739</v>
      </c>
    </row>
    <row r="113" spans="1:18" ht="12.75">
      <c r="A113" s="255">
        <f t="shared" si="33"/>
        <v>66</v>
      </c>
      <c r="B113" s="52" t="s">
        <v>215</v>
      </c>
      <c r="C113" s="52"/>
      <c r="D113" s="360">
        <f t="shared" si="32"/>
        <v>-8165001</v>
      </c>
      <c r="E113" s="173">
        <f>_XLL.GET_BALANCE(E$83,"PTD","USD","Total","A","","001","456010","ED","AN","DL")</f>
        <v>-302618</v>
      </c>
      <c r="F113" s="173">
        <f>_XLL.GET_BALANCE(F$83,"PTD","USD","Total","A","","001","456010","ED","AN","DL")</f>
        <v>-623958</v>
      </c>
      <c r="G113" s="173">
        <f>_XLL.GET_BALANCE(G$83,"PTD","USD","Total","A","","001","456010","ED","AN","DL")</f>
        <v>-1333190</v>
      </c>
      <c r="H113" s="173">
        <f>_XLL.GET_BALANCE(H$83,"PTD","USD","Total","A","","001","456010","ED","AN","DL")</f>
        <v>-835460</v>
      </c>
      <c r="I113" s="173">
        <f>_XLL.GET_BALANCE(I$83,"PTD","USD","Total","A","","001","456010","ED","AN","DL")</f>
        <v>-761623</v>
      </c>
      <c r="J113" s="173">
        <f>_XLL.GET_BALANCE(J$83,"PTD","USD","Total","A","","001","456010","ED","AN","DL")</f>
        <v>-602008</v>
      </c>
      <c r="K113" s="173">
        <f>_XLL.GET_BALANCE(K$83,"PTD","USD","Total","A","","001","456010","ED","AN","DL")</f>
        <v>-1132181</v>
      </c>
      <c r="L113" s="173">
        <f>_XLL.GET_BALANCE(L$83,"PTD","USD","Total","A","","001","456010","ED","AN","DL")</f>
        <v>-831385</v>
      </c>
      <c r="M113" s="173">
        <f>_XLL.GET_BALANCE(M$83,"PTD","USD","Total","A","","001","456010","ED","AN","DL")</f>
        <v>-85965</v>
      </c>
      <c r="N113" s="173">
        <f>_XLL.GET_BALANCE(N$83,"PTD","USD","Total","A","","001","456010","ED","AN","DL")</f>
        <v>-1115580</v>
      </c>
      <c r="O113" s="173">
        <f>_XLL.GET_BALANCE(O$83,"PTD","USD","Total","A","","001","456010","ED","AN","DL")</f>
        <v>-78650</v>
      </c>
      <c r="P113" s="173">
        <f>_XLL.GET_BALANCE(P$83,"PTD","USD","Total","A","","001","456010","ED","AN","DL")</f>
        <v>-462383</v>
      </c>
      <c r="Q113" s="379"/>
      <c r="R113" s="380">
        <f t="shared" si="31"/>
        <v>-8165001</v>
      </c>
    </row>
    <row r="114" spans="1:18" ht="12.75">
      <c r="A114" s="255">
        <f t="shared" si="33"/>
        <v>67</v>
      </c>
      <c r="B114" s="71" t="s">
        <v>181</v>
      </c>
      <c r="D114" s="360">
        <f t="shared" si="32"/>
        <v>-23702205</v>
      </c>
      <c r="E114" s="173">
        <f>_XLL.GET_BALANCE(E$83,"PTD","USD","Total","A","","001","456015","ED","AN","DL")</f>
        <v>-641193</v>
      </c>
      <c r="F114" s="173">
        <f>_XLL.GET_BALANCE(F$83,"PTD","USD","Total","A","","001","456015","ED","AN","DL")</f>
        <v>-1193995</v>
      </c>
      <c r="G114" s="173">
        <f>_XLL.GET_BALANCE(G$83,"PTD","USD","Total","A","","001","456015","ED","AN","DL")</f>
        <v>-2917461</v>
      </c>
      <c r="H114" s="173">
        <f>_XLL.GET_BALANCE(H$83,"PTD","USD","Total","A","","001","456015","ED","AN","DL")</f>
        <v>-3709807</v>
      </c>
      <c r="I114" s="173">
        <f>_XLL.GET_BALANCE(I$83,"PTD","USD","Total","A","","001","456015","ED","AN","DL")</f>
        <v>-4636483</v>
      </c>
      <c r="J114" s="173">
        <f>_XLL.GET_BALANCE(J$83,"PTD","USD","Total","A","","001","456015","ED","AN","DL")</f>
        <v>-6108620</v>
      </c>
      <c r="K114" s="173">
        <f>_XLL.GET_BALANCE(K$83,"PTD","USD","Total","A","","001","456015","ED","AN","DL")</f>
        <v>-1999556</v>
      </c>
      <c r="L114" s="173">
        <f>_XLL.GET_BALANCE(L$83,"PTD","USD","Total","A","","001","456015","ED","AN","DL")</f>
        <v>-449955</v>
      </c>
      <c r="M114" s="173">
        <f>_XLL.GET_BALANCE(M$83,"PTD","USD","Total","A","","001","456015","ED","AN","DL")</f>
        <v>-37151</v>
      </c>
      <c r="N114" s="173">
        <f>_XLL.GET_BALANCE(N$83,"PTD","USD","Total","A","","001","456015","ED","AN","DL")</f>
        <v>-1317581</v>
      </c>
      <c r="O114" s="173">
        <f>_XLL.GET_BALANCE(O$83,"PTD","USD","Total","A","","001","456015","ED","AN","DL")</f>
        <v>-630562</v>
      </c>
      <c r="P114" s="173">
        <f>_XLL.GET_BALANCE(P$83,"PTD","USD","Total","A","","001","456015","ED","AN","DL")</f>
        <v>-59841</v>
      </c>
      <c r="Q114" s="379"/>
      <c r="R114" s="380">
        <f t="shared" si="31"/>
        <v>-23702205</v>
      </c>
    </row>
    <row r="115" spans="1:18" ht="12.75">
      <c r="A115" s="255">
        <f t="shared" si="33"/>
        <v>68</v>
      </c>
      <c r="B115" s="71" t="s">
        <v>213</v>
      </c>
      <c r="D115" s="360">
        <f t="shared" si="32"/>
        <v>-35332351</v>
      </c>
      <c r="E115" s="173">
        <f>_XLL.GET_BALANCE(E$83,"PTD","USD","Total","A","","001","456730","ED","AN","DL")</f>
        <v>-2749753</v>
      </c>
      <c r="F115" s="173">
        <f>_XLL.GET_BALANCE(F$83,"PTD","USD","Total","A","","001","456730","ED","AN","DL")</f>
        <v>-3396998</v>
      </c>
      <c r="G115" s="173">
        <f>_XLL.GET_BALANCE(G$83,"PTD","USD","Total","A","","001","456730","ED","AN","DL")</f>
        <v>-1902284</v>
      </c>
      <c r="H115" s="173">
        <f>_XLL.GET_BALANCE(H$83,"PTD","USD","Total","A","","001","456730","ED","AN","DL")</f>
        <v>-1752218</v>
      </c>
      <c r="I115" s="173">
        <f>_XLL.GET_BALANCE(I$83,"PTD","USD","Total","A","","001","456730","ED","AN","DL")</f>
        <v>-2233183</v>
      </c>
      <c r="J115" s="173">
        <f>_XLL.GET_BALANCE(J$83,"PTD","USD","Total","A","","001","456730","ED","AN","DL")</f>
        <v>-1275199</v>
      </c>
      <c r="K115" s="173">
        <f>_XLL.GET_BALANCE(K$83,"PTD","USD","Total","A","","001","456730","ED","AN","DL")</f>
        <v>-2242160</v>
      </c>
      <c r="L115" s="173">
        <f>_XLL.GET_BALANCE(L$83,"PTD","USD","Total","A","","001","456730","ED","AN","DL")</f>
        <v>-5890144</v>
      </c>
      <c r="M115" s="173">
        <f>_XLL.GET_BALANCE(M$83,"PTD","USD","Total","A","","001","456730","ED","AN","DL")</f>
        <v>-5430140</v>
      </c>
      <c r="N115" s="173">
        <f>_XLL.GET_BALANCE(N$83,"PTD","USD","Total","A","","001","456730","ED","AN","DL")</f>
        <v>-1959498</v>
      </c>
      <c r="O115" s="173">
        <f>_XLL.GET_BALANCE(O$83,"PTD","USD","Total","A","","001","456730","ED","AN","DL")</f>
        <v>-3828971</v>
      </c>
      <c r="P115" s="173">
        <f>_XLL.GET_BALANCE(P$83,"PTD","USD","Total","A","","001","456730","ED","AN","DL")</f>
        <v>-2671803</v>
      </c>
      <c r="Q115" s="379"/>
      <c r="R115" s="380">
        <f t="shared" si="31"/>
        <v>-35332351</v>
      </c>
    </row>
    <row r="116" spans="1:18" ht="12.75">
      <c r="A116" s="255">
        <f t="shared" si="33"/>
        <v>69</v>
      </c>
      <c r="B116" s="52" t="s">
        <v>216</v>
      </c>
      <c r="C116" s="52"/>
      <c r="D116" s="360">
        <f t="shared" si="32"/>
        <v>1081217</v>
      </c>
      <c r="E116" s="159">
        <f>_XLL.GET_BALANCE(E$83,"PTD","USD","Total","A","","001","456711","ED","AN","DL")</f>
        <v>0</v>
      </c>
      <c r="F116" s="159">
        <f>_XLL.GET_BALANCE(F$83,"PTD","USD","Total","A","","001","456711","ED","AN","DL")</f>
        <v>0</v>
      </c>
      <c r="G116" s="159">
        <f>_XLL.GET_BALANCE(G$83,"PTD","USD","Total","A","","001","456711","ED","AN","DL")</f>
        <v>11850</v>
      </c>
      <c r="H116" s="159">
        <f>_XLL.GET_BALANCE(H$83,"PTD","USD","Total","A","","001","456711","ED","AN","DL")</f>
        <v>0</v>
      </c>
      <c r="I116" s="159">
        <f>_XLL.GET_BALANCE(I$83,"PTD","USD","Total","A","","001","456711","ED","AN","DL")</f>
        <v>12879</v>
      </c>
      <c r="J116" s="159">
        <f>_XLL.GET_BALANCE(J$83,"PTD","USD","Total","A","","001","456711","ED","AN","DL")</f>
        <v>0</v>
      </c>
      <c r="K116" s="159">
        <f>_XLL.GET_BALANCE(K$83,"PTD","USD","Total","A","","001","456711","ED","AN","DL")</f>
        <v>631238</v>
      </c>
      <c r="L116" s="159">
        <f>_XLL.GET_BALANCE(L$83,"PTD","USD","Total","A","","001","456711","ED","AN","DL")</f>
        <v>0</v>
      </c>
      <c r="M116" s="159">
        <f>_XLL.GET_BALANCE(M$83,"PTD","USD","Total","A","","001","456711","ED","AN","DL")</f>
        <v>0</v>
      </c>
      <c r="N116" s="159">
        <f>_XLL.GET_BALANCE(N$83,"PTD","USD","Total","A","","001","456711","ED","AN","DL")</f>
        <v>0</v>
      </c>
      <c r="O116" s="159">
        <f>_XLL.GET_BALANCE(O$83,"PTD","USD","Total","A","","001","456711","ED","AN","DL")</f>
        <v>425250</v>
      </c>
      <c r="P116" s="159">
        <f>_XLL.GET_BALANCE(P$83,"PTD","USD","Total","A","","001","456711","ED","AN","DL")</f>
        <v>0</v>
      </c>
      <c r="Q116" s="379"/>
      <c r="R116" s="384">
        <f>SUM(E116:P116)</f>
        <v>1081217</v>
      </c>
    </row>
    <row r="117" spans="1:18" ht="12.75">
      <c r="A117" s="255">
        <f t="shared" si="33"/>
        <v>70</v>
      </c>
      <c r="B117" s="242" t="s">
        <v>182</v>
      </c>
      <c r="C117" s="242"/>
      <c r="D117" s="360">
        <f t="shared" si="32"/>
        <v>-1081217</v>
      </c>
      <c r="E117" s="190">
        <f>_XLL.GET_BALANCE(E$83,"PTD","USD","Total","A","","001","456720","ED","AN","DL")</f>
        <v>0</v>
      </c>
      <c r="F117" s="190">
        <f>_XLL.GET_BALANCE(F$83,"PTD","USD","Total","A","","001","456720","ED","AN","DL")</f>
        <v>0</v>
      </c>
      <c r="G117" s="190">
        <f>_XLL.GET_BALANCE(G$83,"PTD","USD","Total","A","","001","456720","ED","AN","DL")</f>
        <v>-11850</v>
      </c>
      <c r="H117" s="190">
        <f>_XLL.GET_BALANCE(H$83,"PTD","USD","Total","A","","001","456720","ED","AN","DL")</f>
        <v>0</v>
      </c>
      <c r="I117" s="190">
        <f>_XLL.GET_BALANCE(I$83,"PTD","USD","Total","A","","001","456720","ED","AN","DL")</f>
        <v>-12879</v>
      </c>
      <c r="J117" s="190">
        <f>_XLL.GET_BALANCE(J$83,"PTD","USD","Total","A","","001","456720","ED","AN","DL")</f>
        <v>0</v>
      </c>
      <c r="K117" s="190">
        <f>_XLL.GET_BALANCE(K$83,"PTD","USD","Total","A","","001","456720","ED","AN","DL")</f>
        <v>-631238</v>
      </c>
      <c r="L117" s="190">
        <f>_XLL.GET_BALANCE(L$83,"PTD","USD","Total","A","","001","456720","ED","AN","DL")</f>
        <v>0</v>
      </c>
      <c r="M117" s="190">
        <f>_XLL.GET_BALANCE(M$83,"PTD","USD","Total","A","","001","456720","ED","AN","DL")</f>
        <v>0</v>
      </c>
      <c r="N117" s="190">
        <f>_XLL.GET_BALANCE(N$83,"PTD","USD","Total","A","","001","456720","ED","AN","DL")</f>
        <v>0</v>
      </c>
      <c r="O117" s="190">
        <f>_XLL.GET_BALANCE(O$83,"PTD","USD","Total","A","","001","456720","ED","AN","DL")</f>
        <v>-425250</v>
      </c>
      <c r="P117" s="190">
        <f>_XLL.GET_BALANCE(P$83,"PTD","USD","Total","A","","001","456720","ED","AN","DL")</f>
        <v>0</v>
      </c>
      <c r="Q117" s="379"/>
      <c r="R117" s="381">
        <f t="shared" si="31"/>
        <v>-1081217</v>
      </c>
    </row>
    <row r="118" spans="1:18" ht="22.5" customHeight="1">
      <c r="A118" s="392">
        <f>+A117+1</f>
        <v>71</v>
      </c>
      <c r="B118" s="247" t="s">
        <v>247</v>
      </c>
      <c r="C118" s="247"/>
      <c r="D118" s="193">
        <f>SUM(E118:P118)</f>
        <v>-6060449</v>
      </c>
      <c r="E118" s="171">
        <f>SUM(E108:E117)</f>
        <v>-421412</v>
      </c>
      <c r="F118" s="171">
        <f aca="true" t="shared" si="34" ref="F118:P118">SUM(F108:F117)</f>
        <v>-136117</v>
      </c>
      <c r="G118" s="171">
        <f t="shared" si="34"/>
        <v>-720671</v>
      </c>
      <c r="H118" s="171">
        <f t="shared" si="34"/>
        <v>-674250</v>
      </c>
      <c r="I118" s="171">
        <f t="shared" si="34"/>
        <v>-962926</v>
      </c>
      <c r="J118" s="171">
        <f t="shared" si="34"/>
        <v>-682552</v>
      </c>
      <c r="K118" s="171">
        <f t="shared" si="34"/>
        <v>-660849</v>
      </c>
      <c r="L118" s="171">
        <f t="shared" si="34"/>
        <v>-371137</v>
      </c>
      <c r="M118" s="171">
        <f t="shared" si="34"/>
        <v>-69463</v>
      </c>
      <c r="N118" s="171">
        <f t="shared" si="34"/>
        <v>-706008</v>
      </c>
      <c r="O118" s="171">
        <f t="shared" si="34"/>
        <v>-302537</v>
      </c>
      <c r="P118" s="171">
        <f t="shared" si="34"/>
        <v>-352527</v>
      </c>
      <c r="Q118" s="379"/>
      <c r="R118" s="393">
        <f>SUM(R108:R117)</f>
        <v>-6060449</v>
      </c>
    </row>
    <row r="119" spans="1:18" ht="9" customHeight="1">
      <c r="A119" s="25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379"/>
      <c r="R119" s="380"/>
    </row>
    <row r="120" spans="1:18" ht="9" customHeight="1">
      <c r="A120" s="25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379"/>
      <c r="R120" s="380"/>
    </row>
    <row r="121" spans="1:18" ht="12.75">
      <c r="A121" s="255">
        <f>A118+1</f>
        <v>72</v>
      </c>
      <c r="B121" s="249" t="s">
        <v>280</v>
      </c>
      <c r="C121" s="249"/>
      <c r="D121" s="286">
        <f>SUM(E121:P121)</f>
        <v>787</v>
      </c>
      <c r="E121" s="205">
        <f>_XLL.GET_BALANCE(E$83,"PTD","USD","Total","A","","001","557160","ED","AN","DL")</f>
        <v>0</v>
      </c>
      <c r="F121" s="205">
        <f>_XLL.GET_BALANCE(F$83,"PTD","USD","Total","A","","001","557160","ED","AN","DL")</f>
        <v>225</v>
      </c>
      <c r="G121" s="205">
        <f>_XLL.GET_BALANCE(G$83,"PTD","USD","Total","A","","001","557160","ED","AN","DL")</f>
        <v>0</v>
      </c>
      <c r="H121" s="205">
        <f>_XLL.GET_BALANCE(H$83,"PTD","USD","Total","A","","001","557160","ED","AN","DL")</f>
        <v>0</v>
      </c>
      <c r="I121" s="205">
        <f>_XLL.GET_BALANCE(I$83,"PTD","USD","Total","A","","001","557160","ED","AN","DL")</f>
        <v>0</v>
      </c>
      <c r="J121" s="205">
        <f>_XLL.GET_BALANCE(J$83,"PTD","USD","Total","A","","001","557160","ED","AN","DL")</f>
        <v>0</v>
      </c>
      <c r="K121" s="205">
        <f>_XLL.GET_BALANCE(K$83,"PTD","USD","Total","A","","001","557160","ED","AN","DL")</f>
        <v>247</v>
      </c>
      <c r="L121" s="205">
        <f>_XLL.GET_BALANCE(L$83,"PTD","USD","Total","A","","001","557160","ED","AN","DL")</f>
        <v>0</v>
      </c>
      <c r="M121" s="205">
        <f>_XLL.GET_BALANCE(M$83,"PTD","USD","Total","A","","001","557160","ED","AN","DL")</f>
        <v>0</v>
      </c>
      <c r="N121" s="205">
        <f>_XLL.GET_BALANCE(N$83,"PTD","USD","Total","A","","001","557160","ED","AN","DL")</f>
        <v>172</v>
      </c>
      <c r="O121" s="205">
        <f>_XLL.GET_BALANCE(O$83,"PTD","USD","Total","A","","001","557160","ED","AN","DL")</f>
        <v>143</v>
      </c>
      <c r="P121" s="205">
        <f>_XLL.GET_BALANCE(P$83,"PTD","USD","Total","A","","001","557160","ED","AN","DL")</f>
        <v>0</v>
      </c>
      <c r="Q121" s="379"/>
      <c r="R121" s="384">
        <f>SUM(E121:P121)</f>
        <v>787</v>
      </c>
    </row>
    <row r="122" spans="1:18" ht="18.75" customHeight="1">
      <c r="A122" s="392">
        <f>A121+1</f>
        <v>73</v>
      </c>
      <c r="B122" s="247" t="s">
        <v>287</v>
      </c>
      <c r="C122" s="247"/>
      <c r="D122" s="232">
        <f>SUM(E122:P122)</f>
        <v>787</v>
      </c>
      <c r="E122" s="170">
        <f>IF(E23=0," ",E121)</f>
        <v>0</v>
      </c>
      <c r="F122" s="170">
        <f aca="true" t="shared" si="35" ref="F122:P122">IF(F23=0," ",F121)</f>
        <v>225</v>
      </c>
      <c r="G122" s="170">
        <f t="shared" si="35"/>
        <v>0</v>
      </c>
      <c r="H122" s="170">
        <f t="shared" si="35"/>
        <v>0</v>
      </c>
      <c r="I122" s="170">
        <f t="shared" si="35"/>
        <v>0</v>
      </c>
      <c r="J122" s="170">
        <f t="shared" si="35"/>
        <v>0</v>
      </c>
      <c r="K122" s="170">
        <f t="shared" si="35"/>
        <v>247</v>
      </c>
      <c r="L122" s="170">
        <f t="shared" si="35"/>
        <v>0</v>
      </c>
      <c r="M122" s="170">
        <f t="shared" si="35"/>
        <v>0</v>
      </c>
      <c r="N122" s="170">
        <f t="shared" si="35"/>
        <v>172</v>
      </c>
      <c r="O122" s="170">
        <f t="shared" si="35"/>
        <v>143</v>
      </c>
      <c r="P122" s="170">
        <f t="shared" si="35"/>
        <v>0</v>
      </c>
      <c r="Q122" s="379"/>
      <c r="R122" s="380">
        <f>SUM(E122:P122)</f>
        <v>787</v>
      </c>
    </row>
    <row r="123" spans="1:18" ht="9" customHeight="1">
      <c r="A123" s="25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379"/>
      <c r="R123" s="380"/>
    </row>
    <row r="124" spans="1:18" ht="9" customHeight="1">
      <c r="A124" s="25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379"/>
      <c r="R124" s="380"/>
    </row>
    <row r="125" spans="1:19" ht="12.75">
      <c r="A125" s="255">
        <f>A122+1</f>
        <v>74</v>
      </c>
      <c r="B125" s="244" t="s">
        <v>211</v>
      </c>
      <c r="C125" s="244"/>
      <c r="D125" s="205">
        <f>SUM(E125:P125)</f>
        <v>0</v>
      </c>
      <c r="E125" s="394">
        <v>0</v>
      </c>
      <c r="F125" s="394">
        <v>0</v>
      </c>
      <c r="G125" s="394">
        <v>0</v>
      </c>
      <c r="H125" s="394">
        <v>0</v>
      </c>
      <c r="I125" s="394">
        <v>0</v>
      </c>
      <c r="J125" s="394">
        <v>0</v>
      </c>
      <c r="K125" s="394">
        <v>0</v>
      </c>
      <c r="L125" s="394">
        <v>0</v>
      </c>
      <c r="M125" s="394">
        <v>0</v>
      </c>
      <c r="N125" s="394">
        <v>0</v>
      </c>
      <c r="O125" s="394">
        <v>0</v>
      </c>
      <c r="P125" s="394">
        <v>0</v>
      </c>
      <c r="Q125" s="379"/>
      <c r="R125" s="380">
        <f>SUM(E125:P125)</f>
        <v>0</v>
      </c>
      <c r="S125" s="198" t="s">
        <v>29</v>
      </c>
    </row>
    <row r="126" spans="1:18" ht="12.75">
      <c r="A126" s="256">
        <f>A125+1</f>
        <v>75</v>
      </c>
      <c r="B126" s="250" t="s">
        <v>222</v>
      </c>
      <c r="C126" s="250"/>
      <c r="D126" s="232">
        <f>SUM(E126:P126)</f>
        <v>474</v>
      </c>
      <c r="E126" s="179">
        <f>_XLL.GET_BALANCE(E$83,"PTD","USD","Total","A","","001","557395","ED","AN","DL")</f>
        <v>10</v>
      </c>
      <c r="F126" s="179">
        <f>_XLL.GET_BALANCE(F$83,"PTD","USD","Total","A","","001","557395","ED","AN","DL")</f>
        <v>23</v>
      </c>
      <c r="G126" s="179">
        <f>_XLL.GET_BALANCE(G$83,"PTD","USD","Total","A","","001","557395","ED","AN","DL")</f>
        <v>15</v>
      </c>
      <c r="H126" s="179">
        <f>_XLL.GET_BALANCE(H$83,"PTD","USD","Total","A","","001","557395","ED","AN","DL")</f>
        <v>21</v>
      </c>
      <c r="I126" s="179">
        <f>_XLL.GET_BALANCE(I$83,"PTD","USD","Total","A","","001","557395","ED","AN","DL")</f>
        <v>39</v>
      </c>
      <c r="J126" s="179">
        <f>_XLL.GET_BALANCE(J$83,"PTD","USD","Total","A","","001","557395","ED","AN","DL")</f>
        <v>38</v>
      </c>
      <c r="K126" s="179">
        <f>_XLL.GET_BALANCE(K$83,"PTD","USD","Total","A","","001","557395","ED","AN","DL")</f>
        <v>86</v>
      </c>
      <c r="L126" s="179">
        <f>_XLL.GET_BALANCE(L$83,"PTD","USD","Total","A","","001","557395","ED","AN","DL")</f>
        <v>120</v>
      </c>
      <c r="M126" s="179">
        <f>_XLL.GET_BALANCE(M$83,"PTD","USD","Total","A","","001","557395","ED","AN","DL")</f>
        <v>57</v>
      </c>
      <c r="N126" s="179">
        <f>_XLL.GET_BALANCE(N$83,"PTD","USD","Total","A","","001","557395","ED","AN","DL")</f>
        <v>42</v>
      </c>
      <c r="O126" s="179">
        <f>_XLL.GET_BALANCE(O$83,"PTD","USD","Total","A","","001","557395","ED","AN","DL")</f>
        <v>13</v>
      </c>
      <c r="P126" s="179">
        <f>_XLL.GET_BALANCE(P$83,"PTD","USD","Total","A","","001","557395","ED","AN","DL")</f>
        <v>10</v>
      </c>
      <c r="Q126" s="379"/>
      <c r="R126" s="381">
        <f>SUM(E126:P126)</f>
        <v>474</v>
      </c>
    </row>
    <row r="127" spans="1:18" ht="17.25" customHeight="1">
      <c r="A127" s="255">
        <f>A126+1</f>
        <v>76</v>
      </c>
      <c r="B127" s="251" t="s">
        <v>223</v>
      </c>
      <c r="C127" s="251"/>
      <c r="D127" s="180">
        <f>SUM(E127:P127)</f>
        <v>474</v>
      </c>
      <c r="E127" s="180">
        <f>E126-E125</f>
        <v>10</v>
      </c>
      <c r="F127" s="180">
        <f aca="true" t="shared" si="36" ref="F127:P127">F126-F125</f>
        <v>23</v>
      </c>
      <c r="G127" s="180">
        <f t="shared" si="36"/>
        <v>15</v>
      </c>
      <c r="H127" s="180">
        <f t="shared" si="36"/>
        <v>21</v>
      </c>
      <c r="I127" s="180">
        <f t="shared" si="36"/>
        <v>39</v>
      </c>
      <c r="J127" s="180">
        <f t="shared" si="36"/>
        <v>38</v>
      </c>
      <c r="K127" s="180">
        <f t="shared" si="36"/>
        <v>86</v>
      </c>
      <c r="L127" s="180">
        <f t="shared" si="36"/>
        <v>120</v>
      </c>
      <c r="M127" s="180">
        <f t="shared" si="36"/>
        <v>57</v>
      </c>
      <c r="N127" s="180">
        <f t="shared" si="36"/>
        <v>42</v>
      </c>
      <c r="O127" s="180">
        <f t="shared" si="36"/>
        <v>13</v>
      </c>
      <c r="P127" s="180">
        <f t="shared" si="36"/>
        <v>10</v>
      </c>
      <c r="Q127" s="379"/>
      <c r="R127" s="380">
        <f>SUM(E127:P127)</f>
        <v>474</v>
      </c>
    </row>
    <row r="128" spans="1:18" ht="17.25" customHeight="1">
      <c r="A128" s="255"/>
      <c r="B128" s="251"/>
      <c r="C128" s="251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379"/>
      <c r="R128" s="380"/>
    </row>
    <row r="129" spans="1:19" ht="12.75">
      <c r="A129" s="255">
        <f>A127+1</f>
        <v>77</v>
      </c>
      <c r="B129" s="244" t="s">
        <v>348</v>
      </c>
      <c r="C129" s="244"/>
      <c r="D129" s="205">
        <f>SUM(E129:P129)</f>
        <v>0</v>
      </c>
      <c r="E129" s="191">
        <f>_XLL.GET_BALANCE(E$83,"PTD","USD","Total","A","","001","557160","ED","WA","DL")</f>
        <v>0</v>
      </c>
      <c r="F129" s="191">
        <f>_XLL.GET_BALANCE(F$83,"PTD","USD","Total","A","","001","557160","ED","WA","DL")</f>
        <v>0</v>
      </c>
      <c r="G129" s="191">
        <f>_XLL.GET_BALANCE(G$83,"PTD","USD","Total","A","","001","557160","ED","WA","DL")*0</f>
        <v>0</v>
      </c>
      <c r="H129" s="191">
        <f>_XLL.GET_BALANCE(H$83,"PTD","USD","Total","A","","001","557160","ED","WA","DL")</f>
        <v>0</v>
      </c>
      <c r="I129" s="191">
        <f>_XLL.GET_BALANCE(I$83,"PTD","USD","Total","A","","001","557160","ED","WA","DL")</f>
        <v>0</v>
      </c>
      <c r="J129" s="191">
        <f>_XLL.GET_BALANCE(J$83,"PTD","USD","Total","A","","001","557160","ED","WA","DL")*0</f>
        <v>0</v>
      </c>
      <c r="K129" s="191">
        <f>_XLL.GET_BALANCE(K$83,"PTD","USD","Total","A","","001","557160","ED","WA","DL")</f>
        <v>0</v>
      </c>
      <c r="L129" s="191">
        <f>_XLL.GET_BALANCE(L$83,"PTD","USD","Total","A","","001","557160","ED","WA","DL")</f>
        <v>0</v>
      </c>
      <c r="M129" s="191">
        <f>_XLL.GET_BALANCE(M$83,"PTD","USD","Total","A","","001","557160","ED","WA","DL")</f>
        <v>0</v>
      </c>
      <c r="N129" s="191">
        <f>_XLL.GET_BALANCE(N$83,"PTD","USD","Total","A","","001","557160","ED","WA","DL")</f>
        <v>0</v>
      </c>
      <c r="O129" s="191">
        <f>_XLL.GET_BALANCE(O$83,"PTD","USD","Total","A","","001","557160","ED","WA","DL")</f>
        <v>0</v>
      </c>
      <c r="P129" s="191">
        <f>_XLL.GET_BALANCE(P$83,"PTD","USD","Total","A","","001","557160","ED","WA","DL")</f>
        <v>0</v>
      </c>
      <c r="Q129" s="379"/>
      <c r="R129" s="380">
        <f>SUM(E129:P129)</f>
        <v>0</v>
      </c>
      <c r="S129" s="198" t="s">
        <v>29</v>
      </c>
    </row>
    <row r="130" spans="1:19" ht="12.75">
      <c r="A130" s="255">
        <f>A129+1</f>
        <v>78</v>
      </c>
      <c r="B130" s="244" t="s">
        <v>349</v>
      </c>
      <c r="C130" s="244"/>
      <c r="D130" s="205">
        <f>SUM(E130:P130)</f>
        <v>0</v>
      </c>
      <c r="E130" s="191">
        <f>_XLL.GET_BALANCE(E$83,"PTD","USD","Total","A","","001","557170","ED","WA","DL")</f>
        <v>0</v>
      </c>
      <c r="F130" s="191">
        <f>_XLL.GET_BALANCE(F$83,"PTD","USD","Total","A","","001","557170","ED","WA","DL")</f>
        <v>0</v>
      </c>
      <c r="G130" s="191">
        <f>_XLL.GET_BALANCE(G$83,"PTD","USD","Total","A","","001","557170","ED","WA","DL")</f>
        <v>0</v>
      </c>
      <c r="H130" s="191">
        <f>_XLL.GET_BALANCE(H$83,"PTD","USD","Total","A","","001","557170","ED","WA","DL")</f>
        <v>0</v>
      </c>
      <c r="I130" s="191">
        <f>_XLL.GET_BALANCE(I$83,"PTD","USD","Total","A","","001","557170","ED","WA","DL")</f>
        <v>0</v>
      </c>
      <c r="J130" s="191">
        <f>_XLL.GET_BALANCE(J$83,"PTD","USD","Total","A","","001","557170","ED","WA","DL")</f>
        <v>0</v>
      </c>
      <c r="K130" s="191">
        <f>_XLL.GET_BALANCE(K$83,"PTD","USD","Total","A","","001","557170","ED","WA","DL")</f>
        <v>0</v>
      </c>
      <c r="L130" s="191">
        <f>_XLL.GET_BALANCE(L$83,"PTD","USD","Total","A","","001","557170","ED","WA","DL")</f>
        <v>0</v>
      </c>
      <c r="M130" s="191">
        <f>_XLL.GET_BALANCE(M$83,"PTD","USD","Total","A","","001","557170","ED","WA","DL")</f>
        <v>0</v>
      </c>
      <c r="N130" s="191">
        <f>_XLL.GET_BALANCE(N$83,"PTD","USD","Total","A","","001","557170","ED","WA","DL")</f>
        <v>0</v>
      </c>
      <c r="O130" s="191">
        <f>_XLL.GET_BALANCE(O$83,"PTD","USD","Total","A","","001","557170","ED","WA","DL")</f>
        <v>0</v>
      </c>
      <c r="P130" s="191">
        <f>_XLL.GET_BALANCE(P$83,"PTD","USD","Total","A","","001","557170","ED","WA","DL")</f>
        <v>0</v>
      </c>
      <c r="Q130" s="379"/>
      <c r="R130" s="380"/>
      <c r="S130" s="198"/>
    </row>
    <row r="131" spans="1:18" ht="12.75">
      <c r="A131" s="256">
        <f>A130+1</f>
        <v>79</v>
      </c>
      <c r="B131" s="246" t="s">
        <v>350</v>
      </c>
      <c r="C131" s="250"/>
      <c r="D131" s="232">
        <f>SUM(E131:P131)</f>
        <v>0</v>
      </c>
      <c r="E131" s="179">
        <f>_XLL.GET_BALANCE(E$83,"PTD","USD","Total","A","","001","557171","ED","WA","DL")</f>
        <v>0</v>
      </c>
      <c r="F131" s="179">
        <f>_XLL.GET_BALANCE(F$83,"PTD","USD","Total","A","","001","557171","ED","WA","DL")</f>
        <v>0</v>
      </c>
      <c r="G131" s="179">
        <f>_XLL.GET_BALANCE(G$83,"PTD","USD","Total","A","","001","557171","ED","WA","DL")</f>
        <v>0</v>
      </c>
      <c r="H131" s="179">
        <f>_XLL.GET_BALANCE(H$83,"PTD","USD","Total","A","","001","557171","ED","WA","DL")</f>
        <v>0</v>
      </c>
      <c r="I131" s="179">
        <f>_XLL.GET_BALANCE(I$83,"PTD","USD","Total","A","","001","557171","ED","WA","DL")</f>
        <v>0</v>
      </c>
      <c r="J131" s="179">
        <f>_XLL.GET_BALANCE(J$83,"PTD","USD","Total","A","","001","557171","ED","WA","DL")</f>
        <v>0</v>
      </c>
      <c r="K131" s="179">
        <f>_XLL.GET_BALANCE(K$83,"PTD","USD","Total","A","","001","557171","ED","WA","DL")</f>
        <v>0</v>
      </c>
      <c r="L131" s="179">
        <f>_XLL.GET_BALANCE(L$83,"PTD","USD","Total","A","","001","557171","ED","WA","DL")</f>
        <v>0</v>
      </c>
      <c r="M131" s="179">
        <f>_XLL.GET_BALANCE(M$83,"PTD","USD","Total","A","","001","557171","ED","WA","DL")</f>
        <v>0</v>
      </c>
      <c r="N131" s="179">
        <f>_XLL.GET_BALANCE(N$83,"PTD","USD","Total","A","","001","557171","ED","WA","DL")</f>
        <v>0</v>
      </c>
      <c r="O131" s="179">
        <f>_XLL.GET_BALANCE(O$83,"PTD","USD","Total","A","","001","557171","ED","WA","DL")</f>
        <v>0</v>
      </c>
      <c r="P131" s="179">
        <f>_XLL.GET_BALANCE(P$83,"PTD","USD","Total","A","","001","557171","ED","WA","DL")</f>
        <v>0</v>
      </c>
      <c r="Q131" s="379"/>
      <c r="R131" s="381">
        <f>SUM(E131:P131)</f>
        <v>0</v>
      </c>
    </row>
    <row r="132" spans="1:18" ht="17.25" customHeight="1">
      <c r="A132" s="255">
        <f>A131+1</f>
        <v>80</v>
      </c>
      <c r="B132" s="251" t="s">
        <v>347</v>
      </c>
      <c r="C132" s="251"/>
      <c r="D132" s="180">
        <f>E132+F132+G132+H132+I132+J132+K132</f>
        <v>0</v>
      </c>
      <c r="E132" s="180">
        <f>E129+E130+E131</f>
        <v>0</v>
      </c>
      <c r="F132" s="180">
        <f aca="true" t="shared" si="37" ref="F132:P132">F129+F130+F131</f>
        <v>0</v>
      </c>
      <c r="G132" s="180">
        <f t="shared" si="37"/>
        <v>0</v>
      </c>
      <c r="H132" s="180">
        <f t="shared" si="37"/>
        <v>0</v>
      </c>
      <c r="I132" s="180">
        <f t="shared" si="37"/>
        <v>0</v>
      </c>
      <c r="J132" s="180">
        <f t="shared" si="37"/>
        <v>0</v>
      </c>
      <c r="K132" s="180">
        <f t="shared" si="37"/>
        <v>0</v>
      </c>
      <c r="L132" s="180">
        <f t="shared" si="37"/>
        <v>0</v>
      </c>
      <c r="M132" s="180">
        <f t="shared" si="37"/>
        <v>0</v>
      </c>
      <c r="N132" s="180">
        <f t="shared" si="37"/>
        <v>0</v>
      </c>
      <c r="O132" s="180">
        <f t="shared" si="37"/>
        <v>0</v>
      </c>
      <c r="P132" s="180">
        <f t="shared" si="37"/>
        <v>0</v>
      </c>
      <c r="Q132" s="180">
        <f>Q129+Q130+Q131</f>
        <v>0</v>
      </c>
      <c r="R132" s="180">
        <f>R129+R130+R131</f>
        <v>0</v>
      </c>
    </row>
    <row r="133" spans="1:18" ht="7.5" customHeight="1">
      <c r="A133" s="255"/>
      <c r="B133" s="252"/>
      <c r="C133" s="252"/>
      <c r="D133" s="395"/>
      <c r="E133" s="205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379"/>
      <c r="R133" s="380"/>
    </row>
    <row r="134" spans="1:18" ht="23.25" customHeight="1">
      <c r="A134" s="357">
        <f>A132+1</f>
        <v>81</v>
      </c>
      <c r="B134" s="240" t="s">
        <v>192</v>
      </c>
      <c r="C134" s="240"/>
      <c r="D134" s="193">
        <f>SUM(E134:P134)</f>
        <v>-6059188</v>
      </c>
      <c r="E134" s="170">
        <f aca="true" t="shared" si="38" ref="E134:P134">IF(E23=0," ",E118+E122+E127)</f>
        <v>-421402</v>
      </c>
      <c r="F134" s="170">
        <f t="shared" si="38"/>
        <v>-135869</v>
      </c>
      <c r="G134" s="170">
        <f t="shared" si="38"/>
        <v>-720656</v>
      </c>
      <c r="H134" s="170">
        <f t="shared" si="38"/>
        <v>-674229</v>
      </c>
      <c r="I134" s="170">
        <f t="shared" si="38"/>
        <v>-962887</v>
      </c>
      <c r="J134" s="170">
        <f t="shared" si="38"/>
        <v>-682514</v>
      </c>
      <c r="K134" s="170">
        <f t="shared" si="38"/>
        <v>-660516</v>
      </c>
      <c r="L134" s="170">
        <f t="shared" si="38"/>
        <v>-371017</v>
      </c>
      <c r="M134" s="170">
        <f t="shared" si="38"/>
        <v>-69406</v>
      </c>
      <c r="N134" s="170">
        <f t="shared" si="38"/>
        <v>-705794</v>
      </c>
      <c r="O134" s="170">
        <f t="shared" si="38"/>
        <v>-302381</v>
      </c>
      <c r="P134" s="170">
        <f t="shared" si="38"/>
        <v>-352517</v>
      </c>
      <c r="Q134" s="379"/>
      <c r="R134" s="380">
        <f>SUM(F134:Q134)</f>
        <v>-5637786</v>
      </c>
    </row>
    <row r="135" spans="2:18" ht="9.75" customHeight="1">
      <c r="B135" s="52"/>
      <c r="C135" s="52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379"/>
      <c r="R135" s="380"/>
    </row>
    <row r="136" spans="1:18" s="183" customFormat="1" ht="25.5" customHeight="1" thickBot="1">
      <c r="A136" s="396">
        <f>A134+1</f>
        <v>82</v>
      </c>
      <c r="B136" s="253" t="s">
        <v>11</v>
      </c>
      <c r="C136" s="253"/>
      <c r="D136" s="397">
        <f>SUM(E136:P136)</f>
        <v>131176171</v>
      </c>
      <c r="E136" s="197">
        <f aca="true" t="shared" si="39" ref="E136:P136">IF(E23=0," ",E81+E92+E98+E105+E134+E132)</f>
        <v>17903586</v>
      </c>
      <c r="F136" s="197">
        <f t="shared" si="39"/>
        <v>12188910</v>
      </c>
      <c r="G136" s="197">
        <f t="shared" si="39"/>
        <v>10097288</v>
      </c>
      <c r="H136" s="197">
        <f t="shared" si="39"/>
        <v>5678433</v>
      </c>
      <c r="I136" s="197">
        <f t="shared" si="39"/>
        <v>2808125</v>
      </c>
      <c r="J136" s="197">
        <f t="shared" si="39"/>
        <v>3844687</v>
      </c>
      <c r="K136" s="197">
        <f t="shared" si="39"/>
        <v>11201920</v>
      </c>
      <c r="L136" s="197">
        <f t="shared" si="39"/>
        <v>16332296</v>
      </c>
      <c r="M136" s="197">
        <f t="shared" si="39"/>
        <v>11496652</v>
      </c>
      <c r="N136" s="197">
        <f t="shared" si="39"/>
        <v>12913558</v>
      </c>
      <c r="O136" s="197">
        <f t="shared" si="39"/>
        <v>14716819</v>
      </c>
      <c r="P136" s="197">
        <f t="shared" si="39"/>
        <v>11993897</v>
      </c>
      <c r="Q136" s="382"/>
      <c r="R136" s="398"/>
    </row>
    <row r="137" spans="5:17" ht="13.5" thickTop="1"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7"/>
    </row>
    <row r="138" ht="12.75">
      <c r="Q138" s="367"/>
    </row>
    <row r="139" spans="5:17" ht="12.75">
      <c r="E139" s="361"/>
      <c r="F139" s="361"/>
      <c r="G139" s="361"/>
      <c r="H139" s="361"/>
      <c r="I139" s="361"/>
      <c r="J139" s="113"/>
      <c r="K139" s="361"/>
      <c r="L139" s="361"/>
      <c r="M139" s="361"/>
      <c r="N139" s="361"/>
      <c r="O139" s="361"/>
      <c r="P139" s="361"/>
      <c r="Q139" s="367"/>
    </row>
    <row r="140" spans="5:17" ht="12.75">
      <c r="E140" s="361"/>
      <c r="F140" s="361"/>
      <c r="G140" s="361"/>
      <c r="H140" s="361"/>
      <c r="I140" s="361"/>
      <c r="J140" s="113"/>
      <c r="K140" s="361"/>
      <c r="L140" s="361"/>
      <c r="M140" s="361"/>
      <c r="N140" s="361"/>
      <c r="O140" s="361"/>
      <c r="P140" s="361"/>
      <c r="Q140" s="367"/>
    </row>
    <row r="141" spans="5:17" ht="12.75">
      <c r="E141" s="361"/>
      <c r="F141" s="361"/>
      <c r="G141" s="361"/>
      <c r="H141" s="361"/>
      <c r="I141" s="361"/>
      <c r="J141" s="113"/>
      <c r="K141" s="361"/>
      <c r="L141" s="361"/>
      <c r="M141" s="361"/>
      <c r="N141" s="361"/>
      <c r="O141" s="361"/>
      <c r="P141" s="361"/>
      <c r="Q141" s="367"/>
    </row>
    <row r="142" spans="5:17" ht="12.75">
      <c r="E142" s="361"/>
      <c r="F142" s="361"/>
      <c r="G142" s="361"/>
      <c r="H142" s="361"/>
      <c r="I142" s="361"/>
      <c r="J142" s="113"/>
      <c r="K142" s="361"/>
      <c r="L142" s="361"/>
      <c r="M142" s="361"/>
      <c r="N142" s="361"/>
      <c r="O142" s="361"/>
      <c r="P142" s="361"/>
      <c r="Q142" s="367"/>
    </row>
    <row r="143" spans="5:17" ht="12.75">
      <c r="E143" s="361"/>
      <c r="F143" s="361"/>
      <c r="G143" s="361"/>
      <c r="H143" s="361"/>
      <c r="I143" s="361"/>
      <c r="J143" s="113"/>
      <c r="K143" s="361"/>
      <c r="L143" s="361"/>
      <c r="M143" s="361"/>
      <c r="N143" s="361"/>
      <c r="O143" s="361"/>
      <c r="P143" s="361"/>
      <c r="Q143" s="367"/>
    </row>
    <row r="144" spans="5:17" ht="12.75">
      <c r="E144" s="361"/>
      <c r="F144" s="361"/>
      <c r="G144" s="361"/>
      <c r="H144" s="361"/>
      <c r="I144" s="361"/>
      <c r="J144" s="113"/>
      <c r="K144" s="361"/>
      <c r="L144" s="361"/>
      <c r="M144" s="361"/>
      <c r="N144" s="361"/>
      <c r="O144" s="361"/>
      <c r="P144" s="361"/>
      <c r="Q144" s="367"/>
    </row>
    <row r="145" spans="5:17" ht="12.75">
      <c r="E145" s="361"/>
      <c r="F145" s="361"/>
      <c r="G145" s="361"/>
      <c r="H145" s="361"/>
      <c r="I145" s="361"/>
      <c r="J145" s="113"/>
      <c r="K145" s="361"/>
      <c r="L145" s="361"/>
      <c r="M145" s="361"/>
      <c r="N145" s="361"/>
      <c r="O145" s="361"/>
      <c r="P145" s="361"/>
      <c r="Q145" s="367"/>
    </row>
    <row r="146" spans="5:17" ht="12.75">
      <c r="E146" s="361"/>
      <c r="F146" s="361"/>
      <c r="G146" s="361"/>
      <c r="H146" s="361"/>
      <c r="I146" s="361"/>
      <c r="J146" s="113"/>
      <c r="K146" s="361"/>
      <c r="L146" s="361"/>
      <c r="M146" s="361"/>
      <c r="N146" s="361"/>
      <c r="O146" s="361"/>
      <c r="P146" s="361"/>
      <c r="Q146" s="367"/>
    </row>
    <row r="147" spans="5:17" ht="12.75">
      <c r="E147" s="361"/>
      <c r="F147" s="361"/>
      <c r="G147" s="361"/>
      <c r="H147" s="361"/>
      <c r="I147" s="361"/>
      <c r="J147" s="113"/>
      <c r="K147" s="361"/>
      <c r="L147" s="361"/>
      <c r="M147" s="361"/>
      <c r="N147" s="361"/>
      <c r="O147" s="361"/>
      <c r="P147" s="361"/>
      <c r="Q147" s="367"/>
    </row>
    <row r="148" spans="5:17" ht="12.75">
      <c r="E148" s="361"/>
      <c r="F148" s="361"/>
      <c r="G148" s="361"/>
      <c r="H148" s="361"/>
      <c r="I148" s="361"/>
      <c r="J148" s="113"/>
      <c r="K148" s="361"/>
      <c r="L148" s="361"/>
      <c r="M148" s="361"/>
      <c r="N148" s="361"/>
      <c r="O148" s="361"/>
      <c r="P148" s="361"/>
      <c r="Q148" s="367"/>
    </row>
    <row r="149" spans="5:17" ht="12.75"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7"/>
    </row>
    <row r="150" spans="5:17" ht="12.75"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7"/>
    </row>
    <row r="151" spans="5:17" ht="12.75"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7"/>
    </row>
    <row r="152" spans="5:17" ht="12.75"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7"/>
    </row>
    <row r="153" spans="5:17" ht="12.75"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7"/>
    </row>
    <row r="154" spans="5:17" ht="12.75"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7"/>
    </row>
    <row r="155" spans="5:17" ht="12.75"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7"/>
    </row>
    <row r="156" spans="5:17" ht="12.75"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7"/>
    </row>
    <row r="157" spans="5:17" ht="12.75"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7"/>
    </row>
    <row r="158" spans="5:17" ht="12.75"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7"/>
    </row>
    <row r="159" spans="5:17" ht="12.75"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7"/>
    </row>
    <row r="160" spans="5:17" ht="12.75"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7"/>
    </row>
    <row r="161" spans="5:17" ht="12.75"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7"/>
    </row>
    <row r="162" spans="5:17" ht="12.75"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7"/>
    </row>
    <row r="163" spans="5:17" ht="12.75"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7"/>
    </row>
    <row r="164" spans="5:17" ht="12.75"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7"/>
    </row>
    <row r="165" spans="5:17" ht="12.75"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7"/>
    </row>
    <row r="166" spans="5:17" ht="12.75"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7"/>
    </row>
    <row r="167" spans="5:17" ht="12.75"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7"/>
    </row>
    <row r="168" spans="5:17" ht="12.75"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7"/>
    </row>
    <row r="169" spans="5:17" ht="12.75"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7"/>
    </row>
    <row r="170" spans="5:17" ht="12.75"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7"/>
    </row>
    <row r="171" spans="5:17" ht="12.75"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7"/>
    </row>
    <row r="172" spans="5:17" ht="12.75"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7"/>
    </row>
    <row r="173" spans="5:17" ht="12.75"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7"/>
    </row>
    <row r="174" spans="5:17" ht="12.75"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7"/>
    </row>
    <row r="175" spans="5:17" ht="12.75"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7"/>
    </row>
    <row r="176" spans="5:17" ht="12.75"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7"/>
    </row>
    <row r="177" spans="5:17" ht="12.75"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7"/>
    </row>
    <row r="178" spans="5:17" ht="12.75"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7"/>
    </row>
    <row r="179" spans="5:17" ht="12.75"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7"/>
    </row>
    <row r="180" spans="5:17" ht="12.75"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7"/>
    </row>
    <row r="181" spans="5:17" ht="12.75"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7"/>
    </row>
    <row r="182" spans="5:17" ht="12.75"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7"/>
    </row>
    <row r="183" spans="5:17" ht="12.75"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7"/>
    </row>
    <row r="184" spans="5:17" ht="12.75"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7"/>
    </row>
    <row r="185" spans="5:17" ht="12.75"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7"/>
    </row>
    <row r="186" spans="5:17" ht="12.75"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7"/>
    </row>
    <row r="187" spans="5:17" ht="12.75"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7"/>
    </row>
    <row r="188" spans="5:17" ht="12.75"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7"/>
    </row>
    <row r="189" spans="5:17" ht="12.75"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7"/>
    </row>
    <row r="190" spans="5:17" ht="12.75"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7"/>
    </row>
    <row r="191" spans="5:17" ht="12.75"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7"/>
    </row>
    <row r="192" spans="5:17" ht="12.75"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7"/>
    </row>
    <row r="193" spans="5:17" ht="12.75"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7"/>
    </row>
    <row r="194" spans="5:17" ht="12.75"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7"/>
    </row>
    <row r="195" spans="5:17" ht="12.75"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7"/>
    </row>
    <row r="196" spans="5:17" ht="12.75"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7"/>
    </row>
    <row r="197" spans="5:17" ht="12.75"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7"/>
    </row>
    <row r="198" spans="5:17" ht="12.75"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7"/>
    </row>
    <row r="199" spans="5:17" ht="12.75"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7"/>
    </row>
    <row r="200" spans="5:17" ht="12.75"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7"/>
    </row>
    <row r="201" spans="5:17" ht="12.75"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7"/>
    </row>
    <row r="202" spans="5:17" ht="12.75"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7"/>
    </row>
    <row r="203" spans="5:17" ht="12.75"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7"/>
    </row>
    <row r="204" spans="5:17" ht="12.75"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7"/>
    </row>
    <row r="205" spans="5:17" ht="12.75"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7"/>
    </row>
    <row r="206" spans="5:17" ht="12.75"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7"/>
    </row>
    <row r="207" spans="5:17" ht="12.75"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7"/>
    </row>
    <row r="208" spans="5:17" ht="12.75"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7"/>
    </row>
    <row r="209" spans="5:17" ht="12.75"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7"/>
    </row>
    <row r="210" spans="5:17" ht="12.75"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7"/>
    </row>
    <row r="211" spans="5:17" ht="12.75"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7"/>
    </row>
    <row r="212" spans="5:17" ht="12.75"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7"/>
    </row>
    <row r="213" spans="5:17" ht="12.75"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7"/>
    </row>
    <row r="214" spans="5:17" ht="12.75"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7"/>
    </row>
    <row r="215" spans="5:17" ht="12.75"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7"/>
    </row>
    <row r="216" spans="5:17" ht="12.75"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7"/>
    </row>
    <row r="217" spans="5:17" ht="12.75"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7"/>
    </row>
    <row r="218" spans="5:17" ht="12.75"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7"/>
    </row>
    <row r="219" spans="5:17" ht="12.75"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7"/>
    </row>
    <row r="220" spans="5:17" ht="12.75"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7"/>
    </row>
    <row r="221" spans="5:17" ht="12.75"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7"/>
    </row>
    <row r="222" spans="5:17" ht="12.75"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7"/>
    </row>
    <row r="223" spans="5:17" ht="12.75"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7"/>
    </row>
    <row r="224" spans="5:17" ht="12.75"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7"/>
    </row>
    <row r="225" spans="5:17" ht="12.75"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7"/>
    </row>
    <row r="226" spans="5:17" ht="12.75"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7"/>
    </row>
    <row r="227" spans="5:17" ht="12.75"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7"/>
    </row>
    <row r="228" spans="5:17" ht="12.75"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7"/>
    </row>
    <row r="229" spans="5:17" ht="12.75"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7"/>
    </row>
    <row r="230" spans="5:17" ht="12.75"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7"/>
    </row>
    <row r="231" spans="5:17" ht="12.75"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7"/>
    </row>
    <row r="232" spans="5:17" ht="12.75"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7"/>
    </row>
    <row r="233" spans="5:17" ht="12.75"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7"/>
    </row>
    <row r="234" spans="5:17" ht="12.75"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7"/>
    </row>
    <row r="235" spans="5:17" ht="12.75"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7"/>
    </row>
    <row r="236" spans="6:17" ht="12.75"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7"/>
    </row>
    <row r="237" spans="6:17" ht="12.75"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7"/>
    </row>
    <row r="238" spans="6:17" ht="12.75"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7"/>
    </row>
    <row r="239" spans="6:17" ht="12.75"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7"/>
    </row>
    <row r="240" spans="6:17" ht="12.75"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7"/>
    </row>
    <row r="241" spans="6:17" ht="12.75"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7"/>
    </row>
    <row r="242" spans="6:17" ht="12.75"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7"/>
    </row>
    <row r="243" spans="6:17" ht="12.75"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7"/>
    </row>
    <row r="244" spans="6:17" ht="12.75"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7"/>
    </row>
    <row r="245" spans="6:17" ht="12.75"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7"/>
    </row>
    <row r="246" spans="6:17" ht="12.75"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7"/>
    </row>
    <row r="247" spans="6:17" ht="12.75"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7"/>
    </row>
    <row r="248" spans="6:17" ht="12.75"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7"/>
    </row>
    <row r="249" spans="6:17" ht="12.75"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7"/>
    </row>
    <row r="250" spans="6:17" ht="12.75"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7"/>
    </row>
    <row r="251" spans="6:17" ht="12.75"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7"/>
    </row>
    <row r="252" spans="6:17" ht="12.75"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7"/>
    </row>
    <row r="253" spans="6:17" ht="12.75"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7"/>
    </row>
    <row r="254" spans="6:17" ht="12.75"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7"/>
    </row>
    <row r="255" spans="6:17" ht="12.75"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7"/>
    </row>
    <row r="256" spans="6:17" ht="12.75"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7"/>
    </row>
    <row r="257" spans="6:17" ht="12.75"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7"/>
    </row>
    <row r="258" spans="6:17" ht="12.75"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7"/>
    </row>
    <row r="259" spans="6:17" ht="12.75"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7"/>
    </row>
    <row r="260" spans="6:17" ht="12.75"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7"/>
    </row>
    <row r="261" spans="6:17" ht="12.75"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7"/>
    </row>
    <row r="262" spans="6:17" ht="12.75"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7"/>
    </row>
    <row r="263" spans="6:17" ht="12.75"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7"/>
    </row>
    <row r="264" spans="6:17" ht="12.75"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7"/>
    </row>
    <row r="265" spans="6:17" ht="12.75"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7"/>
    </row>
    <row r="266" spans="6:17" ht="12.75"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7"/>
    </row>
    <row r="267" spans="6:17" ht="12.75"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7"/>
    </row>
    <row r="268" spans="6:17" ht="12.75"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7"/>
    </row>
    <row r="269" spans="6:17" ht="12.75"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7"/>
    </row>
    <row r="270" spans="6:17" ht="12.75"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7"/>
    </row>
    <row r="271" spans="6:17" ht="12.75"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7"/>
    </row>
    <row r="272" spans="6:17" ht="12.75"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7"/>
    </row>
    <row r="273" spans="6:17" ht="12.75"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7"/>
    </row>
    <row r="274" spans="6:17" ht="12.75"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7"/>
    </row>
    <row r="275" spans="6:17" ht="12.75"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7"/>
    </row>
    <row r="276" spans="6:17" ht="12.75"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7"/>
    </row>
    <row r="277" spans="6:17" ht="12.75"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7"/>
    </row>
    <row r="278" spans="6:17" ht="12.75"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7"/>
    </row>
    <row r="279" spans="6:17" ht="12.75"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7"/>
    </row>
    <row r="280" spans="6:17" ht="12.75"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7"/>
    </row>
    <row r="281" spans="6:17" ht="12.75"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7"/>
    </row>
    <row r="282" spans="6:17" ht="12.75"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7"/>
    </row>
    <row r="283" spans="6:17" ht="12.75"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7"/>
    </row>
    <row r="284" spans="6:17" ht="12.75"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7"/>
    </row>
    <row r="285" spans="6:17" ht="12.75"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7"/>
    </row>
    <row r="286" spans="6:17" ht="12.75"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7"/>
    </row>
    <row r="287" spans="6:17" ht="12.75"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7"/>
    </row>
    <row r="288" spans="6:17" ht="12.75"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7"/>
    </row>
    <row r="289" spans="6:17" ht="12.75"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7"/>
    </row>
    <row r="290" spans="6:17" ht="12.75"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7"/>
    </row>
    <row r="291" spans="6:17" ht="12.75"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7"/>
    </row>
    <row r="292" spans="6:17" ht="12.75"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7"/>
    </row>
    <row r="293" spans="6:17" ht="12.75"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7"/>
    </row>
    <row r="294" spans="6:17" ht="12.75"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7"/>
    </row>
    <row r="295" spans="6:17" ht="12.75"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7"/>
    </row>
    <row r="296" spans="6:17" ht="12.75"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7"/>
    </row>
    <row r="297" spans="6:17" ht="12.75"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7"/>
    </row>
    <row r="298" spans="6:17" ht="12.75"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7"/>
    </row>
    <row r="299" spans="6:17" ht="12.75"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7"/>
    </row>
    <row r="300" spans="6:17" ht="12.75"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7"/>
    </row>
    <row r="301" spans="6:17" ht="12.75"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7"/>
    </row>
    <row r="302" spans="6:17" ht="12.75"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7"/>
    </row>
    <row r="303" spans="6:17" ht="12.75"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7"/>
    </row>
    <row r="304" spans="6:17" ht="12.75"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7"/>
    </row>
    <row r="305" spans="6:17" ht="12.75"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7"/>
    </row>
    <row r="306" spans="6:17" ht="12.75"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7"/>
    </row>
    <row r="307" spans="6:17" ht="12.75"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7"/>
    </row>
    <row r="308" spans="6:17" ht="12.75"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7"/>
    </row>
    <row r="309" spans="6:17" ht="12.75"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7"/>
    </row>
    <row r="310" spans="6:17" ht="12.75"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7"/>
    </row>
    <row r="311" spans="6:17" ht="12.75"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7"/>
    </row>
    <row r="312" spans="6:17" ht="12.75"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7"/>
    </row>
    <row r="313" spans="6:17" ht="12.75"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7"/>
    </row>
    <row r="314" spans="6:17" ht="12.75"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7"/>
    </row>
    <row r="315" spans="6:17" ht="12.75"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7"/>
    </row>
    <row r="316" spans="6:17" ht="12.75"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7"/>
    </row>
    <row r="317" spans="6:17" ht="12.75"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7"/>
    </row>
    <row r="318" spans="6:17" ht="12.75"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7"/>
    </row>
    <row r="319" spans="6:17" ht="12.75"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7"/>
    </row>
    <row r="320" spans="6:17" ht="12.75"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7"/>
    </row>
    <row r="321" spans="6:17" ht="12.75"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7"/>
    </row>
    <row r="322" spans="6:17" ht="12.75"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7"/>
    </row>
    <row r="323" spans="6:17" ht="12.75"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7"/>
    </row>
    <row r="324" spans="6:17" ht="12.75"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7"/>
    </row>
    <row r="325" spans="6:17" ht="12.75"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7"/>
    </row>
    <row r="326" spans="6:17" ht="12.75"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  <c r="Q326" s="367"/>
    </row>
    <row r="327" spans="6:17" ht="12.75"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  <c r="Q327" s="367"/>
    </row>
    <row r="328" spans="6:17" ht="12.75">
      <c r="F328" s="361"/>
      <c r="G328" s="361"/>
      <c r="H328" s="361"/>
      <c r="I328" s="361"/>
      <c r="J328" s="361"/>
      <c r="K328" s="361"/>
      <c r="L328" s="361"/>
      <c r="M328" s="361"/>
      <c r="N328" s="361"/>
      <c r="O328" s="361"/>
      <c r="P328" s="361"/>
      <c r="Q328" s="367"/>
    </row>
    <row r="329" spans="6:17" ht="12.75">
      <c r="F329" s="361"/>
      <c r="G329" s="361"/>
      <c r="H329" s="361"/>
      <c r="I329" s="361"/>
      <c r="J329" s="361"/>
      <c r="K329" s="361"/>
      <c r="L329" s="361"/>
      <c r="M329" s="361"/>
      <c r="N329" s="361"/>
      <c r="O329" s="361"/>
      <c r="P329" s="361"/>
      <c r="Q329" s="367"/>
    </row>
    <row r="330" spans="6:17" ht="12.75"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7"/>
    </row>
    <row r="331" spans="6:17" ht="12.75">
      <c r="F331" s="361"/>
      <c r="G331" s="361"/>
      <c r="H331" s="361"/>
      <c r="I331" s="361"/>
      <c r="J331" s="361"/>
      <c r="K331" s="361"/>
      <c r="L331" s="361"/>
      <c r="M331" s="361"/>
      <c r="N331" s="361"/>
      <c r="O331" s="361"/>
      <c r="P331" s="361"/>
      <c r="Q331" s="367"/>
    </row>
    <row r="332" spans="6:17" ht="12.75">
      <c r="F332" s="361"/>
      <c r="G332" s="361"/>
      <c r="H332" s="361"/>
      <c r="I332" s="361"/>
      <c r="J332" s="361"/>
      <c r="K332" s="361"/>
      <c r="L332" s="361"/>
      <c r="M332" s="361"/>
      <c r="N332" s="361"/>
      <c r="O332" s="361"/>
      <c r="P332" s="361"/>
      <c r="Q332" s="367"/>
    </row>
    <row r="333" spans="6:17" ht="12.75">
      <c r="F333" s="361"/>
      <c r="G333" s="361"/>
      <c r="H333" s="361"/>
      <c r="I333" s="361"/>
      <c r="J333" s="361"/>
      <c r="K333" s="361"/>
      <c r="L333" s="361"/>
      <c r="M333" s="361"/>
      <c r="N333" s="361"/>
      <c r="O333" s="361"/>
      <c r="P333" s="361"/>
      <c r="Q333" s="367"/>
    </row>
    <row r="334" spans="6:17" ht="12.75"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7"/>
    </row>
    <row r="335" spans="6:17" ht="12.75"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7"/>
    </row>
    <row r="336" spans="6:17" ht="12.75">
      <c r="F336" s="361"/>
      <c r="G336" s="361"/>
      <c r="H336" s="361"/>
      <c r="I336" s="361"/>
      <c r="J336" s="361"/>
      <c r="K336" s="361"/>
      <c r="L336" s="361"/>
      <c r="M336" s="361"/>
      <c r="N336" s="361"/>
      <c r="O336" s="361"/>
      <c r="P336" s="361"/>
      <c r="Q336" s="367"/>
    </row>
    <row r="337" spans="6:17" ht="12.75">
      <c r="F337" s="361"/>
      <c r="G337" s="361"/>
      <c r="H337" s="361"/>
      <c r="I337" s="361"/>
      <c r="J337" s="361"/>
      <c r="K337" s="361"/>
      <c r="L337" s="361"/>
      <c r="M337" s="361"/>
      <c r="N337" s="361"/>
      <c r="O337" s="361"/>
      <c r="P337" s="361"/>
      <c r="Q337" s="367"/>
    </row>
    <row r="338" spans="6:17" ht="12.75"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7"/>
    </row>
    <row r="339" spans="6:17" ht="12.75"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7"/>
    </row>
    <row r="340" spans="6:17" ht="12.75">
      <c r="F340" s="361"/>
      <c r="G340" s="361"/>
      <c r="H340" s="361"/>
      <c r="I340" s="361"/>
      <c r="J340" s="361"/>
      <c r="K340" s="361"/>
      <c r="L340" s="361"/>
      <c r="M340" s="361"/>
      <c r="N340" s="361"/>
      <c r="O340" s="361"/>
      <c r="P340" s="361"/>
      <c r="Q340" s="367"/>
    </row>
    <row r="341" spans="6:17" ht="12.75">
      <c r="F341" s="361"/>
      <c r="G341" s="361"/>
      <c r="H341" s="361"/>
      <c r="I341" s="361"/>
      <c r="J341" s="361"/>
      <c r="K341" s="361"/>
      <c r="L341" s="361"/>
      <c r="M341" s="361"/>
      <c r="N341" s="361"/>
      <c r="O341" s="361"/>
      <c r="P341" s="361"/>
      <c r="Q341" s="367"/>
    </row>
    <row r="342" spans="6:17" ht="12.75"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7"/>
    </row>
    <row r="343" spans="6:17" ht="12.75"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7"/>
    </row>
    <row r="344" spans="6:17" ht="12.75">
      <c r="F344" s="361"/>
      <c r="G344" s="361"/>
      <c r="H344" s="361"/>
      <c r="I344" s="361"/>
      <c r="J344" s="361"/>
      <c r="K344" s="361"/>
      <c r="L344" s="361"/>
      <c r="M344" s="361"/>
      <c r="N344" s="361"/>
      <c r="O344" s="361"/>
      <c r="P344" s="361"/>
      <c r="Q344" s="367"/>
    </row>
    <row r="345" spans="6:17" ht="12.75">
      <c r="F345" s="361"/>
      <c r="G345" s="361"/>
      <c r="H345" s="361"/>
      <c r="I345" s="361"/>
      <c r="J345" s="361"/>
      <c r="K345" s="361"/>
      <c r="L345" s="361"/>
      <c r="M345" s="361"/>
      <c r="N345" s="361"/>
      <c r="O345" s="361"/>
      <c r="P345" s="361"/>
      <c r="Q345" s="367"/>
    </row>
    <row r="346" spans="6:17" ht="12.75">
      <c r="F346" s="361"/>
      <c r="G346" s="361"/>
      <c r="H346" s="361"/>
      <c r="I346" s="361"/>
      <c r="J346" s="361"/>
      <c r="K346" s="361"/>
      <c r="L346" s="361"/>
      <c r="M346" s="361"/>
      <c r="N346" s="361"/>
      <c r="O346" s="361"/>
      <c r="P346" s="361"/>
      <c r="Q346" s="367"/>
    </row>
    <row r="347" spans="6:17" ht="12.75"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7"/>
    </row>
    <row r="348" spans="6:17" ht="12.75"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7"/>
    </row>
    <row r="349" spans="6:17" ht="12.75"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  <c r="Q349" s="367"/>
    </row>
    <row r="350" spans="6:17" ht="12.75"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7"/>
    </row>
    <row r="351" spans="6:17" ht="12.75"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7"/>
    </row>
    <row r="352" spans="6:17" ht="12.75">
      <c r="F352" s="361"/>
      <c r="G352" s="361"/>
      <c r="H352" s="361"/>
      <c r="I352" s="361"/>
      <c r="J352" s="361"/>
      <c r="K352" s="361"/>
      <c r="L352" s="361"/>
      <c r="M352" s="361"/>
      <c r="N352" s="361"/>
      <c r="O352" s="361"/>
      <c r="P352" s="361"/>
      <c r="Q352" s="367"/>
    </row>
    <row r="353" spans="6:17" ht="12.75"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7"/>
    </row>
    <row r="354" spans="6:17" ht="12.75">
      <c r="F354" s="361"/>
      <c r="G354" s="361"/>
      <c r="H354" s="361"/>
      <c r="I354" s="361"/>
      <c r="J354" s="361"/>
      <c r="K354" s="361"/>
      <c r="L354" s="361"/>
      <c r="M354" s="361"/>
      <c r="N354" s="361"/>
      <c r="O354" s="361"/>
      <c r="P354" s="361"/>
      <c r="Q354" s="367"/>
    </row>
    <row r="355" spans="6:17" ht="12.75"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7"/>
    </row>
    <row r="356" spans="6:17" ht="12.75"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  <c r="Q356" s="367"/>
    </row>
    <row r="357" spans="6:17" ht="12.75"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  <c r="Q357" s="367"/>
    </row>
    <row r="358" spans="6:17" ht="12.75"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  <c r="Q358" s="367"/>
    </row>
    <row r="359" spans="6:17" ht="12.75"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  <c r="Q359" s="367"/>
    </row>
    <row r="360" spans="6:17" ht="12.75"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7"/>
    </row>
    <row r="361" spans="6:17" ht="12.75"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7"/>
    </row>
    <row r="362" spans="6:17" ht="12.75">
      <c r="F362" s="361"/>
      <c r="G362" s="361"/>
      <c r="H362" s="361"/>
      <c r="I362" s="361"/>
      <c r="J362" s="361"/>
      <c r="K362" s="361"/>
      <c r="L362" s="361"/>
      <c r="M362" s="361"/>
      <c r="N362" s="361"/>
      <c r="O362" s="361"/>
      <c r="P362" s="361"/>
      <c r="Q362" s="367"/>
    </row>
    <row r="363" spans="6:17" ht="12.75"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7"/>
    </row>
    <row r="364" spans="6:17" ht="12.75">
      <c r="F364" s="361"/>
      <c r="G364" s="361"/>
      <c r="H364" s="361"/>
      <c r="I364" s="361"/>
      <c r="J364" s="361"/>
      <c r="K364" s="361"/>
      <c r="L364" s="361"/>
      <c r="M364" s="361"/>
      <c r="N364" s="361"/>
      <c r="O364" s="361"/>
      <c r="P364" s="361"/>
      <c r="Q364" s="367"/>
    </row>
    <row r="365" spans="6:17" ht="12.75">
      <c r="F365" s="361"/>
      <c r="G365" s="361"/>
      <c r="H365" s="361"/>
      <c r="I365" s="361"/>
      <c r="J365" s="361"/>
      <c r="K365" s="361"/>
      <c r="L365" s="361"/>
      <c r="M365" s="361"/>
      <c r="N365" s="361"/>
      <c r="O365" s="361"/>
      <c r="P365" s="361"/>
      <c r="Q365" s="367"/>
    </row>
    <row r="366" spans="6:17" ht="12.75"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7"/>
    </row>
    <row r="367" spans="6:17" ht="12.75"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7"/>
    </row>
    <row r="368" spans="6:17" ht="12.75"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7"/>
    </row>
    <row r="369" spans="6:17" ht="12.75"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7"/>
    </row>
    <row r="370" spans="6:17" ht="12.75">
      <c r="F370" s="361"/>
      <c r="G370" s="361"/>
      <c r="H370" s="361"/>
      <c r="I370" s="361"/>
      <c r="J370" s="361"/>
      <c r="K370" s="361"/>
      <c r="L370" s="361"/>
      <c r="M370" s="361"/>
      <c r="N370" s="361"/>
      <c r="O370" s="361"/>
      <c r="P370" s="361"/>
      <c r="Q370" s="367"/>
    </row>
    <row r="371" spans="6:17" ht="12.75">
      <c r="F371" s="361"/>
      <c r="G371" s="361"/>
      <c r="H371" s="361"/>
      <c r="I371" s="361"/>
      <c r="J371" s="361"/>
      <c r="K371" s="361"/>
      <c r="L371" s="361"/>
      <c r="M371" s="361"/>
      <c r="N371" s="361"/>
      <c r="O371" s="361"/>
      <c r="P371" s="361"/>
      <c r="Q371" s="367"/>
    </row>
    <row r="372" spans="6:17" ht="12.75"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7"/>
    </row>
    <row r="373" spans="6:17" ht="12.75">
      <c r="F373" s="361"/>
      <c r="G373" s="361"/>
      <c r="H373" s="361"/>
      <c r="I373" s="361"/>
      <c r="J373" s="361"/>
      <c r="K373" s="361"/>
      <c r="L373" s="361"/>
      <c r="M373" s="361"/>
      <c r="N373" s="361"/>
      <c r="O373" s="361"/>
      <c r="P373" s="361"/>
      <c r="Q373" s="367"/>
    </row>
    <row r="374" spans="6:17" ht="12.75">
      <c r="F374" s="361"/>
      <c r="G374" s="361"/>
      <c r="H374" s="361"/>
      <c r="I374" s="361"/>
      <c r="J374" s="361"/>
      <c r="K374" s="361"/>
      <c r="L374" s="361"/>
      <c r="M374" s="361"/>
      <c r="N374" s="361"/>
      <c r="O374" s="361"/>
      <c r="P374" s="361"/>
      <c r="Q374" s="367"/>
    </row>
    <row r="375" spans="6:17" ht="12.75"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7"/>
    </row>
    <row r="376" spans="6:17" ht="12.75"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  <c r="Q376" s="367"/>
    </row>
    <row r="377" spans="6:17" ht="12.75">
      <c r="F377" s="361"/>
      <c r="G377" s="361"/>
      <c r="H377" s="361"/>
      <c r="I377" s="361"/>
      <c r="J377" s="361"/>
      <c r="K377" s="361"/>
      <c r="L377" s="361"/>
      <c r="M377" s="361"/>
      <c r="N377" s="361"/>
      <c r="O377" s="361"/>
      <c r="P377" s="361"/>
      <c r="Q377" s="367"/>
    </row>
    <row r="378" spans="6:17" ht="12.75">
      <c r="F378" s="361"/>
      <c r="G378" s="361"/>
      <c r="H378" s="361"/>
      <c r="I378" s="361"/>
      <c r="J378" s="361"/>
      <c r="K378" s="361"/>
      <c r="L378" s="361"/>
      <c r="M378" s="361"/>
      <c r="N378" s="361"/>
      <c r="O378" s="361"/>
      <c r="P378" s="361"/>
      <c r="Q378" s="367"/>
    </row>
    <row r="379" spans="6:17" ht="12.75">
      <c r="F379" s="361"/>
      <c r="G379" s="361"/>
      <c r="H379" s="361"/>
      <c r="I379" s="361"/>
      <c r="J379" s="361"/>
      <c r="K379" s="361"/>
      <c r="L379" s="361"/>
      <c r="M379" s="361"/>
      <c r="N379" s="361"/>
      <c r="O379" s="361"/>
      <c r="P379" s="361"/>
      <c r="Q379" s="367"/>
    </row>
    <row r="380" spans="6:17" ht="12.75">
      <c r="F380" s="361"/>
      <c r="G380" s="361"/>
      <c r="H380" s="361"/>
      <c r="I380" s="361"/>
      <c r="J380" s="361"/>
      <c r="K380" s="361"/>
      <c r="L380" s="361"/>
      <c r="M380" s="361"/>
      <c r="N380" s="361"/>
      <c r="O380" s="361"/>
      <c r="P380" s="361"/>
      <c r="Q380" s="367"/>
    </row>
    <row r="381" spans="6:17" ht="12.75"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1"/>
      <c r="Q381" s="367"/>
    </row>
    <row r="382" spans="6:17" ht="12.75">
      <c r="F382" s="361"/>
      <c r="G382" s="361"/>
      <c r="H382" s="361"/>
      <c r="I382" s="361"/>
      <c r="J382" s="361"/>
      <c r="K382" s="361"/>
      <c r="L382" s="361"/>
      <c r="M382" s="361"/>
      <c r="N382" s="361"/>
      <c r="O382" s="361"/>
      <c r="P382" s="361"/>
      <c r="Q382" s="367"/>
    </row>
    <row r="383" spans="6:17" ht="12.75">
      <c r="F383" s="361"/>
      <c r="G383" s="361"/>
      <c r="H383" s="361"/>
      <c r="I383" s="361"/>
      <c r="J383" s="361"/>
      <c r="K383" s="361"/>
      <c r="L383" s="361"/>
      <c r="M383" s="361"/>
      <c r="N383" s="361"/>
      <c r="O383" s="361"/>
      <c r="P383" s="361"/>
      <c r="Q383" s="367"/>
    </row>
    <row r="384" spans="6:17" ht="12.75">
      <c r="F384" s="361"/>
      <c r="G384" s="361"/>
      <c r="H384" s="361"/>
      <c r="I384" s="361"/>
      <c r="J384" s="361"/>
      <c r="K384" s="361"/>
      <c r="L384" s="361"/>
      <c r="M384" s="361"/>
      <c r="N384" s="361"/>
      <c r="O384" s="361"/>
      <c r="P384" s="361"/>
      <c r="Q384" s="367"/>
    </row>
    <row r="385" spans="6:17" ht="12.75">
      <c r="F385" s="361"/>
      <c r="G385" s="361"/>
      <c r="H385" s="361"/>
      <c r="I385" s="361"/>
      <c r="J385" s="361"/>
      <c r="K385" s="361"/>
      <c r="L385" s="361"/>
      <c r="M385" s="361"/>
      <c r="N385" s="361"/>
      <c r="O385" s="361"/>
      <c r="P385" s="361"/>
      <c r="Q385" s="367"/>
    </row>
    <row r="386" spans="6:17" ht="12.75"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7"/>
    </row>
    <row r="387" spans="6:17" ht="12.75">
      <c r="F387" s="361"/>
      <c r="G387" s="361"/>
      <c r="H387" s="361"/>
      <c r="I387" s="361"/>
      <c r="J387" s="361"/>
      <c r="K387" s="361"/>
      <c r="L387" s="361"/>
      <c r="M387" s="361"/>
      <c r="N387" s="361"/>
      <c r="O387" s="361"/>
      <c r="P387" s="361"/>
      <c r="Q387" s="367"/>
    </row>
    <row r="388" spans="6:17" ht="12.75">
      <c r="F388" s="361"/>
      <c r="G388" s="361"/>
      <c r="H388" s="361"/>
      <c r="I388" s="361"/>
      <c r="J388" s="361"/>
      <c r="K388" s="361"/>
      <c r="L388" s="361"/>
      <c r="M388" s="361"/>
      <c r="N388" s="361"/>
      <c r="O388" s="361"/>
      <c r="P388" s="361"/>
      <c r="Q388" s="367"/>
    </row>
    <row r="389" spans="6:17" ht="12.75">
      <c r="F389" s="361"/>
      <c r="G389" s="361"/>
      <c r="H389" s="361"/>
      <c r="I389" s="361"/>
      <c r="J389" s="361"/>
      <c r="K389" s="361"/>
      <c r="L389" s="361"/>
      <c r="M389" s="361"/>
      <c r="N389" s="361"/>
      <c r="O389" s="361"/>
      <c r="P389" s="361"/>
      <c r="Q389" s="367"/>
    </row>
    <row r="390" spans="6:17" ht="12.75">
      <c r="F390" s="361"/>
      <c r="G390" s="361"/>
      <c r="H390" s="361"/>
      <c r="I390" s="361"/>
      <c r="J390" s="361"/>
      <c r="K390" s="361"/>
      <c r="L390" s="361"/>
      <c r="M390" s="361"/>
      <c r="N390" s="361"/>
      <c r="O390" s="361"/>
      <c r="P390" s="361"/>
      <c r="Q390" s="367"/>
    </row>
    <row r="391" spans="6:17" ht="12.75">
      <c r="F391" s="361"/>
      <c r="G391" s="361"/>
      <c r="H391" s="361"/>
      <c r="I391" s="361"/>
      <c r="J391" s="361"/>
      <c r="K391" s="361"/>
      <c r="L391" s="361"/>
      <c r="M391" s="361"/>
      <c r="N391" s="361"/>
      <c r="O391" s="361"/>
      <c r="P391" s="361"/>
      <c r="Q391" s="367"/>
    </row>
    <row r="392" spans="6:17" ht="12.75">
      <c r="F392" s="361"/>
      <c r="G392" s="361"/>
      <c r="H392" s="361"/>
      <c r="I392" s="361"/>
      <c r="J392" s="361"/>
      <c r="K392" s="361"/>
      <c r="L392" s="361"/>
      <c r="M392" s="361"/>
      <c r="N392" s="361"/>
      <c r="O392" s="361"/>
      <c r="P392" s="361"/>
      <c r="Q392" s="367"/>
    </row>
    <row r="393" spans="6:17" ht="12.75">
      <c r="F393" s="361"/>
      <c r="G393" s="361"/>
      <c r="H393" s="361"/>
      <c r="I393" s="361"/>
      <c r="J393" s="361"/>
      <c r="K393" s="361"/>
      <c r="L393" s="361"/>
      <c r="M393" s="361"/>
      <c r="N393" s="361"/>
      <c r="O393" s="361"/>
      <c r="P393" s="361"/>
      <c r="Q393" s="367"/>
    </row>
    <row r="394" spans="6:17" ht="12.75">
      <c r="F394" s="361"/>
      <c r="G394" s="361"/>
      <c r="H394" s="361"/>
      <c r="I394" s="361"/>
      <c r="J394" s="361"/>
      <c r="K394" s="361"/>
      <c r="L394" s="361"/>
      <c r="M394" s="361"/>
      <c r="N394" s="361"/>
      <c r="O394" s="361"/>
      <c r="P394" s="361"/>
      <c r="Q394" s="367"/>
    </row>
    <row r="395" spans="6:17" ht="12.75">
      <c r="F395" s="361"/>
      <c r="G395" s="361"/>
      <c r="H395" s="361"/>
      <c r="I395" s="361"/>
      <c r="J395" s="361"/>
      <c r="K395" s="361"/>
      <c r="L395" s="361"/>
      <c r="M395" s="361"/>
      <c r="N395" s="361"/>
      <c r="O395" s="361"/>
      <c r="P395" s="361"/>
      <c r="Q395" s="367"/>
    </row>
    <row r="396" spans="6:17" ht="12.75">
      <c r="F396" s="361"/>
      <c r="G396" s="361"/>
      <c r="H396" s="361"/>
      <c r="I396" s="361"/>
      <c r="J396" s="361"/>
      <c r="K396" s="361"/>
      <c r="L396" s="361"/>
      <c r="M396" s="361"/>
      <c r="N396" s="361"/>
      <c r="O396" s="361"/>
      <c r="P396" s="361"/>
      <c r="Q396" s="367"/>
    </row>
    <row r="397" spans="6:17" ht="12.75">
      <c r="F397" s="361"/>
      <c r="G397" s="361"/>
      <c r="H397" s="361"/>
      <c r="I397" s="361"/>
      <c r="J397" s="361"/>
      <c r="K397" s="361"/>
      <c r="L397" s="361"/>
      <c r="M397" s="361"/>
      <c r="N397" s="361"/>
      <c r="O397" s="361"/>
      <c r="P397" s="361"/>
      <c r="Q397" s="367"/>
    </row>
    <row r="398" spans="6:17" ht="12.75">
      <c r="F398" s="361"/>
      <c r="G398" s="361"/>
      <c r="H398" s="361"/>
      <c r="I398" s="361"/>
      <c r="J398" s="361"/>
      <c r="K398" s="361"/>
      <c r="L398" s="361"/>
      <c r="M398" s="361"/>
      <c r="N398" s="361"/>
      <c r="O398" s="361"/>
      <c r="P398" s="361"/>
      <c r="Q398" s="367"/>
    </row>
    <row r="399" spans="6:17" ht="12.75">
      <c r="F399" s="361"/>
      <c r="G399" s="361"/>
      <c r="H399" s="361"/>
      <c r="I399" s="361"/>
      <c r="J399" s="361"/>
      <c r="K399" s="361"/>
      <c r="L399" s="361"/>
      <c r="M399" s="361"/>
      <c r="N399" s="361"/>
      <c r="O399" s="361"/>
      <c r="P399" s="361"/>
      <c r="Q399" s="367"/>
    </row>
    <row r="400" spans="6:17" ht="12.75">
      <c r="F400" s="361"/>
      <c r="G400" s="361"/>
      <c r="H400" s="361"/>
      <c r="I400" s="361"/>
      <c r="J400" s="361"/>
      <c r="K400" s="361"/>
      <c r="L400" s="361"/>
      <c r="M400" s="361"/>
      <c r="N400" s="361"/>
      <c r="O400" s="361"/>
      <c r="P400" s="361"/>
      <c r="Q400" s="367"/>
    </row>
    <row r="401" spans="6:17" ht="12.75">
      <c r="F401" s="361"/>
      <c r="G401" s="361"/>
      <c r="H401" s="361"/>
      <c r="I401" s="361"/>
      <c r="J401" s="361"/>
      <c r="K401" s="361"/>
      <c r="L401" s="361"/>
      <c r="M401" s="361"/>
      <c r="N401" s="361"/>
      <c r="O401" s="361"/>
      <c r="P401" s="361"/>
      <c r="Q401" s="367"/>
    </row>
    <row r="402" spans="6:17" ht="12.75">
      <c r="F402" s="361"/>
      <c r="G402" s="361"/>
      <c r="H402" s="361"/>
      <c r="I402" s="361"/>
      <c r="J402" s="361"/>
      <c r="K402" s="361"/>
      <c r="L402" s="361"/>
      <c r="M402" s="361"/>
      <c r="N402" s="361"/>
      <c r="O402" s="361"/>
      <c r="P402" s="361"/>
      <c r="Q402" s="367"/>
    </row>
    <row r="403" spans="6:17" ht="12.75"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7"/>
    </row>
    <row r="404" spans="6:17" ht="12.75">
      <c r="F404" s="361"/>
      <c r="G404" s="361"/>
      <c r="H404" s="361"/>
      <c r="I404" s="361"/>
      <c r="J404" s="361"/>
      <c r="K404" s="361"/>
      <c r="L404" s="361"/>
      <c r="M404" s="361"/>
      <c r="N404" s="361"/>
      <c r="O404" s="361"/>
      <c r="P404" s="361"/>
      <c r="Q404" s="367"/>
    </row>
    <row r="405" spans="6:17" ht="12.75"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1"/>
      <c r="Q405" s="367"/>
    </row>
    <row r="406" spans="6:17" ht="12.75">
      <c r="F406" s="361"/>
      <c r="G406" s="361"/>
      <c r="H406" s="361"/>
      <c r="I406" s="361"/>
      <c r="J406" s="361"/>
      <c r="K406" s="361"/>
      <c r="L406" s="361"/>
      <c r="M406" s="361"/>
      <c r="N406" s="361"/>
      <c r="O406" s="361"/>
      <c r="P406" s="361"/>
      <c r="Q406" s="367"/>
    </row>
    <row r="407" spans="6:17" ht="12.75">
      <c r="F407" s="361"/>
      <c r="G407" s="361"/>
      <c r="H407" s="361"/>
      <c r="I407" s="361"/>
      <c r="J407" s="361"/>
      <c r="K407" s="361"/>
      <c r="L407" s="361"/>
      <c r="M407" s="361"/>
      <c r="N407" s="361"/>
      <c r="O407" s="361"/>
      <c r="P407" s="361"/>
      <c r="Q407" s="367"/>
    </row>
    <row r="408" spans="6:17" ht="12.75">
      <c r="F408" s="361"/>
      <c r="G408" s="361"/>
      <c r="H408" s="361"/>
      <c r="I408" s="361"/>
      <c r="J408" s="361"/>
      <c r="K408" s="361"/>
      <c r="L408" s="361"/>
      <c r="M408" s="361"/>
      <c r="N408" s="361"/>
      <c r="O408" s="361"/>
      <c r="P408" s="361"/>
      <c r="Q408" s="367"/>
    </row>
    <row r="409" spans="6:17" ht="12.75">
      <c r="F409" s="361"/>
      <c r="G409" s="361"/>
      <c r="H409" s="361"/>
      <c r="I409" s="361"/>
      <c r="J409" s="361"/>
      <c r="K409" s="361"/>
      <c r="L409" s="361"/>
      <c r="M409" s="361"/>
      <c r="N409" s="361"/>
      <c r="O409" s="361"/>
      <c r="P409" s="361"/>
      <c r="Q409" s="367"/>
    </row>
    <row r="410" spans="6:17" ht="12.75">
      <c r="F410" s="361"/>
      <c r="G410" s="361"/>
      <c r="H410" s="361"/>
      <c r="I410" s="361"/>
      <c r="J410" s="361"/>
      <c r="K410" s="361"/>
      <c r="L410" s="361"/>
      <c r="M410" s="361"/>
      <c r="N410" s="361"/>
      <c r="O410" s="361"/>
      <c r="P410" s="361"/>
      <c r="Q410" s="367"/>
    </row>
    <row r="411" spans="6:17" ht="12.75">
      <c r="F411" s="361"/>
      <c r="G411" s="361"/>
      <c r="H411" s="361"/>
      <c r="I411" s="361"/>
      <c r="J411" s="361"/>
      <c r="K411" s="361"/>
      <c r="L411" s="361"/>
      <c r="M411" s="361"/>
      <c r="N411" s="361"/>
      <c r="O411" s="361"/>
      <c r="P411" s="361"/>
      <c r="Q411" s="367"/>
    </row>
    <row r="412" spans="6:17" ht="12.75">
      <c r="F412" s="361"/>
      <c r="G412" s="361"/>
      <c r="H412" s="361"/>
      <c r="I412" s="361"/>
      <c r="J412" s="361"/>
      <c r="K412" s="361"/>
      <c r="L412" s="361"/>
      <c r="M412" s="361"/>
      <c r="N412" s="361"/>
      <c r="O412" s="361"/>
      <c r="P412" s="361"/>
      <c r="Q412" s="367"/>
    </row>
    <row r="413" spans="6:17" ht="12.75"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1"/>
      <c r="Q413" s="367"/>
    </row>
    <row r="414" spans="6:17" ht="12.75">
      <c r="F414" s="361"/>
      <c r="G414" s="361"/>
      <c r="H414" s="361"/>
      <c r="I414" s="361"/>
      <c r="J414" s="361"/>
      <c r="K414" s="361"/>
      <c r="L414" s="361"/>
      <c r="M414" s="361"/>
      <c r="N414" s="361"/>
      <c r="O414" s="361"/>
      <c r="P414" s="361"/>
      <c r="Q414" s="367"/>
    </row>
    <row r="415" spans="6:17" ht="12.75">
      <c r="F415" s="361"/>
      <c r="G415" s="361"/>
      <c r="H415" s="361"/>
      <c r="I415" s="361"/>
      <c r="J415" s="361"/>
      <c r="K415" s="361"/>
      <c r="L415" s="361"/>
      <c r="M415" s="361"/>
      <c r="N415" s="361"/>
      <c r="O415" s="361"/>
      <c r="P415" s="361"/>
      <c r="Q415" s="367"/>
    </row>
    <row r="416" spans="6:17" ht="12.75">
      <c r="F416" s="361"/>
      <c r="G416" s="361"/>
      <c r="H416" s="361"/>
      <c r="I416" s="361"/>
      <c r="J416" s="361"/>
      <c r="K416" s="361"/>
      <c r="L416" s="361"/>
      <c r="M416" s="361"/>
      <c r="N416" s="361"/>
      <c r="O416" s="361"/>
      <c r="P416" s="361"/>
      <c r="Q416" s="367"/>
    </row>
    <row r="417" spans="6:17" ht="12.75"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7"/>
    </row>
    <row r="418" spans="6:17" ht="12.75">
      <c r="F418" s="361"/>
      <c r="G418" s="361"/>
      <c r="H418" s="361"/>
      <c r="I418" s="361"/>
      <c r="J418" s="361"/>
      <c r="K418" s="361"/>
      <c r="L418" s="361"/>
      <c r="M418" s="361"/>
      <c r="N418" s="361"/>
      <c r="O418" s="361"/>
      <c r="P418" s="361"/>
      <c r="Q418" s="367"/>
    </row>
    <row r="419" spans="6:17" ht="12.75"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1"/>
      <c r="Q419" s="367"/>
    </row>
    <row r="420" spans="6:17" ht="12.75">
      <c r="F420" s="361"/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7"/>
    </row>
    <row r="421" spans="6:17" ht="12.75">
      <c r="F421" s="361"/>
      <c r="G421" s="361"/>
      <c r="H421" s="361"/>
      <c r="I421" s="361"/>
      <c r="J421" s="361"/>
      <c r="K421" s="361"/>
      <c r="L421" s="361"/>
      <c r="M421" s="361"/>
      <c r="N421" s="361"/>
      <c r="O421" s="361"/>
      <c r="P421" s="361"/>
      <c r="Q421" s="367"/>
    </row>
    <row r="422" spans="6:17" ht="12.75">
      <c r="F422" s="361"/>
      <c r="G422" s="361"/>
      <c r="H422" s="361"/>
      <c r="I422" s="361"/>
      <c r="J422" s="361"/>
      <c r="K422" s="361"/>
      <c r="L422" s="361"/>
      <c r="M422" s="361"/>
      <c r="N422" s="361"/>
      <c r="O422" s="361"/>
      <c r="P422" s="361"/>
      <c r="Q422" s="367"/>
    </row>
    <row r="423" spans="6:17" ht="12.75">
      <c r="F423" s="361"/>
      <c r="G423" s="361"/>
      <c r="H423" s="361"/>
      <c r="I423" s="361"/>
      <c r="J423" s="361"/>
      <c r="K423" s="361"/>
      <c r="L423" s="361"/>
      <c r="M423" s="361"/>
      <c r="N423" s="361"/>
      <c r="O423" s="361"/>
      <c r="P423" s="361"/>
      <c r="Q423" s="367"/>
    </row>
    <row r="424" spans="6:17" ht="12.75">
      <c r="F424" s="361"/>
      <c r="G424" s="361"/>
      <c r="H424" s="361"/>
      <c r="I424" s="361"/>
      <c r="J424" s="361"/>
      <c r="K424" s="361"/>
      <c r="L424" s="361"/>
      <c r="M424" s="361"/>
      <c r="N424" s="361"/>
      <c r="O424" s="361"/>
      <c r="P424" s="361"/>
      <c r="Q424" s="367"/>
    </row>
    <row r="425" spans="6:17" ht="12.75"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7"/>
    </row>
    <row r="426" spans="6:17" ht="12.75">
      <c r="F426" s="361"/>
      <c r="G426" s="361"/>
      <c r="H426" s="361"/>
      <c r="I426" s="361"/>
      <c r="J426" s="361"/>
      <c r="K426" s="361"/>
      <c r="L426" s="361"/>
      <c r="M426" s="361"/>
      <c r="N426" s="361"/>
      <c r="O426" s="361"/>
      <c r="P426" s="361"/>
      <c r="Q426" s="367"/>
    </row>
    <row r="427" spans="6:17" ht="12.75"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7"/>
    </row>
    <row r="428" spans="6:17" ht="12.75">
      <c r="F428" s="361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7"/>
    </row>
    <row r="429" spans="6:17" ht="12.75"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7"/>
    </row>
    <row r="430" spans="6:17" ht="12.75">
      <c r="F430" s="361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7"/>
    </row>
    <row r="431" spans="6:17" ht="12.75">
      <c r="F431" s="361"/>
      <c r="G431" s="361"/>
      <c r="H431" s="361"/>
      <c r="I431" s="361"/>
      <c r="J431" s="361"/>
      <c r="K431" s="361"/>
      <c r="L431" s="361"/>
      <c r="M431" s="361"/>
      <c r="N431" s="361"/>
      <c r="O431" s="361"/>
      <c r="P431" s="361"/>
      <c r="Q431" s="367"/>
    </row>
    <row r="432" spans="6:17" ht="12.75"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1"/>
      <c r="Q432" s="367"/>
    </row>
    <row r="433" spans="6:17" ht="12.75"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7"/>
    </row>
    <row r="434" spans="6:17" ht="12.75">
      <c r="F434" s="361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7"/>
    </row>
    <row r="435" spans="6:17" ht="12.75">
      <c r="F435" s="361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7"/>
    </row>
    <row r="436" spans="6:17" ht="12.75"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P436" s="361"/>
      <c r="Q436" s="367"/>
    </row>
    <row r="437" spans="6:17" ht="12.75">
      <c r="F437" s="361"/>
      <c r="G437" s="361"/>
      <c r="H437" s="361"/>
      <c r="I437" s="361"/>
      <c r="J437" s="361"/>
      <c r="K437" s="361"/>
      <c r="L437" s="361"/>
      <c r="M437" s="361"/>
      <c r="N437" s="361"/>
      <c r="O437" s="361"/>
      <c r="P437" s="361"/>
      <c r="Q437" s="367"/>
    </row>
    <row r="438" spans="6:17" ht="12.75">
      <c r="F438" s="361"/>
      <c r="G438" s="361"/>
      <c r="H438" s="361"/>
      <c r="I438" s="361"/>
      <c r="J438" s="361"/>
      <c r="K438" s="361"/>
      <c r="L438" s="361"/>
      <c r="M438" s="361"/>
      <c r="N438" s="361"/>
      <c r="O438" s="361"/>
      <c r="P438" s="361"/>
      <c r="Q438" s="367"/>
    </row>
    <row r="439" spans="6:17" ht="12.75">
      <c r="F439" s="361"/>
      <c r="G439" s="361"/>
      <c r="H439" s="361"/>
      <c r="I439" s="361"/>
      <c r="J439" s="361"/>
      <c r="K439" s="361"/>
      <c r="L439" s="361"/>
      <c r="M439" s="361"/>
      <c r="N439" s="361"/>
      <c r="O439" s="361"/>
      <c r="P439" s="361"/>
      <c r="Q439" s="367"/>
    </row>
    <row r="440" spans="6:17" ht="12.75"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7"/>
    </row>
    <row r="441" spans="6:17" ht="12.75">
      <c r="F441" s="361"/>
      <c r="G441" s="361"/>
      <c r="H441" s="361"/>
      <c r="I441" s="361"/>
      <c r="J441" s="361"/>
      <c r="K441" s="361"/>
      <c r="L441" s="361"/>
      <c r="M441" s="361"/>
      <c r="N441" s="361"/>
      <c r="O441" s="361"/>
      <c r="P441" s="361"/>
      <c r="Q441" s="367"/>
    </row>
    <row r="442" spans="6:17" ht="12.75">
      <c r="F442" s="361"/>
      <c r="G442" s="361"/>
      <c r="H442" s="361"/>
      <c r="I442" s="361"/>
      <c r="J442" s="361"/>
      <c r="K442" s="361"/>
      <c r="L442" s="361"/>
      <c r="M442" s="361"/>
      <c r="N442" s="361"/>
      <c r="O442" s="361"/>
      <c r="P442" s="361"/>
      <c r="Q442" s="367"/>
    </row>
    <row r="443" spans="6:17" ht="12.75"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7"/>
    </row>
    <row r="444" spans="6:17" ht="12.75"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7"/>
    </row>
    <row r="445" spans="6:17" ht="12.75">
      <c r="F445" s="361"/>
      <c r="G445" s="361"/>
      <c r="H445" s="361"/>
      <c r="I445" s="361"/>
      <c r="J445" s="361"/>
      <c r="K445" s="361"/>
      <c r="L445" s="361"/>
      <c r="M445" s="361"/>
      <c r="N445" s="361"/>
      <c r="O445" s="361"/>
      <c r="P445" s="361"/>
      <c r="Q445" s="367"/>
    </row>
    <row r="446" spans="6:17" ht="12.75"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  <c r="P446" s="361"/>
      <c r="Q446" s="367"/>
    </row>
    <row r="447" spans="6:17" ht="12.75">
      <c r="F447" s="361"/>
      <c r="G447" s="361"/>
      <c r="H447" s="361"/>
      <c r="I447" s="361"/>
      <c r="J447" s="361"/>
      <c r="K447" s="361"/>
      <c r="L447" s="361"/>
      <c r="M447" s="361"/>
      <c r="N447" s="361"/>
      <c r="O447" s="361"/>
      <c r="P447" s="361"/>
      <c r="Q447" s="367"/>
    </row>
    <row r="448" spans="6:17" ht="12.75">
      <c r="F448" s="361"/>
      <c r="G448" s="361"/>
      <c r="H448" s="361"/>
      <c r="I448" s="361"/>
      <c r="J448" s="361"/>
      <c r="K448" s="361"/>
      <c r="L448" s="361"/>
      <c r="M448" s="361"/>
      <c r="N448" s="361"/>
      <c r="O448" s="361"/>
      <c r="P448" s="361"/>
      <c r="Q448" s="367"/>
    </row>
    <row r="449" spans="6:17" ht="12.75">
      <c r="F449" s="361"/>
      <c r="G449" s="361"/>
      <c r="H449" s="361"/>
      <c r="I449" s="361"/>
      <c r="J449" s="361"/>
      <c r="K449" s="361"/>
      <c r="L449" s="361"/>
      <c r="M449" s="361"/>
      <c r="N449" s="361"/>
      <c r="O449" s="361"/>
      <c r="P449" s="361"/>
      <c r="Q449" s="367"/>
    </row>
    <row r="450" spans="6:17" ht="12.75">
      <c r="F450" s="361"/>
      <c r="G450" s="361"/>
      <c r="H450" s="361"/>
      <c r="I450" s="361"/>
      <c r="J450" s="361"/>
      <c r="K450" s="361"/>
      <c r="L450" s="361"/>
      <c r="M450" s="361"/>
      <c r="N450" s="361"/>
      <c r="O450" s="361"/>
      <c r="P450" s="361"/>
      <c r="Q450" s="367"/>
    </row>
    <row r="451" spans="6:17" ht="12.75"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7"/>
    </row>
    <row r="452" spans="6:17" ht="12.75"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7"/>
    </row>
    <row r="453" spans="6:17" ht="12.75"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7"/>
    </row>
    <row r="454" spans="6:17" ht="12.75">
      <c r="F454" s="361"/>
      <c r="G454" s="361"/>
      <c r="H454" s="361"/>
      <c r="I454" s="361"/>
      <c r="J454" s="361"/>
      <c r="K454" s="361"/>
      <c r="L454" s="361"/>
      <c r="M454" s="361"/>
      <c r="N454" s="361"/>
      <c r="O454" s="361"/>
      <c r="P454" s="361"/>
      <c r="Q454" s="367"/>
    </row>
    <row r="455" spans="6:17" ht="12.75">
      <c r="F455" s="361"/>
      <c r="G455" s="361"/>
      <c r="H455" s="361"/>
      <c r="I455" s="361"/>
      <c r="J455" s="361"/>
      <c r="K455" s="361"/>
      <c r="L455" s="361"/>
      <c r="M455" s="361"/>
      <c r="N455" s="361"/>
      <c r="O455" s="361"/>
      <c r="P455" s="361"/>
      <c r="Q455" s="367"/>
    </row>
    <row r="456" spans="6:17" ht="12.75"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361"/>
      <c r="Q456" s="367"/>
    </row>
    <row r="457" spans="6:17" ht="12.75">
      <c r="F457" s="361"/>
      <c r="G457" s="361"/>
      <c r="H457" s="361"/>
      <c r="I457" s="361"/>
      <c r="J457" s="361"/>
      <c r="K457" s="361"/>
      <c r="L457" s="361"/>
      <c r="M457" s="361"/>
      <c r="N457" s="361"/>
      <c r="O457" s="361"/>
      <c r="P457" s="361"/>
      <c r="Q457" s="367"/>
    </row>
    <row r="458" spans="6:17" ht="12.75"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7"/>
    </row>
    <row r="459" spans="6:17" ht="12.75">
      <c r="F459" s="361"/>
      <c r="G459" s="361"/>
      <c r="H459" s="361"/>
      <c r="I459" s="361"/>
      <c r="J459" s="361"/>
      <c r="K459" s="361"/>
      <c r="L459" s="361"/>
      <c r="M459" s="361"/>
      <c r="N459" s="361"/>
      <c r="O459" s="361"/>
      <c r="P459" s="361"/>
      <c r="Q459" s="367"/>
    </row>
    <row r="460" spans="6:17" ht="12.75">
      <c r="F460" s="361"/>
      <c r="G460" s="361"/>
      <c r="H460" s="361"/>
      <c r="I460" s="361"/>
      <c r="J460" s="361"/>
      <c r="K460" s="361"/>
      <c r="L460" s="361"/>
      <c r="M460" s="361"/>
      <c r="N460" s="361"/>
      <c r="O460" s="361"/>
      <c r="P460" s="361"/>
      <c r="Q460" s="367"/>
    </row>
    <row r="461" spans="6:17" ht="12.75">
      <c r="F461" s="361"/>
      <c r="G461" s="361"/>
      <c r="H461" s="361"/>
      <c r="I461" s="361"/>
      <c r="J461" s="361"/>
      <c r="K461" s="361"/>
      <c r="L461" s="361"/>
      <c r="M461" s="361"/>
      <c r="N461" s="361"/>
      <c r="O461" s="361"/>
      <c r="P461" s="361"/>
      <c r="Q461" s="367"/>
    </row>
    <row r="462" spans="6:17" ht="12.75">
      <c r="F462" s="361"/>
      <c r="G462" s="361"/>
      <c r="H462" s="361"/>
      <c r="I462" s="361"/>
      <c r="J462" s="361"/>
      <c r="K462" s="361"/>
      <c r="L462" s="361"/>
      <c r="M462" s="361"/>
      <c r="N462" s="361"/>
      <c r="O462" s="361"/>
      <c r="P462" s="361"/>
      <c r="Q462" s="367"/>
    </row>
    <row r="463" spans="6:17" ht="12.75">
      <c r="F463" s="361"/>
      <c r="G463" s="361"/>
      <c r="H463" s="361"/>
      <c r="I463" s="361"/>
      <c r="J463" s="361"/>
      <c r="K463" s="361"/>
      <c r="L463" s="361"/>
      <c r="M463" s="361"/>
      <c r="N463" s="361"/>
      <c r="O463" s="361"/>
      <c r="P463" s="361"/>
      <c r="Q463" s="367"/>
    </row>
    <row r="464" spans="6:17" ht="12.75">
      <c r="F464" s="361"/>
      <c r="G464" s="361"/>
      <c r="H464" s="361"/>
      <c r="I464" s="361"/>
      <c r="J464" s="361"/>
      <c r="K464" s="361"/>
      <c r="L464" s="361"/>
      <c r="M464" s="361"/>
      <c r="N464" s="361"/>
      <c r="O464" s="361"/>
      <c r="P464" s="361"/>
      <c r="Q464" s="367"/>
    </row>
    <row r="465" spans="6:17" ht="12.75"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1"/>
      <c r="Q465" s="367"/>
    </row>
    <row r="466" spans="6:17" ht="12.75"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7"/>
    </row>
    <row r="467" spans="6:17" ht="12.75">
      <c r="F467" s="361"/>
      <c r="G467" s="361"/>
      <c r="H467" s="361"/>
      <c r="I467" s="361"/>
      <c r="J467" s="361"/>
      <c r="K467" s="361"/>
      <c r="L467" s="361"/>
      <c r="M467" s="361"/>
      <c r="N467" s="361"/>
      <c r="O467" s="361"/>
      <c r="P467" s="361"/>
      <c r="Q467" s="367"/>
    </row>
    <row r="468" spans="6:17" ht="12.75">
      <c r="F468" s="361"/>
      <c r="G468" s="361"/>
      <c r="H468" s="361"/>
      <c r="I468" s="361"/>
      <c r="J468" s="361"/>
      <c r="K468" s="361"/>
      <c r="L468" s="361"/>
      <c r="M468" s="361"/>
      <c r="N468" s="361"/>
      <c r="O468" s="361"/>
      <c r="P468" s="361"/>
      <c r="Q468" s="367"/>
    </row>
    <row r="469" spans="6:17" ht="12.75">
      <c r="F469" s="361"/>
      <c r="G469" s="361"/>
      <c r="H469" s="361"/>
      <c r="I469" s="361"/>
      <c r="J469" s="361"/>
      <c r="K469" s="361"/>
      <c r="L469" s="361"/>
      <c r="M469" s="361"/>
      <c r="N469" s="361"/>
      <c r="O469" s="361"/>
      <c r="P469" s="361"/>
      <c r="Q469" s="367"/>
    </row>
    <row r="470" spans="6:17" ht="12.75"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7"/>
    </row>
    <row r="471" spans="6:17" ht="12.75">
      <c r="F471" s="361"/>
      <c r="G471" s="361"/>
      <c r="H471" s="361"/>
      <c r="I471" s="361"/>
      <c r="J471" s="361"/>
      <c r="K471" s="361"/>
      <c r="L471" s="361"/>
      <c r="M471" s="361"/>
      <c r="N471" s="361"/>
      <c r="O471" s="361"/>
      <c r="P471" s="361"/>
      <c r="Q471" s="367"/>
    </row>
    <row r="472" spans="6:17" ht="12.75"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7"/>
    </row>
    <row r="473" spans="6:17" ht="12.75">
      <c r="F473" s="361"/>
      <c r="G473" s="361"/>
      <c r="H473" s="361"/>
      <c r="I473" s="361"/>
      <c r="J473" s="361"/>
      <c r="K473" s="361"/>
      <c r="L473" s="361"/>
      <c r="M473" s="361"/>
      <c r="N473" s="361"/>
      <c r="O473" s="361"/>
      <c r="P473" s="361"/>
      <c r="Q473" s="367"/>
    </row>
    <row r="474" spans="6:17" ht="12.75">
      <c r="F474" s="361"/>
      <c r="G474" s="361"/>
      <c r="H474" s="361"/>
      <c r="I474" s="361"/>
      <c r="J474" s="361"/>
      <c r="K474" s="361"/>
      <c r="L474" s="361"/>
      <c r="M474" s="361"/>
      <c r="N474" s="361"/>
      <c r="O474" s="361"/>
      <c r="P474" s="361"/>
      <c r="Q474" s="367"/>
    </row>
    <row r="475" spans="6:17" ht="12.75">
      <c r="F475" s="361"/>
      <c r="G475" s="361"/>
      <c r="H475" s="361"/>
      <c r="I475" s="361"/>
      <c r="J475" s="361"/>
      <c r="K475" s="361"/>
      <c r="L475" s="361"/>
      <c r="M475" s="361"/>
      <c r="N475" s="361"/>
      <c r="O475" s="361"/>
      <c r="P475" s="361"/>
      <c r="Q475" s="367"/>
    </row>
    <row r="476" spans="6:17" ht="12.75"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1"/>
      <c r="Q476" s="367"/>
    </row>
    <row r="477" spans="6:17" ht="12.75">
      <c r="F477" s="361"/>
      <c r="G477" s="361"/>
      <c r="H477" s="361"/>
      <c r="I477" s="361"/>
      <c r="J477" s="361"/>
      <c r="K477" s="361"/>
      <c r="L477" s="361"/>
      <c r="M477" s="361"/>
      <c r="N477" s="361"/>
      <c r="O477" s="361"/>
      <c r="P477" s="361"/>
      <c r="Q477" s="367"/>
    </row>
    <row r="478" spans="6:17" ht="12.75">
      <c r="F478" s="361"/>
      <c r="G478" s="361"/>
      <c r="H478" s="361"/>
      <c r="I478" s="361"/>
      <c r="J478" s="361"/>
      <c r="K478" s="361"/>
      <c r="L478" s="361"/>
      <c r="M478" s="361"/>
      <c r="N478" s="361"/>
      <c r="O478" s="361"/>
      <c r="P478" s="361"/>
      <c r="Q478" s="367"/>
    </row>
    <row r="479" spans="6:17" ht="12.75">
      <c r="F479" s="361"/>
      <c r="G479" s="361"/>
      <c r="H479" s="361"/>
      <c r="I479" s="361"/>
      <c r="J479" s="361"/>
      <c r="K479" s="361"/>
      <c r="L479" s="361"/>
      <c r="M479" s="361"/>
      <c r="N479" s="361"/>
      <c r="O479" s="361"/>
      <c r="P479" s="361"/>
      <c r="Q479" s="367"/>
    </row>
    <row r="480" spans="6:17" ht="12.75"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7"/>
    </row>
    <row r="481" spans="6:17" ht="12.75">
      <c r="F481" s="361"/>
      <c r="G481" s="361"/>
      <c r="H481" s="361"/>
      <c r="I481" s="361"/>
      <c r="J481" s="361"/>
      <c r="K481" s="361"/>
      <c r="L481" s="361"/>
      <c r="M481" s="361"/>
      <c r="N481" s="361"/>
      <c r="O481" s="361"/>
      <c r="P481" s="361"/>
      <c r="Q481" s="367"/>
    </row>
    <row r="482" spans="6:17" ht="12.75">
      <c r="F482" s="361"/>
      <c r="G482" s="361"/>
      <c r="H482" s="361"/>
      <c r="I482" s="361"/>
      <c r="J482" s="361"/>
      <c r="K482" s="361"/>
      <c r="L482" s="361"/>
      <c r="M482" s="361"/>
      <c r="N482" s="361"/>
      <c r="O482" s="361"/>
      <c r="P482" s="361"/>
      <c r="Q482" s="367"/>
    </row>
    <row r="483" spans="6:17" ht="12.75">
      <c r="F483" s="361"/>
      <c r="G483" s="361"/>
      <c r="H483" s="361"/>
      <c r="I483" s="361"/>
      <c r="J483" s="361"/>
      <c r="K483" s="361"/>
      <c r="L483" s="361"/>
      <c r="M483" s="361"/>
      <c r="N483" s="361"/>
      <c r="O483" s="361"/>
      <c r="P483" s="361"/>
      <c r="Q483" s="367"/>
    </row>
    <row r="484" spans="6:17" ht="12.75">
      <c r="F484" s="361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7"/>
    </row>
    <row r="485" spans="6:17" ht="12.75">
      <c r="F485" s="361"/>
      <c r="G485" s="361"/>
      <c r="H485" s="361"/>
      <c r="I485" s="361"/>
      <c r="J485" s="361"/>
      <c r="K485" s="361"/>
      <c r="L485" s="361"/>
      <c r="M485" s="361"/>
      <c r="N485" s="361"/>
      <c r="O485" s="361"/>
      <c r="P485" s="361"/>
      <c r="Q485" s="367"/>
    </row>
    <row r="486" spans="6:17" ht="12.75">
      <c r="F486" s="361"/>
      <c r="G486" s="361"/>
      <c r="H486" s="361"/>
      <c r="I486" s="361"/>
      <c r="J486" s="361"/>
      <c r="K486" s="361"/>
      <c r="L486" s="361"/>
      <c r="M486" s="361"/>
      <c r="N486" s="361"/>
      <c r="O486" s="361"/>
      <c r="P486" s="361"/>
      <c r="Q486" s="367"/>
    </row>
    <row r="487" spans="6:17" ht="12.75"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7"/>
    </row>
    <row r="488" spans="6:17" ht="12.75">
      <c r="F488" s="361"/>
      <c r="G488" s="361"/>
      <c r="H488" s="361"/>
      <c r="I488" s="361"/>
      <c r="J488" s="361"/>
      <c r="K488" s="361"/>
      <c r="L488" s="361"/>
      <c r="M488" s="361"/>
      <c r="N488" s="361"/>
      <c r="O488" s="361"/>
      <c r="P488" s="361"/>
      <c r="Q488" s="367"/>
    </row>
    <row r="489" spans="6:17" ht="12.75"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1"/>
      <c r="Q489" s="367"/>
    </row>
    <row r="490" spans="6:17" ht="12.75">
      <c r="F490" s="361"/>
      <c r="G490" s="361"/>
      <c r="H490" s="361"/>
      <c r="I490" s="361"/>
      <c r="J490" s="361"/>
      <c r="K490" s="361"/>
      <c r="L490" s="361"/>
      <c r="M490" s="361"/>
      <c r="N490" s="361"/>
      <c r="O490" s="361"/>
      <c r="P490" s="361"/>
      <c r="Q490" s="367"/>
    </row>
    <row r="491" spans="6:17" ht="12.75">
      <c r="F491" s="361"/>
      <c r="G491" s="361"/>
      <c r="H491" s="361"/>
      <c r="I491" s="361"/>
      <c r="J491" s="361"/>
      <c r="K491" s="361"/>
      <c r="L491" s="361"/>
      <c r="M491" s="361"/>
      <c r="N491" s="361"/>
      <c r="O491" s="361"/>
      <c r="P491" s="361"/>
      <c r="Q491" s="367"/>
    </row>
    <row r="492" spans="6:17" ht="12.75">
      <c r="F492" s="361"/>
      <c r="G492" s="361"/>
      <c r="H492" s="361"/>
      <c r="I492" s="361"/>
      <c r="J492" s="361"/>
      <c r="K492" s="361"/>
      <c r="L492" s="361"/>
      <c r="M492" s="361"/>
      <c r="N492" s="361"/>
      <c r="O492" s="361"/>
      <c r="P492" s="361"/>
      <c r="Q492" s="367"/>
    </row>
    <row r="493" spans="6:17" ht="12.75">
      <c r="F493" s="361"/>
      <c r="G493" s="361"/>
      <c r="H493" s="361"/>
      <c r="I493" s="361"/>
      <c r="J493" s="361"/>
      <c r="K493" s="361"/>
      <c r="L493" s="361"/>
      <c r="M493" s="361"/>
      <c r="N493" s="361"/>
      <c r="O493" s="361"/>
      <c r="P493" s="361"/>
      <c r="Q493" s="367"/>
    </row>
    <row r="494" spans="6:17" ht="12.75">
      <c r="F494" s="361"/>
      <c r="G494" s="361"/>
      <c r="H494" s="361"/>
      <c r="I494" s="361"/>
      <c r="J494" s="361"/>
      <c r="K494" s="361"/>
      <c r="L494" s="361"/>
      <c r="M494" s="361"/>
      <c r="N494" s="361"/>
      <c r="O494" s="361"/>
      <c r="P494" s="361"/>
      <c r="Q494" s="367"/>
    </row>
    <row r="495" spans="6:17" ht="12.75">
      <c r="F495" s="361"/>
      <c r="G495" s="361"/>
      <c r="H495" s="361"/>
      <c r="I495" s="361"/>
      <c r="J495" s="361"/>
      <c r="K495" s="361"/>
      <c r="L495" s="361"/>
      <c r="M495" s="361"/>
      <c r="N495" s="361"/>
      <c r="O495" s="361"/>
      <c r="P495" s="361"/>
      <c r="Q495" s="367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311" customWidth="1"/>
    <col min="2" max="2" width="15.7109375" style="311" bestFit="1" customWidth="1"/>
    <col min="3" max="3" width="15.8515625" style="311" bestFit="1" customWidth="1"/>
    <col min="4" max="4" width="15.140625" style="311" bestFit="1" customWidth="1"/>
    <col min="5" max="5" width="16.421875" style="311" bestFit="1" customWidth="1"/>
    <col min="6" max="6" width="16.57421875" style="311" bestFit="1" customWidth="1"/>
    <col min="7" max="7" width="15.00390625" style="311" bestFit="1" customWidth="1"/>
    <col min="8" max="8" width="15.140625" style="311" bestFit="1" customWidth="1"/>
    <col min="9" max="9" width="16.421875" style="311" bestFit="1" customWidth="1"/>
    <col min="10" max="10" width="14.28125" style="311" customWidth="1"/>
    <col min="11" max="11" width="15.140625" style="311" bestFit="1" customWidth="1"/>
    <col min="12" max="12" width="15.57421875" style="311" customWidth="1"/>
    <col min="13" max="13" width="15.00390625" style="311" bestFit="1" customWidth="1"/>
    <col min="14" max="14" width="17.00390625" style="311" bestFit="1" customWidth="1"/>
    <col min="15" max="15" width="7.7109375" style="311" customWidth="1"/>
    <col min="16" max="16" width="23.00390625" style="311" bestFit="1" customWidth="1"/>
    <col min="17" max="17" width="10.8515625" style="311" bestFit="1" customWidth="1"/>
    <col min="18" max="16384" width="7.7109375" style="311" customWidth="1"/>
  </cols>
  <sheetData>
    <row r="1" spans="1:14" ht="15.75">
      <c r="A1" s="421" t="s">
        <v>220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20.25">
      <c r="A2" s="422" t="s">
        <v>325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23.25">
      <c r="A3" s="423" t="s">
        <v>390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ht="15.7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ht="15"/>
    <row r="6" ht="15"/>
    <row r="7" spans="1:14" ht="27" customHeight="1">
      <c r="A7" s="312" t="s">
        <v>326</v>
      </c>
      <c r="B7" s="313">
        <v>42766</v>
      </c>
      <c r="C7" s="313">
        <f>EOMONTH(B7,1)</f>
        <v>42794</v>
      </c>
      <c r="D7" s="313">
        <f aca="true" t="shared" si="0" ref="D7:M7">EOMONTH(C7,1)</f>
        <v>42825</v>
      </c>
      <c r="E7" s="313">
        <f t="shared" si="0"/>
        <v>42855</v>
      </c>
      <c r="F7" s="313">
        <f t="shared" si="0"/>
        <v>42886</v>
      </c>
      <c r="G7" s="313">
        <f t="shared" si="0"/>
        <v>42916</v>
      </c>
      <c r="H7" s="313">
        <f t="shared" si="0"/>
        <v>42947</v>
      </c>
      <c r="I7" s="313">
        <f t="shared" si="0"/>
        <v>42978</v>
      </c>
      <c r="J7" s="313">
        <f t="shared" si="0"/>
        <v>43008</v>
      </c>
      <c r="K7" s="313">
        <f t="shared" si="0"/>
        <v>43039</v>
      </c>
      <c r="L7" s="313">
        <f t="shared" si="0"/>
        <v>43069</v>
      </c>
      <c r="M7" s="313">
        <f t="shared" si="0"/>
        <v>43100</v>
      </c>
      <c r="N7" s="314" t="s">
        <v>319</v>
      </c>
    </row>
    <row r="8" spans="1:16" ht="24.75" customHeight="1">
      <c r="A8" s="315" t="s">
        <v>296</v>
      </c>
      <c r="B8" s="316">
        <f>'Input Tab'!C53</f>
        <v>635436</v>
      </c>
      <c r="C8" s="316">
        <f>'Input Tab'!D53</f>
        <v>552138</v>
      </c>
      <c r="D8" s="316">
        <f>'Input Tab'!E53</f>
        <v>497731</v>
      </c>
      <c r="E8" s="316">
        <f>'Input Tab'!F53</f>
        <v>448218</v>
      </c>
      <c r="F8" s="316">
        <f>'Input Tab'!G53</f>
        <v>419097</v>
      </c>
      <c r="G8" s="316">
        <f>'Input Tab'!H53</f>
        <v>423687</v>
      </c>
      <c r="H8" s="316">
        <f>'Input Tab'!I53</f>
        <v>464714</v>
      </c>
      <c r="I8" s="316">
        <f>'Input Tab'!J53</f>
        <v>513953</v>
      </c>
      <c r="J8" s="316">
        <f>'Input Tab'!K53</f>
        <v>482863</v>
      </c>
      <c r="K8" s="316">
        <f>'Input Tab'!L53</f>
        <v>372091</v>
      </c>
      <c r="L8" s="316">
        <f>'Input Tab'!M53</f>
        <v>501875</v>
      </c>
      <c r="M8" s="316">
        <f>'Input Tab'!N53</f>
        <v>527870</v>
      </c>
      <c r="N8" s="221">
        <f aca="true" t="shared" si="1" ref="N8:N13">SUM(B8:M8)</f>
        <v>5839673</v>
      </c>
      <c r="P8" s="317"/>
    </row>
    <row r="9" spans="1:14" ht="24.75" customHeight="1">
      <c r="A9" s="318" t="s">
        <v>320</v>
      </c>
      <c r="B9" s="316">
        <f>-283777698/1000</f>
        <v>-283778</v>
      </c>
      <c r="C9" s="319">
        <f>IF(C8=0,0,-B10)</f>
        <v>-261693</v>
      </c>
      <c r="D9" s="319">
        <f aca="true" t="shared" si="2" ref="D9:M9">IF(D8=0,0,-C10)</f>
        <v>-216822</v>
      </c>
      <c r="E9" s="319">
        <f t="shared" si="2"/>
        <v>-206931</v>
      </c>
      <c r="F9" s="319">
        <f t="shared" si="2"/>
        <v>-186064</v>
      </c>
      <c r="G9" s="319">
        <f t="shared" si="2"/>
        <v>-191194</v>
      </c>
      <c r="H9" s="319">
        <f t="shared" si="2"/>
        <v>-192214</v>
      </c>
      <c r="I9" s="319">
        <f t="shared" si="2"/>
        <v>-231543</v>
      </c>
      <c r="J9" s="319">
        <f t="shared" si="2"/>
        <v>-235297</v>
      </c>
      <c r="K9" s="319">
        <f t="shared" si="2"/>
        <v>-187295</v>
      </c>
      <c r="L9" s="319">
        <f t="shared" si="2"/>
        <v>-247724</v>
      </c>
      <c r="M9" s="319">
        <f t="shared" si="2"/>
        <v>-228468</v>
      </c>
      <c r="N9" s="221">
        <f t="shared" si="1"/>
        <v>-2669023</v>
      </c>
    </row>
    <row r="10" spans="1:17" ht="24.75" customHeight="1">
      <c r="A10" s="318" t="s">
        <v>321</v>
      </c>
      <c r="B10" s="316">
        <f>'Input Tab'!C54</f>
        <v>261693</v>
      </c>
      <c r="C10" s="316">
        <f>'Input Tab'!D54</f>
        <v>216822</v>
      </c>
      <c r="D10" s="316">
        <f>'Input Tab'!E54</f>
        <v>206931</v>
      </c>
      <c r="E10" s="316">
        <f>'Input Tab'!F54</f>
        <v>186064</v>
      </c>
      <c r="F10" s="316">
        <f>'Input Tab'!G54</f>
        <v>191194</v>
      </c>
      <c r="G10" s="316">
        <f>'Input Tab'!H54</f>
        <v>192214</v>
      </c>
      <c r="H10" s="316">
        <f>'Input Tab'!I54</f>
        <v>231543</v>
      </c>
      <c r="I10" s="316">
        <f>'Input Tab'!J54</f>
        <v>235297</v>
      </c>
      <c r="J10" s="316">
        <f>'Input Tab'!K54</f>
        <v>187295</v>
      </c>
      <c r="K10" s="316">
        <f>'Input Tab'!L54</f>
        <v>247724</v>
      </c>
      <c r="L10" s="316">
        <f>'Input Tab'!M54</f>
        <v>228468</v>
      </c>
      <c r="M10" s="316">
        <f>'Input Tab'!N54</f>
        <v>261456</v>
      </c>
      <c r="N10" s="221">
        <f t="shared" si="1"/>
        <v>2646701</v>
      </c>
      <c r="P10" s="320"/>
      <c r="Q10" s="320"/>
    </row>
    <row r="11" spans="1:17" ht="30.75" customHeight="1">
      <c r="A11" s="321" t="s">
        <v>327</v>
      </c>
      <c r="B11" s="322">
        <f aca="true" t="shared" si="3" ref="B11:L11">SUM(B8:B10)</f>
        <v>613351</v>
      </c>
      <c r="C11" s="322">
        <f t="shared" si="3"/>
        <v>507267</v>
      </c>
      <c r="D11" s="322">
        <f t="shared" si="3"/>
        <v>487840</v>
      </c>
      <c r="E11" s="322">
        <f t="shared" si="3"/>
        <v>427351</v>
      </c>
      <c r="F11" s="322">
        <f t="shared" si="3"/>
        <v>424227</v>
      </c>
      <c r="G11" s="322">
        <f t="shared" si="3"/>
        <v>424707</v>
      </c>
      <c r="H11" s="322">
        <f t="shared" si="3"/>
        <v>504043</v>
      </c>
      <c r="I11" s="322">
        <f t="shared" si="3"/>
        <v>517707</v>
      </c>
      <c r="J11" s="322">
        <f t="shared" si="3"/>
        <v>434861</v>
      </c>
      <c r="K11" s="322">
        <f t="shared" si="3"/>
        <v>432520</v>
      </c>
      <c r="L11" s="322">
        <f t="shared" si="3"/>
        <v>482619</v>
      </c>
      <c r="M11" s="322">
        <f>SUM(M8:M10)</f>
        <v>560858</v>
      </c>
      <c r="N11" s="323">
        <f t="shared" si="1"/>
        <v>5817351</v>
      </c>
      <c r="P11" s="324"/>
      <c r="Q11" s="317"/>
    </row>
    <row r="12" spans="1:16" ht="32.25" customHeight="1">
      <c r="A12" s="325" t="s">
        <v>328</v>
      </c>
      <c r="B12" s="326">
        <f>'Input Tab'!C55</f>
        <v>555937</v>
      </c>
      <c r="C12" s="326">
        <f>'Input Tab'!D55</f>
        <v>498647</v>
      </c>
      <c r="D12" s="326">
        <f>'Input Tab'!E55</f>
        <v>492113</v>
      </c>
      <c r="E12" s="326">
        <f>'Input Tab'!F55</f>
        <v>431145</v>
      </c>
      <c r="F12" s="326">
        <f>'Input Tab'!G55</f>
        <v>438507</v>
      </c>
      <c r="G12" s="326">
        <f>'Input Tab'!H55</f>
        <v>423630</v>
      </c>
      <c r="H12" s="326">
        <f>'Input Tab'!I55</f>
        <v>451024</v>
      </c>
      <c r="I12" s="326">
        <f>'Input Tab'!J55</f>
        <v>469267</v>
      </c>
      <c r="J12" s="326">
        <f>'Input Tab'!K55</f>
        <v>421946</v>
      </c>
      <c r="K12" s="326">
        <f>'Input Tab'!L55</f>
        <v>451214</v>
      </c>
      <c r="L12" s="326">
        <f>'Input Tab'!M55</f>
        <v>471440</v>
      </c>
      <c r="M12" s="326">
        <f>'Input Tab'!N55</f>
        <v>548964</v>
      </c>
      <c r="N12" s="327">
        <f>SUM(B12:M12)</f>
        <v>5653834</v>
      </c>
      <c r="P12" s="328" t="s">
        <v>343</v>
      </c>
    </row>
    <row r="13" spans="1:14" ht="38.25" customHeight="1">
      <c r="A13" s="329" t="s">
        <v>322</v>
      </c>
      <c r="B13" s="222">
        <f>B11-B12</f>
        <v>57414</v>
      </c>
      <c r="C13" s="222">
        <f>IF(C8=0," ",C11-C12)</f>
        <v>8620</v>
      </c>
      <c r="D13" s="222">
        <f aca="true" t="shared" si="4" ref="D13:M13">IF(D8=0," ",D11-D12)</f>
        <v>-4273</v>
      </c>
      <c r="E13" s="222">
        <f t="shared" si="4"/>
        <v>-3794</v>
      </c>
      <c r="F13" s="222">
        <f t="shared" si="4"/>
        <v>-14280</v>
      </c>
      <c r="G13" s="222">
        <f t="shared" si="4"/>
        <v>1077</v>
      </c>
      <c r="H13" s="222">
        <f t="shared" si="4"/>
        <v>53019</v>
      </c>
      <c r="I13" s="222">
        <f t="shared" si="4"/>
        <v>48440</v>
      </c>
      <c r="J13" s="222">
        <f t="shared" si="4"/>
        <v>12915</v>
      </c>
      <c r="K13" s="222">
        <f t="shared" si="4"/>
        <v>-18694</v>
      </c>
      <c r="L13" s="222">
        <f t="shared" si="4"/>
        <v>11179</v>
      </c>
      <c r="M13" s="222">
        <f t="shared" si="4"/>
        <v>11894</v>
      </c>
      <c r="N13" s="330">
        <f t="shared" si="1"/>
        <v>163517</v>
      </c>
    </row>
    <row r="14" spans="1:14" ht="42.75" customHeight="1">
      <c r="A14" s="329" t="s">
        <v>329</v>
      </c>
      <c r="B14" s="331">
        <f>'Input Tab'!C56</f>
        <v>15.66</v>
      </c>
      <c r="C14" s="331">
        <f>'Input Tab'!D56</f>
        <v>15.66</v>
      </c>
      <c r="D14" s="331">
        <f>'Input Tab'!E56</f>
        <v>15.66</v>
      </c>
      <c r="E14" s="331">
        <f>'Input Tab'!F56</f>
        <v>15.66</v>
      </c>
      <c r="F14" s="331">
        <f>'Input Tab'!G56</f>
        <v>15.66</v>
      </c>
      <c r="G14" s="331">
        <f>'Input Tab'!H56</f>
        <v>15.66</v>
      </c>
      <c r="H14" s="331">
        <f>'Input Tab'!I56</f>
        <v>15.66</v>
      </c>
      <c r="I14" s="331">
        <f>'Input Tab'!J56</f>
        <v>15.66</v>
      </c>
      <c r="J14" s="331">
        <f>'Input Tab'!K56</f>
        <v>15.66</v>
      </c>
      <c r="K14" s="331">
        <f>'Input Tab'!L56</f>
        <v>15.66</v>
      </c>
      <c r="L14" s="331">
        <f>'Input Tab'!M56</f>
        <v>15.66</v>
      </c>
      <c r="M14" s="331">
        <f>'Input Tab'!N56</f>
        <v>15.66</v>
      </c>
      <c r="N14" s="221"/>
    </row>
    <row r="15" spans="1:14" ht="30.75" customHeight="1" thickBot="1">
      <c r="A15" s="332" t="s">
        <v>330</v>
      </c>
      <c r="B15" s="333">
        <f>B13*B14</f>
        <v>899103</v>
      </c>
      <c r="C15" s="333">
        <f>IF(C8=0,0,C13*C14)</f>
        <v>134989</v>
      </c>
      <c r="D15" s="333">
        <f aca="true" t="shared" si="5" ref="D15:M15">IF(D8=0,0,D13*D14)</f>
        <v>-66915</v>
      </c>
      <c r="E15" s="333">
        <f t="shared" si="5"/>
        <v>-59414</v>
      </c>
      <c r="F15" s="333">
        <f t="shared" si="5"/>
        <v>-223625</v>
      </c>
      <c r="G15" s="333">
        <f t="shared" si="5"/>
        <v>16866</v>
      </c>
      <c r="H15" s="333">
        <f t="shared" si="5"/>
        <v>830278</v>
      </c>
      <c r="I15" s="333">
        <f t="shared" si="5"/>
        <v>758570</v>
      </c>
      <c r="J15" s="333">
        <f t="shared" si="5"/>
        <v>202249</v>
      </c>
      <c r="K15" s="333">
        <f t="shared" si="5"/>
        <v>-292748</v>
      </c>
      <c r="L15" s="333">
        <f t="shared" si="5"/>
        <v>175063</v>
      </c>
      <c r="M15" s="333">
        <f t="shared" si="5"/>
        <v>186260</v>
      </c>
      <c r="N15" s="333">
        <f>SUM(B15:M15)</f>
        <v>2560676</v>
      </c>
    </row>
    <row r="16" spans="7:14" ht="19.5" customHeight="1" thickTop="1">
      <c r="G16" s="334"/>
      <c r="N16" s="317"/>
    </row>
    <row r="17" spans="1:14" ht="19.5" customHeight="1">
      <c r="A17" s="335"/>
      <c r="N17" s="317"/>
    </row>
    <row r="18" spans="1:14" ht="36.75" customHeight="1">
      <c r="A18" s="336" t="s">
        <v>331</v>
      </c>
      <c r="B18" s="337">
        <f>B7</f>
        <v>42766</v>
      </c>
      <c r="C18" s="337">
        <f aca="true" t="shared" si="6" ref="C18:N18">C7</f>
        <v>42794</v>
      </c>
      <c r="D18" s="337">
        <f t="shared" si="6"/>
        <v>42825</v>
      </c>
      <c r="E18" s="337">
        <f t="shared" si="6"/>
        <v>42855</v>
      </c>
      <c r="F18" s="337">
        <f t="shared" si="6"/>
        <v>42886</v>
      </c>
      <c r="G18" s="337">
        <f t="shared" si="6"/>
        <v>42916</v>
      </c>
      <c r="H18" s="337">
        <f t="shared" si="6"/>
        <v>42947</v>
      </c>
      <c r="I18" s="337">
        <f t="shared" si="6"/>
        <v>42978</v>
      </c>
      <c r="J18" s="337">
        <f t="shared" si="6"/>
        <v>43008</v>
      </c>
      <c r="K18" s="337">
        <f t="shared" si="6"/>
        <v>43039</v>
      </c>
      <c r="L18" s="337">
        <f t="shared" si="6"/>
        <v>43069</v>
      </c>
      <c r="M18" s="337">
        <f t="shared" si="6"/>
        <v>43100</v>
      </c>
      <c r="N18" s="313" t="str">
        <f t="shared" si="6"/>
        <v>YTD</v>
      </c>
    </row>
    <row r="19" spans="1:14" ht="29.25" customHeight="1">
      <c r="A19" s="338" t="s">
        <v>2</v>
      </c>
      <c r="B19" s="339">
        <f>IF(B8=0," ",B15*-1)</f>
        <v>-899103</v>
      </c>
      <c r="C19" s="339">
        <f>IF(C8=0," ",C15*-1)</f>
        <v>-134989</v>
      </c>
      <c r="D19" s="339">
        <f aca="true" t="shared" si="7" ref="D19:M19">IF(D8=0," ",D15*-1)</f>
        <v>66915</v>
      </c>
      <c r="E19" s="339">
        <f t="shared" si="7"/>
        <v>59414</v>
      </c>
      <c r="F19" s="339">
        <f t="shared" si="7"/>
        <v>223625</v>
      </c>
      <c r="G19" s="339">
        <f t="shared" si="7"/>
        <v>-16866</v>
      </c>
      <c r="H19" s="339">
        <f t="shared" si="7"/>
        <v>-830278</v>
      </c>
      <c r="I19" s="339">
        <f t="shared" si="7"/>
        <v>-758570</v>
      </c>
      <c r="J19" s="339">
        <f t="shared" si="7"/>
        <v>-202249</v>
      </c>
      <c r="K19" s="339">
        <f t="shared" si="7"/>
        <v>292748</v>
      </c>
      <c r="L19" s="339">
        <f t="shared" si="7"/>
        <v>-175063</v>
      </c>
      <c r="M19" s="339">
        <f t="shared" si="7"/>
        <v>-186260</v>
      </c>
      <c r="N19" s="339">
        <f>N15*-1</f>
        <v>-2560676</v>
      </c>
    </row>
    <row r="20" spans="1:14" ht="15.75">
      <c r="A20" s="340"/>
      <c r="B20" s="341" t="str">
        <f>IF(B19&lt;0,"Rebate","Surcharge")</f>
        <v>Rebate</v>
      </c>
      <c r="C20" s="341" t="str">
        <f aca="true" t="shared" si="8" ref="C20:N20">IF(C19&lt;0,"Rebate","Surcharge")</f>
        <v>Rebate</v>
      </c>
      <c r="D20" s="341" t="str">
        <f t="shared" si="8"/>
        <v>Surcharge</v>
      </c>
      <c r="E20" s="341" t="str">
        <f t="shared" si="8"/>
        <v>Surcharge</v>
      </c>
      <c r="F20" s="341" t="str">
        <f t="shared" si="8"/>
        <v>Surcharge</v>
      </c>
      <c r="G20" s="341" t="str">
        <f t="shared" si="8"/>
        <v>Rebate</v>
      </c>
      <c r="H20" s="341" t="str">
        <f t="shared" si="8"/>
        <v>Rebate</v>
      </c>
      <c r="I20" s="341" t="str">
        <f t="shared" si="8"/>
        <v>Rebate</v>
      </c>
      <c r="J20" s="341" t="str">
        <f t="shared" si="8"/>
        <v>Rebate</v>
      </c>
      <c r="K20" s="341" t="str">
        <f t="shared" si="8"/>
        <v>Surcharge</v>
      </c>
      <c r="L20" s="341" t="str">
        <f t="shared" si="8"/>
        <v>Rebate</v>
      </c>
      <c r="M20" s="341" t="str">
        <f t="shared" si="8"/>
        <v>Rebate</v>
      </c>
      <c r="N20" s="341" t="str">
        <f t="shared" si="8"/>
        <v>Rebate</v>
      </c>
    </row>
    <row r="21" spans="1:16" ht="27" customHeight="1">
      <c r="A21" s="342" t="s">
        <v>324</v>
      </c>
      <c r="B21" s="343">
        <f>'Input Tab'!C58</f>
        <v>-52557.34</v>
      </c>
      <c r="C21" s="343">
        <f>'Input Tab'!D58</f>
        <v>227784.32</v>
      </c>
      <c r="D21" s="343">
        <f>'Input Tab'!E58</f>
        <v>24456.86</v>
      </c>
      <c r="E21" s="343">
        <f>'Input Tab'!F58</f>
        <v>-113184.85</v>
      </c>
      <c r="F21" s="343">
        <f>'Input Tab'!G58</f>
        <v>150291.31</v>
      </c>
      <c r="G21" s="343">
        <f>'Input Tab'!H58</f>
        <v>-157346.65</v>
      </c>
      <c r="H21" s="343">
        <f>'Input Tab'!I58</f>
        <v>-662636.71</v>
      </c>
      <c r="I21" s="343">
        <f>'Input Tab'!J58</f>
        <v>-288737.45</v>
      </c>
      <c r="J21" s="343">
        <f>'Input Tab'!K58</f>
        <v>-77726.98</v>
      </c>
      <c r="K21" s="343">
        <f>'Input Tab'!L58</f>
        <v>-99716.62</v>
      </c>
      <c r="L21" s="343">
        <f>'Input Tab'!M58</f>
        <v>-479299.42</v>
      </c>
      <c r="M21" s="343">
        <f>'Input Tab'!N58</f>
        <v>-458143.1</v>
      </c>
      <c r="N21" s="343">
        <f>SUM(B21:M21)</f>
        <v>-1986816.63</v>
      </c>
      <c r="P21" s="71" t="s">
        <v>392</v>
      </c>
    </row>
    <row r="22" spans="1:14" ht="15">
      <c r="A22" s="334"/>
      <c r="B22" s="344" t="str">
        <f>IF(B21&lt;0,"Rebate","Surcharge")</f>
        <v>Rebate</v>
      </c>
      <c r="C22" s="344" t="str">
        <f aca="true" t="shared" si="9" ref="C22:N22">IF(C21&lt;0,"Rebate","Surcharge")</f>
        <v>Surcharge</v>
      </c>
      <c r="D22" s="344" t="str">
        <f t="shared" si="9"/>
        <v>Surcharge</v>
      </c>
      <c r="E22" s="344" t="str">
        <f t="shared" si="9"/>
        <v>Rebate</v>
      </c>
      <c r="F22" s="344" t="str">
        <f t="shared" si="9"/>
        <v>Surcharge</v>
      </c>
      <c r="G22" s="344" t="str">
        <f t="shared" si="9"/>
        <v>Rebate</v>
      </c>
      <c r="H22" s="344" t="str">
        <f t="shared" si="9"/>
        <v>Rebate</v>
      </c>
      <c r="I22" s="344" t="str">
        <f t="shared" si="9"/>
        <v>Rebate</v>
      </c>
      <c r="J22" s="344" t="str">
        <f t="shared" si="9"/>
        <v>Rebate</v>
      </c>
      <c r="K22" s="344" t="str">
        <f t="shared" si="9"/>
        <v>Rebate</v>
      </c>
      <c r="L22" s="344" t="str">
        <f t="shared" si="9"/>
        <v>Rebate</v>
      </c>
      <c r="M22" s="344" t="str">
        <f t="shared" si="9"/>
        <v>Rebate</v>
      </c>
      <c r="N22" s="344" t="str">
        <f t="shared" si="9"/>
        <v>Rebate</v>
      </c>
    </row>
    <row r="25" ht="15">
      <c r="G25" s="317"/>
    </row>
    <row r="34" ht="15">
      <c r="A34" s="345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426" t="s">
        <v>220</v>
      </c>
      <c r="B1" s="426"/>
      <c r="C1" s="426"/>
      <c r="D1" s="426"/>
      <c r="E1" s="426"/>
      <c r="F1" s="426"/>
      <c r="G1" s="426"/>
      <c r="H1" s="426"/>
    </row>
    <row r="2" spans="1:8" ht="15.75">
      <c r="A2" s="427" t="s">
        <v>334</v>
      </c>
      <c r="B2" s="427"/>
      <c r="C2" s="427"/>
      <c r="D2" s="427"/>
      <c r="E2" s="427"/>
      <c r="F2" s="427"/>
      <c r="G2" s="427"/>
      <c r="H2" s="427"/>
    </row>
    <row r="3" ht="12.75">
      <c r="A3" s="26"/>
    </row>
    <row r="4" spans="1:8" ht="16.5" thickBot="1">
      <c r="A4" s="26"/>
      <c r="B4" s="425" t="s">
        <v>339</v>
      </c>
      <c r="C4" s="425"/>
      <c r="D4" s="425"/>
      <c r="E4" s="425"/>
      <c r="F4" s="425"/>
      <c r="G4" s="425"/>
      <c r="H4" s="425"/>
    </row>
    <row r="5" spans="2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 ht="12.75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0.3484</v>
      </c>
      <c r="G6" s="22">
        <f>+E6*F6</f>
        <v>4256</v>
      </c>
      <c r="H6">
        <f>+G6*0.9</f>
        <v>3830.4</v>
      </c>
    </row>
    <row r="7" spans="1:8" ht="12.75">
      <c r="A7" s="26"/>
      <c r="B7" s="224">
        <v>41306</v>
      </c>
      <c r="C7" s="21">
        <v>-58333</v>
      </c>
      <c r="D7" s="21">
        <v>-82772</v>
      </c>
      <c r="E7" s="21">
        <f aca="true" t="shared" si="0" ref="E7:E16">+C7-D7</f>
        <v>24439</v>
      </c>
      <c r="F7" s="223">
        <v>0.3484</v>
      </c>
      <c r="G7" s="22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0.3484</v>
      </c>
      <c r="G8" s="22">
        <f t="shared" si="1"/>
        <v>53909</v>
      </c>
      <c r="H8">
        <f t="shared" si="2"/>
        <v>48518.1</v>
      </c>
    </row>
    <row r="9" spans="2:8" ht="12.75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</v>
      </c>
      <c r="G9" s="22">
        <f t="shared" si="1"/>
        <v>117293</v>
      </c>
      <c r="H9">
        <f t="shared" si="2"/>
        <v>105563.7</v>
      </c>
    </row>
    <row r="10" spans="2:8" ht="12.75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</v>
      </c>
      <c r="G10" s="22">
        <f t="shared" si="1"/>
        <v>131336</v>
      </c>
      <c r="H10">
        <f t="shared" si="2"/>
        <v>118202.4</v>
      </c>
    </row>
    <row r="11" spans="2:8" ht="12.75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</v>
      </c>
      <c r="G11" s="22">
        <f t="shared" si="1"/>
        <v>71768</v>
      </c>
      <c r="H11">
        <f t="shared" si="2"/>
        <v>64591.2</v>
      </c>
    </row>
    <row r="12" spans="2:8" ht="12.75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</v>
      </c>
      <c r="G12" s="22">
        <f t="shared" si="1"/>
        <v>-8458</v>
      </c>
      <c r="H12">
        <f t="shared" si="2"/>
        <v>-7612.2</v>
      </c>
    </row>
    <row r="13" spans="2:8" ht="12.75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</v>
      </c>
      <c r="G13" s="22">
        <f t="shared" si="1"/>
        <v>-24622</v>
      </c>
      <c r="H13">
        <f t="shared" si="2"/>
        <v>-22159.8</v>
      </c>
    </row>
    <row r="14" spans="2:8" ht="12.75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</v>
      </c>
      <c r="G14" s="22">
        <f t="shared" si="1"/>
        <v>-13759</v>
      </c>
      <c r="H14">
        <f t="shared" si="2"/>
        <v>-12383.1</v>
      </c>
    </row>
    <row r="15" spans="2:8" ht="12.75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</v>
      </c>
      <c r="G15" s="22">
        <f t="shared" si="1"/>
        <v>128322</v>
      </c>
      <c r="H15">
        <f t="shared" si="2"/>
        <v>115489.8</v>
      </c>
    </row>
    <row r="16" spans="2:8" ht="12.75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</v>
      </c>
      <c r="G16" s="22">
        <f t="shared" si="1"/>
        <v>8904</v>
      </c>
      <c r="H16">
        <f t="shared" si="2"/>
        <v>8013.6</v>
      </c>
    </row>
    <row r="17" spans="2:8" ht="12.75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</v>
      </c>
      <c r="G17" s="22">
        <f t="shared" si="1"/>
        <v>149031</v>
      </c>
      <c r="H17">
        <f t="shared" si="2"/>
        <v>134127.9</v>
      </c>
    </row>
    <row r="18" spans="1:8" ht="12.75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2:8" ht="12.75">
      <c r="B19" s="5"/>
      <c r="C19" s="5"/>
      <c r="D19" s="5"/>
      <c r="E19" s="182" t="s">
        <v>335</v>
      </c>
      <c r="F19" s="5"/>
      <c r="G19" s="182" t="s">
        <v>335</v>
      </c>
      <c r="H19" s="182" t="s">
        <v>335</v>
      </c>
    </row>
    <row r="21" spans="2:8" ht="16.5" thickBot="1">
      <c r="B21" s="425" t="s">
        <v>340</v>
      </c>
      <c r="C21" s="425"/>
      <c r="D21" s="425"/>
      <c r="E21" s="425"/>
      <c r="F21" s="425"/>
      <c r="G21" s="425"/>
      <c r="H21" s="425"/>
    </row>
    <row r="22" spans="2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2:8" ht="12.75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0.3484</v>
      </c>
      <c r="G23" s="22">
        <f>+E23*F23</f>
        <v>4256</v>
      </c>
      <c r="H23">
        <f>+G23*0.9</f>
        <v>3830.4</v>
      </c>
    </row>
    <row r="24" spans="2:8" ht="12.75">
      <c r="B24" s="224">
        <v>41306</v>
      </c>
      <c r="C24" s="21">
        <v>-58333</v>
      </c>
      <c r="D24" s="21">
        <v>-82772</v>
      </c>
      <c r="E24" s="21">
        <f aca="true" t="shared" si="3" ref="E24:E33">+C24-D24</f>
        <v>24439</v>
      </c>
      <c r="F24" s="223">
        <v>0.3484</v>
      </c>
      <c r="G24" s="22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0.3484</v>
      </c>
      <c r="G25" s="22">
        <f t="shared" si="4"/>
        <v>53909</v>
      </c>
      <c r="H25">
        <f t="shared" si="5"/>
        <v>48518.1</v>
      </c>
    </row>
    <row r="26" spans="2:8" ht="12.75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</v>
      </c>
      <c r="G26" s="22">
        <f t="shared" si="4"/>
        <v>130965</v>
      </c>
      <c r="H26">
        <f t="shared" si="5"/>
        <v>117868.5</v>
      </c>
    </row>
    <row r="27" spans="2:8" ht="12.75">
      <c r="B27" s="224">
        <v>41395</v>
      </c>
      <c r="C27" s="21">
        <f aca="true" t="shared" si="6" ref="C27:C34">+-31500</f>
        <v>-31500</v>
      </c>
      <c r="D27" s="21">
        <v>-448670</v>
      </c>
      <c r="E27" s="21">
        <f t="shared" si="3"/>
        <v>417170</v>
      </c>
      <c r="F27" s="223">
        <v>0.3476</v>
      </c>
      <c r="G27" s="22">
        <f t="shared" si="4"/>
        <v>145008</v>
      </c>
      <c r="H27">
        <f t="shared" si="5"/>
        <v>130507.2</v>
      </c>
    </row>
    <row r="28" spans="2:8" ht="12.75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</v>
      </c>
      <c r="G28" s="22">
        <f t="shared" si="4"/>
        <v>85440</v>
      </c>
      <c r="H28">
        <f t="shared" si="5"/>
        <v>76896</v>
      </c>
    </row>
    <row r="29" spans="2:8" ht="12.75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</v>
      </c>
      <c r="G29" s="22">
        <f t="shared" si="4"/>
        <v>5214</v>
      </c>
      <c r="H29">
        <f t="shared" si="5"/>
        <v>4692.6</v>
      </c>
    </row>
    <row r="30" spans="2:8" ht="12.75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</v>
      </c>
      <c r="G30" s="22">
        <f t="shared" si="4"/>
        <v>-10949</v>
      </c>
      <c r="H30">
        <f t="shared" si="5"/>
        <v>-9854.1</v>
      </c>
    </row>
    <row r="31" spans="2:8" ht="12.75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</v>
      </c>
      <c r="G31" s="22">
        <f t="shared" si="4"/>
        <v>-87</v>
      </c>
      <c r="H31">
        <f t="shared" si="5"/>
        <v>-78.3</v>
      </c>
    </row>
    <row r="32" spans="2:8" ht="12.75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</v>
      </c>
      <c r="G32" s="22">
        <f t="shared" si="4"/>
        <v>141995</v>
      </c>
      <c r="H32">
        <f t="shared" si="5"/>
        <v>127795.5</v>
      </c>
    </row>
    <row r="33" spans="2:8" ht="12.75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</v>
      </c>
      <c r="G33" s="22">
        <f t="shared" si="4"/>
        <v>22577</v>
      </c>
      <c r="H33">
        <f t="shared" si="5"/>
        <v>20319.3</v>
      </c>
    </row>
    <row r="34" spans="2:8" ht="12.75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</v>
      </c>
      <c r="G34" s="22">
        <f t="shared" si="4"/>
        <v>162703</v>
      </c>
      <c r="H34">
        <f t="shared" si="5"/>
        <v>146432.7</v>
      </c>
    </row>
    <row r="35" spans="2:8" ht="12.75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 ht="12.75">
      <c r="B36" s="5"/>
      <c r="C36" s="5"/>
      <c r="D36" s="5"/>
      <c r="E36" s="182" t="s">
        <v>335</v>
      </c>
      <c r="F36" s="5"/>
      <c r="G36" s="182" t="s">
        <v>335</v>
      </c>
      <c r="H36" s="182" t="s">
        <v>335</v>
      </c>
    </row>
    <row r="38" spans="2:8" ht="16.5" thickBot="1">
      <c r="B38" s="425" t="s">
        <v>342</v>
      </c>
      <c r="C38" s="425"/>
      <c r="D38" s="425"/>
      <c r="E38" s="425"/>
      <c r="F38" s="425"/>
      <c r="G38" s="425"/>
      <c r="H38" s="425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 ht="12.75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0.3484</v>
      </c>
      <c r="G40" s="22">
        <f>+E40*F40</f>
        <v>0</v>
      </c>
      <c r="H40">
        <f>+G40*0.9</f>
        <v>0</v>
      </c>
    </row>
    <row r="41" spans="2:8" ht="12.75">
      <c r="B41" s="224">
        <v>41306</v>
      </c>
      <c r="C41" s="21">
        <f aca="true" t="shared" si="7" ref="C41:E51">+C24-C7</f>
        <v>0</v>
      </c>
      <c r="D41" s="21">
        <f t="shared" si="7"/>
        <v>0</v>
      </c>
      <c r="E41" s="21">
        <f t="shared" si="7"/>
        <v>0</v>
      </c>
      <c r="F41" s="223">
        <v>0.3484</v>
      </c>
      <c r="G41" s="22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0.3484</v>
      </c>
      <c r="G42" s="22">
        <f t="shared" si="8"/>
        <v>0</v>
      </c>
      <c r="H42">
        <f t="shared" si="9"/>
        <v>0</v>
      </c>
    </row>
    <row r="43" spans="2:8" ht="12.75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</v>
      </c>
      <c r="G43" s="22">
        <f t="shared" si="8"/>
        <v>13672</v>
      </c>
      <c r="H43">
        <f t="shared" si="9"/>
        <v>12304.8</v>
      </c>
    </row>
    <row r="44" spans="2:8" ht="12.75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</v>
      </c>
      <c r="G44" s="22">
        <f t="shared" si="8"/>
        <v>13672</v>
      </c>
      <c r="H44">
        <f t="shared" si="9"/>
        <v>12304.8</v>
      </c>
    </row>
    <row r="45" spans="2:8" ht="12.75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</v>
      </c>
      <c r="G45" s="22">
        <f t="shared" si="8"/>
        <v>13672</v>
      </c>
      <c r="H45">
        <f t="shared" si="9"/>
        <v>12304.8</v>
      </c>
    </row>
    <row r="46" spans="2:8" ht="12.75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</v>
      </c>
      <c r="G46" s="22">
        <f t="shared" si="8"/>
        <v>13672</v>
      </c>
      <c r="H46">
        <f t="shared" si="9"/>
        <v>12304.8</v>
      </c>
    </row>
    <row r="47" spans="2:8" ht="12.75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</v>
      </c>
      <c r="G47" s="22">
        <f t="shared" si="8"/>
        <v>13672</v>
      </c>
      <c r="H47">
        <f t="shared" si="9"/>
        <v>12304.8</v>
      </c>
    </row>
    <row r="48" spans="2:8" ht="12.75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</v>
      </c>
      <c r="G48" s="22">
        <f t="shared" si="8"/>
        <v>13672</v>
      </c>
      <c r="H48">
        <f t="shared" si="9"/>
        <v>12304.8</v>
      </c>
    </row>
    <row r="49" spans="2:8" ht="12.75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</v>
      </c>
      <c r="G49" s="22">
        <f t="shared" si="8"/>
        <v>13672</v>
      </c>
      <c r="H49">
        <f t="shared" si="9"/>
        <v>12304.8</v>
      </c>
    </row>
    <row r="50" spans="2:8" ht="12.75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</v>
      </c>
      <c r="G50" s="22">
        <f t="shared" si="8"/>
        <v>13672</v>
      </c>
      <c r="H50">
        <f t="shared" si="9"/>
        <v>12304.8</v>
      </c>
    </row>
    <row r="51" spans="2:8" ht="12.75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</v>
      </c>
      <c r="G51" s="22">
        <f t="shared" si="8"/>
        <v>13672</v>
      </c>
      <c r="H51">
        <f t="shared" si="9"/>
        <v>12304.8</v>
      </c>
    </row>
    <row r="52" spans="2:8" ht="12.75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 ht="12.75">
      <c r="B53" s="5"/>
      <c r="C53" s="5"/>
      <c r="D53" s="5"/>
      <c r="E53" s="182" t="s">
        <v>335</v>
      </c>
      <c r="F53" s="5"/>
      <c r="G53" s="182" t="s">
        <v>335</v>
      </c>
      <c r="H53" s="182" t="s">
        <v>335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00">
        <v>40972</v>
      </c>
    </row>
    <row r="3" spans="1:2" ht="12.75">
      <c r="A3" s="26" t="s">
        <v>277</v>
      </c>
      <c r="B3" s="26" t="s">
        <v>274</v>
      </c>
    </row>
    <row r="4" ht="12.75">
      <c r="B4" t="s">
        <v>270</v>
      </c>
    </row>
    <row r="5" ht="12.75">
      <c r="B5" t="s">
        <v>265</v>
      </c>
    </row>
    <row r="7" ht="12.75">
      <c r="B7" t="s">
        <v>267</v>
      </c>
    </row>
    <row r="8" ht="12.75">
      <c r="B8" t="s">
        <v>266</v>
      </c>
    </row>
    <row r="9" ht="12.75">
      <c r="B9" t="s">
        <v>268</v>
      </c>
    </row>
    <row r="10" ht="12.75">
      <c r="B10" t="s">
        <v>271</v>
      </c>
    </row>
    <row r="12" ht="12.75">
      <c r="B12" t="s">
        <v>269</v>
      </c>
    </row>
    <row r="13" ht="12.75">
      <c r="B13" t="s">
        <v>273</v>
      </c>
    </row>
    <row r="14" ht="12.75">
      <c r="B14" t="s">
        <v>272</v>
      </c>
    </row>
    <row r="16" ht="12.75">
      <c r="B16" s="26" t="s">
        <v>275</v>
      </c>
    </row>
    <row r="17" ht="12.75">
      <c r="B17" s="26" t="s">
        <v>276</v>
      </c>
    </row>
    <row r="19" spans="1:2" ht="12.75">
      <c r="A19" s="26" t="s">
        <v>278</v>
      </c>
      <c r="B19" s="2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Huff, Ashley (UTC)</cp:lastModifiedBy>
  <cp:lastPrinted>2017-12-07T15:49:44Z</cp:lastPrinted>
  <dcterms:created xsi:type="dcterms:W3CDTF">2002-02-05T19:51:48Z</dcterms:created>
  <dcterms:modified xsi:type="dcterms:W3CDTF">2018-01-16T21:55:39Z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December 2017 Power Cost Deferral Report and REC Report, Deferral Calculations </vt:lpwstr>
  </property>
  <property fmtid="{D5CDD505-2E9C-101B-9397-08002B2CF9AE}" pid="4" name="EFilingId">
    <vt:lpwstr>8630.00000000000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Avista Corporation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140188</vt:lpwstr>
  </property>
  <property fmtid="{D5CDD505-2E9C-101B-9397-08002B2CF9AE}" pid="13" name="Date1">
    <vt:lpwstr>2018-01-12T00:00:00Z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2014-02-04T00:00:00Z</vt:lpwstr>
  </property>
  <property fmtid="{D5CDD505-2E9C-101B-9397-08002B2CF9AE}" pid="16" name="Prefix">
    <vt:lpwstr>UE</vt:lpwstr>
  </property>
  <property fmtid="{D5CDD505-2E9C-101B-9397-08002B2CF9AE}" pid="17" name="Nickname">
    <vt:lpwstr/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