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49.xml" ContentType="application/vnd.openxmlformats-officedocument.spreadsheetml.externalLink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ariel\Non-Confidential Workpapers\"/>
    </mc:Choice>
  </mc:AlternateContent>
  <xr:revisionPtr revIDLastSave="0" documentId="13_ncr:1_{B87C6D58-417E-44DE-A419-CD6269C98AA5}" xr6:coauthVersionLast="47" xr6:coauthVersionMax="47" xr10:uidLastSave="{00000000-0000-0000-0000-000000000000}"/>
  <bookViews>
    <workbookView xWindow="19080" yWindow="480" windowWidth="19440" windowHeight="15000" tabRatio="777" xr2:uid="{00000000-000D-0000-FFFF-FFFF00000000}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Exhibit No. SLC-2 pg 1" sheetId="16" r:id="rId8"/>
    <sheet name="Exhibit No. SLC-2 pg 2 - 3" sheetId="15" r:id="rId9"/>
    <sheet name="Page 1.4" sheetId="12" r:id="rId10"/>
    <sheet name="Page 1.5" sheetId="10" r:id="rId11"/>
    <sheet name="Page 1.6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7">'Exhibit No. SLC-2 pg 1'!$A$1:$G$89</definedName>
    <definedName name="_xlnm.Print_Area" localSheetId="8">'Exhibit No. SLC-2 pg 2 - 3'!$A$1:$P$83</definedName>
    <definedName name="_xlnm.Print_Area" localSheetId="9">'Page 1.4'!$A$1:$K$80</definedName>
    <definedName name="_xlnm.Print_Area" localSheetId="10">'Page 1.5'!$A$1:$K$80</definedName>
    <definedName name="_xlnm.Print_Area" localSheetId="11">'Page 1.6'!$A$1:$K$80</definedName>
    <definedName name="_xlnm.Print_Area" localSheetId="3">'Pro Forma Adj'!$B$7:$BF$87</definedName>
    <definedName name="_xlnm.Print_Area" localSheetId="2">'Restating Adj'!$B$7:$BF$87</definedName>
    <definedName name="_xlnm.Print_Area" localSheetId="0">Summary!$A$1:$N$84</definedName>
    <definedName name="_xlnm.Print_Area" localSheetId="1">'Total Adj'!$B$7:$BF$87</definedName>
    <definedName name="_xlnm.Print_Titles" localSheetId="8">'Exhibit No. SLC-2 pg 2 - 3'!$A:$B,'Exhibit No. SLC-2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1" l="1"/>
  <c r="P78" i="1"/>
  <c r="P59" i="1"/>
  <c r="P35" i="1"/>
  <c r="P28" i="1"/>
  <c r="Q25" i="17"/>
  <c r="R24" i="17"/>
  <c r="R23" i="17"/>
  <c r="R21" i="17"/>
  <c r="F37" i="1"/>
  <c r="F28" i="1"/>
  <c r="F26" i="1"/>
  <c r="H28" i="17"/>
  <c r="H26" i="17"/>
  <c r="H25" i="17"/>
  <c r="H24" i="17"/>
  <c r="H23" i="17"/>
  <c r="H22" i="17"/>
  <c r="H21" i="17"/>
  <c r="H19" i="17"/>
  <c r="G28" i="1"/>
  <c r="G26" i="1"/>
  <c r="G25" i="1"/>
  <c r="G24" i="1"/>
  <c r="G23" i="1"/>
  <c r="G22" i="1"/>
  <c r="G21" i="1"/>
  <c r="G19" i="1"/>
  <c r="I28" i="17"/>
  <c r="I28" i="1"/>
  <c r="J59" i="17"/>
  <c r="J28" i="17"/>
  <c r="K28" i="1"/>
  <c r="K26" i="1"/>
  <c r="L28" i="1"/>
  <c r="M28" i="1"/>
  <c r="M25" i="1"/>
  <c r="N28" i="1"/>
  <c r="N22" i="1"/>
  <c r="S22" i="1"/>
  <c r="T23" i="17"/>
  <c r="T22" i="17"/>
  <c r="T19" i="17"/>
  <c r="T14" i="17"/>
  <c r="U15" i="17"/>
  <c r="O21" i="1"/>
  <c r="E15" i="17"/>
  <c r="E15" i="1"/>
  <c r="D12" i="1"/>
  <c r="C12" i="1"/>
  <c r="V22" i="17"/>
  <c r="W28" i="17"/>
  <c r="Y58" i="17"/>
  <c r="Y57" i="17"/>
  <c r="X31" i="17"/>
  <c r="X30" i="17"/>
  <c r="Z58" i="1"/>
  <c r="Z57" i="1" s="1"/>
  <c r="AA63" i="17"/>
  <c r="AA59" i="17"/>
  <c r="AA35" i="17"/>
  <c r="AA78" i="1"/>
  <c r="AA31" i="1"/>
  <c r="AA19" i="1"/>
  <c r="AK32" i="17"/>
  <c r="AD86" i="17"/>
  <c r="AD86" i="1"/>
  <c r="AE79" i="17"/>
  <c r="AE78" i="17"/>
  <c r="AE59" i="17"/>
  <c r="AE35" i="17"/>
  <c r="AE79" i="1"/>
  <c r="AE78" i="1"/>
  <c r="AE59" i="1"/>
  <c r="AE35" i="1"/>
  <c r="AF86" i="17"/>
  <c r="AF79" i="17"/>
  <c r="AF78" i="17"/>
  <c r="AG59" i="17"/>
  <c r="AG35" i="17"/>
  <c r="AH32" i="1"/>
  <c r="AI63" i="17"/>
  <c r="AI59" i="17"/>
  <c r="AI35" i="17"/>
  <c r="AI63" i="1"/>
  <c r="AI59" i="1"/>
  <c r="AJ32" i="17"/>
  <c r="AU78" i="17"/>
  <c r="AU59" i="17"/>
  <c r="AU45" i="17"/>
  <c r="AU35" i="17"/>
  <c r="AU31" i="17"/>
  <c r="AU57" i="1"/>
  <c r="AU43" i="1"/>
  <c r="AU21" i="1"/>
  <c r="AV57" i="17"/>
  <c r="AV43" i="17"/>
  <c r="AV30" i="17"/>
  <c r="AV22" i="17"/>
  <c r="AW57" i="17"/>
  <c r="AW43" i="17"/>
  <c r="AW30" i="17"/>
  <c r="AL43" i="1"/>
  <c r="AC32" i="17"/>
  <c r="AM79" i="17"/>
  <c r="AM78" i="17"/>
  <c r="AM63" i="17"/>
  <c r="AM59" i="17"/>
  <c r="AM45" i="17"/>
  <c r="AM35" i="17"/>
  <c r="AM31" i="17"/>
  <c r="AN61" i="1"/>
  <c r="AO79" i="17"/>
  <c r="AO78" i="17"/>
  <c r="AO59" i="17"/>
  <c r="AO43" i="17"/>
  <c r="AO35" i="17"/>
  <c r="AP63" i="1"/>
  <c r="AP51" i="1"/>
  <c r="AP50" i="1"/>
  <c r="AP49" i="1"/>
  <c r="AP48" i="1"/>
  <c r="AP45" i="1"/>
  <c r="AQ62" i="1"/>
  <c r="AQ37" i="1"/>
  <c r="AR51" i="1"/>
  <c r="AT59" i="1"/>
  <c r="AT57" i="1"/>
  <c r="AT43" i="1"/>
  <c r="AX86" i="17"/>
  <c r="AX57" i="17"/>
  <c r="AX43" i="17"/>
  <c r="AX32" i="17"/>
  <c r="AX30" i="17"/>
  <c r="AX23" i="17"/>
  <c r="AX22" i="17"/>
  <c r="AX21" i="17"/>
  <c r="AX19" i="17"/>
  <c r="AX15" i="17"/>
  <c r="AX14" i="17"/>
  <c r="BF15" i="17"/>
  <c r="BE79" i="17"/>
  <c r="BE78" i="17"/>
  <c r="BE59" i="17"/>
  <c r="BE57" i="17"/>
  <c r="BE43" i="17"/>
  <c r="BE35" i="17"/>
  <c r="BE30" i="17"/>
  <c r="BD79" i="17"/>
  <c r="BD78" i="17"/>
  <c r="BD59" i="17"/>
  <c r="BD57" i="17"/>
  <c r="BD43" i="17"/>
  <c r="BD35" i="17"/>
  <c r="BD30" i="17"/>
  <c r="BC78" i="17"/>
  <c r="BC59" i="17"/>
  <c r="BC57" i="17"/>
  <c r="BC43" i="17"/>
  <c r="BC35" i="17"/>
  <c r="BC30" i="17"/>
  <c r="BB59" i="17"/>
  <c r="BB57" i="17"/>
  <c r="BB43" i="17"/>
  <c r="BB57" i="1"/>
  <c r="BB45" i="1"/>
  <c r="BB43" i="1"/>
  <c r="BA79" i="1"/>
  <c r="BA59" i="1"/>
  <c r="BA57" i="1"/>
  <c r="BA43" i="1"/>
  <c r="BA35" i="1"/>
  <c r="BA32" i="1"/>
  <c r="BA28" i="1"/>
  <c r="BA19" i="1"/>
  <c r="AZ30" i="17"/>
  <c r="AZ78" i="1"/>
  <c r="AZ59" i="1"/>
  <c r="AZ57" i="1"/>
  <c r="AZ43" i="1"/>
  <c r="AZ35" i="1"/>
  <c r="AY57" i="1"/>
  <c r="AY43" i="1"/>
  <c r="W83" i="5"/>
  <c r="S83" i="5"/>
  <c r="O83" i="5"/>
  <c r="K83" i="5"/>
  <c r="G83" i="5"/>
  <c r="C83" i="5"/>
  <c r="W79" i="5"/>
  <c r="W76" i="5"/>
  <c r="W74" i="5"/>
  <c r="W73" i="5"/>
  <c r="W72" i="5"/>
  <c r="W71" i="5"/>
  <c r="W70" i="5"/>
  <c r="W64" i="5"/>
  <c r="W62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B93" i="13"/>
  <c r="AY93" i="13"/>
  <c r="AT93" i="13"/>
  <c r="AS93" i="13"/>
  <c r="AR93" i="13"/>
  <c r="AP93" i="13"/>
  <c r="AN93" i="13"/>
  <c r="AL93" i="13"/>
  <c r="AI93" i="13"/>
  <c r="AG93" i="13"/>
  <c r="Z93" i="13"/>
  <c r="Y93" i="13"/>
  <c r="AS90" i="13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D10" i="3"/>
  <c r="C10" i="3"/>
  <c r="D9" i="3"/>
  <c r="C9" i="3"/>
  <c r="D8" i="3"/>
  <c r="C8" i="3"/>
  <c r="D24" i="3"/>
  <c r="D23" i="3"/>
  <c r="D22" i="3"/>
  <c r="D21" i="3"/>
  <c r="D20" i="3"/>
  <c r="K39" i="10" l="1"/>
  <c r="K53" i="11"/>
  <c r="K51" i="11"/>
  <c r="K37" i="11"/>
  <c r="K29" i="10"/>
  <c r="K13" i="10"/>
  <c r="K24" i="11"/>
  <c r="A67" i="16"/>
  <c r="A68" i="16" s="1"/>
  <c r="A69" i="16" s="1"/>
  <c r="A70" i="16" s="1"/>
  <c r="A71" i="16" s="1"/>
  <c r="AY9" i="17"/>
  <c r="L80" i="15"/>
  <c r="L63" i="15"/>
  <c r="L33" i="15"/>
  <c r="C75" i="12"/>
  <c r="K75" i="12"/>
  <c r="K69" i="12"/>
  <c r="L74" i="15" s="1"/>
  <c r="K28" i="12"/>
  <c r="K25" i="12"/>
  <c r="L30" i="15" s="1"/>
  <c r="C75" i="11"/>
  <c r="K79" i="11"/>
  <c r="K79" i="12" s="1"/>
  <c r="K72" i="11"/>
  <c r="K71" i="11"/>
  <c r="K70" i="11"/>
  <c r="K69" i="11"/>
  <c r="K68" i="11"/>
  <c r="K57" i="11"/>
  <c r="K56" i="11"/>
  <c r="K55" i="11"/>
  <c r="K54" i="11"/>
  <c r="K52" i="11"/>
  <c r="K47" i="11"/>
  <c r="K46" i="11"/>
  <c r="K45" i="11"/>
  <c r="K44" i="11"/>
  <c r="K44" i="12" s="1"/>
  <c r="L49" i="15" s="1"/>
  <c r="K43" i="11"/>
  <c r="K42" i="11"/>
  <c r="K42" i="12" s="1"/>
  <c r="L47" i="15" s="1"/>
  <c r="K41" i="11"/>
  <c r="K40" i="11"/>
  <c r="K39" i="11"/>
  <c r="K38" i="11"/>
  <c r="K31" i="11"/>
  <c r="K31" i="12" s="1"/>
  <c r="L36" i="15" s="1"/>
  <c r="K30" i="11"/>
  <c r="K29" i="11"/>
  <c r="K28" i="11"/>
  <c r="K26" i="11"/>
  <c r="K25" i="11"/>
  <c r="K22" i="11"/>
  <c r="K21" i="11"/>
  <c r="K21" i="12" s="1"/>
  <c r="L26" i="15" s="1"/>
  <c r="K20" i="11"/>
  <c r="K19" i="11"/>
  <c r="K19" i="12" s="1"/>
  <c r="L24" i="15" s="1"/>
  <c r="K18" i="11"/>
  <c r="K17" i="11"/>
  <c r="K16" i="11"/>
  <c r="K16" i="12" s="1"/>
  <c r="L21" i="15" s="1"/>
  <c r="K15" i="11"/>
  <c r="K14" i="11"/>
  <c r="K13" i="11"/>
  <c r="K23" i="11" s="1"/>
  <c r="K9" i="11"/>
  <c r="K8" i="11"/>
  <c r="K8" i="12" s="1"/>
  <c r="L13" i="15" s="1"/>
  <c r="K7" i="11"/>
  <c r="K6" i="11"/>
  <c r="J72" i="11"/>
  <c r="J71" i="11"/>
  <c r="J70" i="11"/>
  <c r="J69" i="11"/>
  <c r="J68" i="11"/>
  <c r="J57" i="11"/>
  <c r="J56" i="11"/>
  <c r="J55" i="11"/>
  <c r="J54" i="11"/>
  <c r="J53" i="11"/>
  <c r="J52" i="11"/>
  <c r="J47" i="11"/>
  <c r="J46" i="11"/>
  <c r="J45" i="11"/>
  <c r="J44" i="11"/>
  <c r="J43" i="11"/>
  <c r="J42" i="11"/>
  <c r="J41" i="11"/>
  <c r="J40" i="11"/>
  <c r="J39" i="11"/>
  <c r="J38" i="11"/>
  <c r="J31" i="11"/>
  <c r="J30" i="11"/>
  <c r="J29" i="11"/>
  <c r="J28" i="11"/>
  <c r="J25" i="11"/>
  <c r="J22" i="11"/>
  <c r="J21" i="11"/>
  <c r="J20" i="11"/>
  <c r="J19" i="11"/>
  <c r="J18" i="11"/>
  <c r="J14" i="11"/>
  <c r="J7" i="11"/>
  <c r="J6" i="11"/>
  <c r="K75" i="11"/>
  <c r="K72" i="10"/>
  <c r="K71" i="10"/>
  <c r="K70" i="10"/>
  <c r="K70" i="12" s="1"/>
  <c r="L75" i="15" s="1"/>
  <c r="K69" i="10"/>
  <c r="K68" i="10"/>
  <c r="K68" i="12" s="1"/>
  <c r="L73" i="15" s="1"/>
  <c r="J72" i="10"/>
  <c r="J71" i="10"/>
  <c r="J70" i="10"/>
  <c r="J69" i="10"/>
  <c r="J68" i="10"/>
  <c r="C75" i="10"/>
  <c r="K58" i="10"/>
  <c r="K57" i="10"/>
  <c r="K57" i="12" s="1"/>
  <c r="L62" i="15" s="1"/>
  <c r="K56" i="10"/>
  <c r="K56" i="12" s="1"/>
  <c r="L61" i="15" s="1"/>
  <c r="K55" i="10"/>
  <c r="K55" i="12" s="1"/>
  <c r="L60" i="15" s="1"/>
  <c r="K54" i="10"/>
  <c r="K53" i="10"/>
  <c r="K52" i="10"/>
  <c r="K52" i="12" s="1"/>
  <c r="L57" i="15" s="1"/>
  <c r="K51" i="10"/>
  <c r="K47" i="10"/>
  <c r="K46" i="10"/>
  <c r="K46" i="12" s="1"/>
  <c r="L51" i="15" s="1"/>
  <c r="K45" i="10"/>
  <c r="K44" i="10"/>
  <c r="K43" i="10"/>
  <c r="K42" i="10"/>
  <c r="K41" i="10"/>
  <c r="K41" i="12" s="1"/>
  <c r="L46" i="15" s="1"/>
  <c r="K40" i="10"/>
  <c r="K40" i="12" s="1"/>
  <c r="L45" i="15" s="1"/>
  <c r="K38" i="10"/>
  <c r="K38" i="12" s="1"/>
  <c r="L43" i="15" s="1"/>
  <c r="K31" i="10"/>
  <c r="K30" i="10"/>
  <c r="K28" i="10"/>
  <c r="K26" i="10"/>
  <c r="K26" i="12" s="1"/>
  <c r="L31" i="15" s="1"/>
  <c r="K25" i="10"/>
  <c r="K24" i="10"/>
  <c r="K22" i="10"/>
  <c r="K22" i="12" s="1"/>
  <c r="L27" i="15" s="1"/>
  <c r="K21" i="10"/>
  <c r="K20" i="10"/>
  <c r="K20" i="12" s="1"/>
  <c r="L25" i="15" s="1"/>
  <c r="K19" i="10"/>
  <c r="K18" i="10"/>
  <c r="K18" i="12" s="1"/>
  <c r="L23" i="15" s="1"/>
  <c r="K17" i="10"/>
  <c r="K17" i="12" s="1"/>
  <c r="L22" i="15" s="1"/>
  <c r="K16" i="10"/>
  <c r="K15" i="10"/>
  <c r="K14" i="10"/>
  <c r="K14" i="12" s="1"/>
  <c r="L19" i="15" s="1"/>
  <c r="K9" i="10"/>
  <c r="K8" i="10"/>
  <c r="K7" i="10"/>
  <c r="K7" i="12" s="1"/>
  <c r="L12" i="15" s="1"/>
  <c r="K6" i="10"/>
  <c r="K6" i="12" s="1"/>
  <c r="K75" i="10"/>
  <c r="J57" i="10"/>
  <c r="J56" i="10"/>
  <c r="J55" i="10"/>
  <c r="J54" i="10"/>
  <c r="J53" i="10"/>
  <c r="J52" i="10"/>
  <c r="J51" i="10"/>
  <c r="J47" i="10"/>
  <c r="J46" i="10"/>
  <c r="J45" i="10"/>
  <c r="J44" i="10"/>
  <c r="J43" i="10"/>
  <c r="J42" i="10"/>
  <c r="J41" i="10"/>
  <c r="J40" i="10"/>
  <c r="J39" i="10"/>
  <c r="J38" i="10"/>
  <c r="J37" i="10"/>
  <c r="J31" i="10"/>
  <c r="J30" i="10"/>
  <c r="J29" i="10"/>
  <c r="J28" i="10"/>
  <c r="J26" i="10"/>
  <c r="J25" i="10"/>
  <c r="J24" i="10"/>
  <c r="J22" i="10"/>
  <c r="J21" i="10"/>
  <c r="J20" i="10"/>
  <c r="J19" i="10"/>
  <c r="J18" i="10"/>
  <c r="J17" i="10"/>
  <c r="J16" i="10"/>
  <c r="J15" i="10"/>
  <c r="J14" i="10"/>
  <c r="J13" i="10"/>
  <c r="J9" i="10"/>
  <c r="J8" i="10"/>
  <c r="J7" i="10"/>
  <c r="J6" i="10"/>
  <c r="C28" i="12"/>
  <c r="K10" i="11" l="1"/>
  <c r="K9" i="12"/>
  <c r="L14" i="15" s="1"/>
  <c r="K71" i="12"/>
  <c r="L76" i="15" s="1"/>
  <c r="K29" i="12"/>
  <c r="L34" i="15" s="1"/>
  <c r="K47" i="12"/>
  <c r="L52" i="15" s="1"/>
  <c r="K51" i="12"/>
  <c r="L56" i="15" s="1"/>
  <c r="K39" i="12"/>
  <c r="L44" i="15" s="1"/>
  <c r="K37" i="10"/>
  <c r="K37" i="12" s="1"/>
  <c r="L42" i="15" s="1"/>
  <c r="K53" i="12"/>
  <c r="L58" i="15" s="1"/>
  <c r="K48" i="11"/>
  <c r="K59" i="11"/>
  <c r="K72" i="12"/>
  <c r="L77" i="15" s="1"/>
  <c r="K54" i="12"/>
  <c r="L59" i="15" s="1"/>
  <c r="K13" i="12"/>
  <c r="K23" i="12" s="1"/>
  <c r="K43" i="12"/>
  <c r="L48" i="15" s="1"/>
  <c r="K45" i="12"/>
  <c r="L50" i="15" s="1"/>
  <c r="K30" i="12"/>
  <c r="L35" i="15" s="1"/>
  <c r="K15" i="12"/>
  <c r="L20" i="15" s="1"/>
  <c r="K24" i="12"/>
  <c r="L29" i="15" s="1"/>
  <c r="K10" i="12"/>
  <c r="L11" i="15"/>
  <c r="L15" i="15" s="1"/>
  <c r="K10" i="10"/>
  <c r="K23" i="10"/>
  <c r="K59" i="10"/>
  <c r="K67" i="11"/>
  <c r="K73" i="11" s="1"/>
  <c r="K76" i="11" s="1"/>
  <c r="K78" i="11" s="1"/>
  <c r="K80" i="11" s="1"/>
  <c r="K67" i="10" l="1"/>
  <c r="K73" i="10" s="1"/>
  <c r="K76" i="10" s="1"/>
  <c r="K78" i="10" s="1"/>
  <c r="K80" i="10" s="1"/>
  <c r="K27" i="10" s="1"/>
  <c r="K32" i="10" s="1"/>
  <c r="K34" i="10" s="1"/>
  <c r="K48" i="10"/>
  <c r="K67" i="12"/>
  <c r="K73" i="12" s="1"/>
  <c r="L53" i="15"/>
  <c r="L64" i="15"/>
  <c r="K59" i="12"/>
  <c r="L18" i="15"/>
  <c r="L28" i="15" s="1"/>
  <c r="K61" i="10"/>
  <c r="K48" i="12"/>
  <c r="K61" i="11"/>
  <c r="K61" i="12" l="1"/>
  <c r="L72" i="15"/>
  <c r="L66" i="15"/>
  <c r="K76" i="12"/>
  <c r="L78" i="15"/>
  <c r="K78" i="12" l="1"/>
  <c r="K80" i="12" s="1"/>
  <c r="L81" i="15"/>
  <c r="K27" i="12" l="1"/>
  <c r="L83" i="15"/>
  <c r="K32" i="12" l="1"/>
  <c r="K34" i="12" s="1"/>
  <c r="L32" i="15"/>
  <c r="L37" i="15" s="1"/>
  <c r="L39" i="15" s="1"/>
  <c r="J79" i="11" l="1"/>
  <c r="J51" i="11"/>
  <c r="J37" i="11"/>
  <c r="J26" i="11" l="1"/>
  <c r="J24" i="11"/>
  <c r="J16" i="11"/>
  <c r="J17" i="11"/>
  <c r="J15" i="11"/>
  <c r="J13" i="11"/>
  <c r="J9" i="11"/>
  <c r="J8" i="11"/>
  <c r="B19" i="1" l="1"/>
  <c r="E9" i="3" l="1"/>
  <c r="E10" i="3" l="1"/>
  <c r="E11" i="3" s="1"/>
  <c r="E8" i="3"/>
  <c r="B31" i="17" l="1"/>
  <c r="B51" i="1" l="1"/>
  <c r="Q25" i="13" l="1"/>
  <c r="P29" i="1" l="1"/>
  <c r="B82" i="13" l="1"/>
  <c r="B18" i="13"/>
  <c r="B82" i="17"/>
  <c r="B76" i="17"/>
  <c r="B75" i="17"/>
  <c r="B66" i="17"/>
  <c r="B64" i="17"/>
  <c r="B62" i="17"/>
  <c r="B61" i="17"/>
  <c r="B60" i="17"/>
  <c r="B52" i="17"/>
  <c r="B51" i="17"/>
  <c r="B50" i="17"/>
  <c r="B49" i="17"/>
  <c r="B48" i="17"/>
  <c r="B47" i="17"/>
  <c r="B46" i="17"/>
  <c r="B45" i="17"/>
  <c r="B44" i="17"/>
  <c r="B37" i="17"/>
  <c r="B36" i="17"/>
  <c r="B34" i="17"/>
  <c r="B27" i="17"/>
  <c r="B20" i="17"/>
  <c r="B14" i="17"/>
  <c r="B13" i="17"/>
  <c r="B12" i="17"/>
  <c r="B86" i="1"/>
  <c r="B82" i="1"/>
  <c r="B76" i="1"/>
  <c r="B75" i="1"/>
  <c r="B64" i="1"/>
  <c r="B61" i="1"/>
  <c r="B60" i="1"/>
  <c r="B52" i="1"/>
  <c r="B50" i="1"/>
  <c r="B49" i="1"/>
  <c r="B48" i="1"/>
  <c r="B47" i="1"/>
  <c r="B46" i="1"/>
  <c r="B45" i="1"/>
  <c r="B44" i="1"/>
  <c r="B36" i="1"/>
  <c r="B34" i="1"/>
  <c r="B27" i="1"/>
  <c r="B20" i="1"/>
  <c r="B14" i="1"/>
  <c r="B13" i="1"/>
  <c r="B32" i="1" l="1"/>
  <c r="B30" i="1" l="1"/>
  <c r="BF54" i="1"/>
  <c r="BE54" i="1"/>
  <c r="BD54" i="1"/>
  <c r="BC54" i="1"/>
  <c r="BB54" i="1"/>
  <c r="BA54" i="1"/>
  <c r="AX54" i="1"/>
  <c r="BF65" i="1"/>
  <c r="BE65" i="1"/>
  <c r="BD65" i="1"/>
  <c r="BC65" i="1"/>
  <c r="BB65" i="1"/>
  <c r="AX65" i="1"/>
  <c r="AY65" i="1"/>
  <c r="AY54" i="1"/>
  <c r="B43" i="17" l="1"/>
  <c r="B62" i="1" l="1"/>
  <c r="B53" i="1" l="1"/>
  <c r="B63" i="1" l="1"/>
  <c r="B86" i="17" l="1"/>
  <c r="B79" i="17"/>
  <c r="B78" i="17"/>
  <c r="B32" i="17" l="1"/>
  <c r="B59" i="17"/>
  <c r="B35" i="17"/>
  <c r="B63" i="17"/>
  <c r="B31" i="1"/>
  <c r="B57" i="17" l="1"/>
  <c r="B58" i="17"/>
  <c r="B58" i="1" l="1"/>
  <c r="B79" i="1" l="1"/>
  <c r="B78" i="1"/>
  <c r="B59" i="1"/>
  <c r="B35" i="1"/>
  <c r="B53" i="17" l="1"/>
  <c r="B28" i="17" l="1"/>
  <c r="B26" i="17"/>
  <c r="B25" i="17"/>
  <c r="B24" i="17"/>
  <c r="B23" i="17"/>
  <c r="B22" i="17"/>
  <c r="B21" i="17"/>
  <c r="B19" i="17"/>
  <c r="B26" i="1"/>
  <c r="B25" i="1"/>
  <c r="B24" i="1"/>
  <c r="B23" i="1"/>
  <c r="B22" i="1"/>
  <c r="B21" i="1" l="1"/>
  <c r="G29" i="1"/>
  <c r="B28" i="1"/>
  <c r="B37" i="1"/>
  <c r="B15" i="17" l="1"/>
  <c r="B15" i="1"/>
  <c r="BE86" i="13" l="1"/>
  <c r="BD86" i="13"/>
  <c r="BC86" i="13"/>
  <c r="BB86" i="13"/>
  <c r="BE79" i="13"/>
  <c r="BD79" i="13"/>
  <c r="BC79" i="13"/>
  <c r="BB79" i="13"/>
  <c r="BE78" i="13"/>
  <c r="BD78" i="13"/>
  <c r="BC78" i="13"/>
  <c r="BB78" i="13"/>
  <c r="BE77" i="13"/>
  <c r="BD77" i="13"/>
  <c r="BC77" i="13"/>
  <c r="BB77" i="13"/>
  <c r="BE76" i="13"/>
  <c r="BD76" i="13"/>
  <c r="BC76" i="13"/>
  <c r="BB76" i="13"/>
  <c r="BE75" i="13"/>
  <c r="BD75" i="13"/>
  <c r="BC75" i="13"/>
  <c r="BB75" i="13"/>
  <c r="BE64" i="13"/>
  <c r="BD64" i="13"/>
  <c r="BC64" i="13"/>
  <c r="BB64" i="13"/>
  <c r="BE63" i="13"/>
  <c r="BD63" i="13"/>
  <c r="BC63" i="13"/>
  <c r="BB63" i="13"/>
  <c r="BE62" i="13"/>
  <c r="BD62" i="13"/>
  <c r="BC62" i="13"/>
  <c r="BB62" i="13"/>
  <c r="BE61" i="13"/>
  <c r="BD61" i="13"/>
  <c r="BC61" i="13"/>
  <c r="BB61" i="13"/>
  <c r="BE60" i="13"/>
  <c r="BD60" i="13"/>
  <c r="BC60" i="13"/>
  <c r="BB60" i="13"/>
  <c r="BE59" i="13"/>
  <c r="BD59" i="13"/>
  <c r="BC59" i="13"/>
  <c r="BB59" i="13"/>
  <c r="BE58" i="13"/>
  <c r="BD58" i="13"/>
  <c r="BC58" i="13"/>
  <c r="BB58" i="13"/>
  <c r="BE57" i="13"/>
  <c r="BD57" i="13"/>
  <c r="BC57" i="13"/>
  <c r="BB57" i="13"/>
  <c r="BE53" i="13"/>
  <c r="BD53" i="13"/>
  <c r="BC53" i="13"/>
  <c r="BB53" i="13"/>
  <c r="BE52" i="13"/>
  <c r="BD52" i="13"/>
  <c r="BC52" i="13"/>
  <c r="BB52" i="13"/>
  <c r="BE51" i="13"/>
  <c r="BD51" i="13"/>
  <c r="BC51" i="13"/>
  <c r="BB51" i="13"/>
  <c r="BE50" i="13"/>
  <c r="BD50" i="13"/>
  <c r="BC50" i="13"/>
  <c r="BB50" i="13"/>
  <c r="BE49" i="13"/>
  <c r="BD49" i="13"/>
  <c r="BC49" i="13"/>
  <c r="BB49" i="13"/>
  <c r="BE48" i="13"/>
  <c r="BD48" i="13"/>
  <c r="BC48" i="13"/>
  <c r="BB48" i="13"/>
  <c r="BE47" i="13"/>
  <c r="BD47" i="13"/>
  <c r="BC47" i="13"/>
  <c r="BB47" i="13"/>
  <c r="BE46" i="13"/>
  <c r="BD46" i="13"/>
  <c r="BC46" i="13"/>
  <c r="BB46" i="13"/>
  <c r="BE45" i="13"/>
  <c r="BD45" i="13"/>
  <c r="BC45" i="13"/>
  <c r="BB45" i="13"/>
  <c r="BE44" i="13"/>
  <c r="BD44" i="13"/>
  <c r="BD54" i="13" s="1"/>
  <c r="BC44" i="13"/>
  <c r="BB44" i="13"/>
  <c r="BE43" i="13"/>
  <c r="BD43" i="13"/>
  <c r="BC43" i="13"/>
  <c r="BB43" i="13"/>
  <c r="BE37" i="13"/>
  <c r="BD37" i="13"/>
  <c r="BC37" i="13"/>
  <c r="BB37" i="13"/>
  <c r="BE36" i="13"/>
  <c r="BD36" i="13"/>
  <c r="BC36" i="13"/>
  <c r="BB36" i="13"/>
  <c r="BE35" i="13"/>
  <c r="BD35" i="13"/>
  <c r="BC35" i="13"/>
  <c r="BB35" i="13"/>
  <c r="BE34" i="13"/>
  <c r="BD34" i="13"/>
  <c r="BC34" i="13"/>
  <c r="BB34" i="13"/>
  <c r="BE32" i="13"/>
  <c r="BD32" i="13"/>
  <c r="BC32" i="13"/>
  <c r="BB32" i="13"/>
  <c r="BE31" i="13"/>
  <c r="BD31" i="13"/>
  <c r="BC31" i="13"/>
  <c r="BB31" i="13"/>
  <c r="BE30" i="13"/>
  <c r="BD30" i="13"/>
  <c r="BC30" i="13"/>
  <c r="BB30" i="13"/>
  <c r="BE28" i="13"/>
  <c r="BD28" i="13"/>
  <c r="BC28" i="13"/>
  <c r="BB28" i="13"/>
  <c r="BE27" i="13"/>
  <c r="BD27" i="13"/>
  <c r="BC27" i="13"/>
  <c r="BB27" i="13"/>
  <c r="BE26" i="13"/>
  <c r="BD26" i="13"/>
  <c r="BC26" i="13"/>
  <c r="BB26" i="13"/>
  <c r="BE25" i="13"/>
  <c r="BD25" i="13"/>
  <c r="BC25" i="13"/>
  <c r="BB25" i="13"/>
  <c r="BE24" i="13"/>
  <c r="BD24" i="13"/>
  <c r="BC24" i="13"/>
  <c r="BB24" i="13"/>
  <c r="BE23" i="13"/>
  <c r="BD23" i="13"/>
  <c r="BC23" i="13"/>
  <c r="BB23" i="13"/>
  <c r="BE22" i="13"/>
  <c r="BD22" i="13"/>
  <c r="BC22" i="13"/>
  <c r="BB22" i="13"/>
  <c r="BE21" i="13"/>
  <c r="BD21" i="13"/>
  <c r="BC21" i="13"/>
  <c r="BB21" i="13"/>
  <c r="BE20" i="13"/>
  <c r="BD20" i="13"/>
  <c r="BC20" i="13"/>
  <c r="BB20" i="13"/>
  <c r="BE19" i="13"/>
  <c r="BE29" i="13" s="1"/>
  <c r="BD19" i="13"/>
  <c r="BC19" i="13"/>
  <c r="BB19" i="13"/>
  <c r="BE15" i="13"/>
  <c r="BD15" i="13"/>
  <c r="BC15" i="13"/>
  <c r="BB15" i="13"/>
  <c r="BE14" i="13"/>
  <c r="BD14" i="13"/>
  <c r="BC14" i="13"/>
  <c r="BB14" i="13"/>
  <c r="BE13" i="13"/>
  <c r="BD13" i="13"/>
  <c r="BC13" i="13"/>
  <c r="BB13" i="13"/>
  <c r="BE12" i="13"/>
  <c r="BE16" i="13" s="1"/>
  <c r="BD12" i="13"/>
  <c r="BC12" i="13"/>
  <c r="BB12" i="13"/>
  <c r="BE9" i="13"/>
  <c r="BD9" i="13"/>
  <c r="BC9" i="13"/>
  <c r="BB9" i="13"/>
  <c r="BE8" i="13"/>
  <c r="BD8" i="13"/>
  <c r="BC8" i="13"/>
  <c r="BB8" i="13"/>
  <c r="BC65" i="13" l="1"/>
  <c r="BD16" i="13"/>
  <c r="BC54" i="13"/>
  <c r="BC67" i="13" s="1"/>
  <c r="BB16" i="13"/>
  <c r="BB29" i="13"/>
  <c r="BC16" i="13"/>
  <c r="BC29" i="13"/>
  <c r="BE54" i="13"/>
  <c r="BE67" i="13" s="1"/>
  <c r="BD29" i="13"/>
  <c r="BB65" i="13"/>
  <c r="BE65" i="13"/>
  <c r="BD65" i="13"/>
  <c r="BD67" i="13" s="1"/>
  <c r="BB54" i="13"/>
  <c r="BE74" i="13"/>
  <c r="BE80" i="13" s="1"/>
  <c r="BE83" i="13" s="1"/>
  <c r="BE85" i="13" s="1"/>
  <c r="BE87" i="13" s="1"/>
  <c r="BE93" i="13" s="1"/>
  <c r="BF86" i="13"/>
  <c r="BF79" i="13"/>
  <c r="BF78" i="13"/>
  <c r="BF77" i="13"/>
  <c r="BF76" i="13"/>
  <c r="BF75" i="13"/>
  <c r="BF64" i="13"/>
  <c r="BF63" i="13"/>
  <c r="BF62" i="13"/>
  <c r="BF61" i="13"/>
  <c r="BF60" i="13"/>
  <c r="BF59" i="13"/>
  <c r="BF58" i="13"/>
  <c r="BF57" i="13"/>
  <c r="BF53" i="13"/>
  <c r="BF52" i="13"/>
  <c r="BF51" i="13"/>
  <c r="BF50" i="13"/>
  <c r="BF49" i="13"/>
  <c r="BF48" i="13"/>
  <c r="BF47" i="13"/>
  <c r="BF46" i="13"/>
  <c r="BF45" i="13"/>
  <c r="BF44" i="13"/>
  <c r="BF43" i="13"/>
  <c r="BF37" i="13"/>
  <c r="BF36" i="13"/>
  <c r="BF35" i="13"/>
  <c r="BF34" i="13"/>
  <c r="BF32" i="13"/>
  <c r="BF31" i="13"/>
  <c r="BF30" i="13"/>
  <c r="BF28" i="13"/>
  <c r="BF27" i="13"/>
  <c r="BF26" i="13"/>
  <c r="BF25" i="13"/>
  <c r="BF24" i="13"/>
  <c r="BF23" i="13"/>
  <c r="BF22" i="13"/>
  <c r="BF21" i="13"/>
  <c r="BF20" i="13"/>
  <c r="BF19" i="13"/>
  <c r="BF15" i="13"/>
  <c r="BF14" i="13"/>
  <c r="BF13" i="13"/>
  <c r="BF12" i="13"/>
  <c r="BF9" i="13"/>
  <c r="BF8" i="13"/>
  <c r="BF67" i="1"/>
  <c r="BE67" i="1"/>
  <c r="BD67" i="1"/>
  <c r="BC67" i="1"/>
  <c r="BB67" i="1"/>
  <c r="BF29" i="1"/>
  <c r="BE29" i="1"/>
  <c r="BD29" i="1"/>
  <c r="BC29" i="1"/>
  <c r="BB29" i="1"/>
  <c r="BF16" i="1"/>
  <c r="BE16" i="1"/>
  <c r="BD16" i="1"/>
  <c r="BC16" i="1"/>
  <c r="BB16" i="1"/>
  <c r="BF65" i="17"/>
  <c r="BF67" i="17" s="1"/>
  <c r="BE65" i="17"/>
  <c r="BD65" i="17"/>
  <c r="BC65" i="17"/>
  <c r="BB65" i="17"/>
  <c r="BF54" i="17"/>
  <c r="BE54" i="17"/>
  <c r="BD54" i="17"/>
  <c r="BC54" i="17"/>
  <c r="BB54" i="17"/>
  <c r="BF29" i="17"/>
  <c r="BE29" i="17"/>
  <c r="BD29" i="17"/>
  <c r="BC29" i="17"/>
  <c r="BB29" i="17"/>
  <c r="BF16" i="17"/>
  <c r="BE16" i="17"/>
  <c r="BF9" i="17"/>
  <c r="BE9" i="17"/>
  <c r="BF8" i="17"/>
  <c r="BE8" i="17"/>
  <c r="BD16" i="17"/>
  <c r="BC16" i="17"/>
  <c r="BB16" i="17"/>
  <c r="BB74" i="17" s="1"/>
  <c r="BB80" i="17" s="1"/>
  <c r="BB83" i="17" s="1"/>
  <c r="BB85" i="17" s="1"/>
  <c r="BB87" i="17" s="1"/>
  <c r="BB33" i="17" s="1"/>
  <c r="BB38" i="17" s="1"/>
  <c r="BB40" i="17" s="1"/>
  <c r="BD9" i="17"/>
  <c r="BC9" i="17"/>
  <c r="BB9" i="17"/>
  <c r="BA9" i="17"/>
  <c r="AZ9" i="17"/>
  <c r="AX9" i="17"/>
  <c r="BD8" i="17"/>
  <c r="BC8" i="17"/>
  <c r="BB8" i="17"/>
  <c r="BA8" i="17"/>
  <c r="AZ8" i="17"/>
  <c r="AY8" i="17"/>
  <c r="AX8" i="17"/>
  <c r="BD74" i="13" l="1"/>
  <c r="BB74" i="1"/>
  <c r="BB80" i="1" s="1"/>
  <c r="BB83" i="1" s="1"/>
  <c r="BB85" i="1" s="1"/>
  <c r="BB87" i="1" s="1"/>
  <c r="BB33" i="1" s="1"/>
  <c r="BD74" i="17"/>
  <c r="BD80" i="17" s="1"/>
  <c r="BD83" i="17" s="1"/>
  <c r="BD85" i="17" s="1"/>
  <c r="BD87" i="17" s="1"/>
  <c r="BD33" i="17" s="1"/>
  <c r="BD38" i="17" s="1"/>
  <c r="BD40" i="17" s="1"/>
  <c r="BB67" i="17"/>
  <c r="BC67" i="17"/>
  <c r="BF16" i="13"/>
  <c r="BF29" i="13"/>
  <c r="BB67" i="13"/>
  <c r="BC74" i="13"/>
  <c r="BC80" i="13" s="1"/>
  <c r="BC83" i="13" s="1"/>
  <c r="BC85" i="13" s="1"/>
  <c r="BC87" i="13" s="1"/>
  <c r="BC93" i="13" s="1"/>
  <c r="BF54" i="13"/>
  <c r="BF65" i="13"/>
  <c r="BC74" i="17"/>
  <c r="BC80" i="17" s="1"/>
  <c r="BC83" i="17" s="1"/>
  <c r="BC85" i="17" s="1"/>
  <c r="BC87" i="17" s="1"/>
  <c r="BC33" i="17" s="1"/>
  <c r="BC38" i="17" s="1"/>
  <c r="BC40" i="17" s="1"/>
  <c r="BC74" i="1"/>
  <c r="BC80" i="1" s="1"/>
  <c r="BC83" i="1" s="1"/>
  <c r="BC85" i="1" s="1"/>
  <c r="BC87" i="1" s="1"/>
  <c r="BC33" i="1" s="1"/>
  <c r="BE74" i="17"/>
  <c r="BE80" i="17" s="1"/>
  <c r="BE83" i="17" s="1"/>
  <c r="BE85" i="17" s="1"/>
  <c r="BE87" i="17" s="1"/>
  <c r="BE33" i="17" s="1"/>
  <c r="BE38" i="17" s="1"/>
  <c r="BE40" i="17" s="1"/>
  <c r="BB74" i="13"/>
  <c r="BB80" i="13" s="1"/>
  <c r="BB83" i="13" s="1"/>
  <c r="BB85" i="13" s="1"/>
  <c r="BB87" i="13" s="1"/>
  <c r="BB33" i="13"/>
  <c r="BB38" i="13" s="1"/>
  <c r="BB40" i="13" s="1"/>
  <c r="BF74" i="1"/>
  <c r="BF80" i="1" s="1"/>
  <c r="BF83" i="1" s="1"/>
  <c r="BF85" i="1" s="1"/>
  <c r="BF87" i="1" s="1"/>
  <c r="BF33" i="1" s="1"/>
  <c r="BF38" i="1" s="1"/>
  <c r="BF40" i="1" s="1"/>
  <c r="BF74" i="17"/>
  <c r="BF80" i="17" s="1"/>
  <c r="BF83" i="17" s="1"/>
  <c r="BF85" i="17" s="1"/>
  <c r="BF87" i="17" s="1"/>
  <c r="BF33" i="17" s="1"/>
  <c r="BE67" i="17"/>
  <c r="BD80" i="13"/>
  <c r="BD83" i="13" s="1"/>
  <c r="BD85" i="13" s="1"/>
  <c r="BD87" i="13" s="1"/>
  <c r="BD93" i="13" s="1"/>
  <c r="BD67" i="17"/>
  <c r="BB38" i="1"/>
  <c r="BB40" i="1" s="1"/>
  <c r="BD74" i="1"/>
  <c r="BD80" i="1" s="1"/>
  <c r="BD83" i="1" s="1"/>
  <c r="BD85" i="1" s="1"/>
  <c r="BD87" i="1" s="1"/>
  <c r="BD33" i="1" s="1"/>
  <c r="BD38" i="1" s="1"/>
  <c r="BD40" i="1" s="1"/>
  <c r="BE74" i="1"/>
  <c r="BE80" i="1" s="1"/>
  <c r="BE83" i="1" s="1"/>
  <c r="BE85" i="1" s="1"/>
  <c r="BE87" i="1" s="1"/>
  <c r="BE33" i="1" s="1"/>
  <c r="BE38" i="1" s="1"/>
  <c r="BE40" i="1" s="1"/>
  <c r="B12" i="1"/>
  <c r="BF74" i="13" l="1"/>
  <c r="BF80" i="13" s="1"/>
  <c r="BF83" i="13" s="1"/>
  <c r="BF85" i="13" s="1"/>
  <c r="BF87" i="13" s="1"/>
  <c r="BF93" i="13" s="1"/>
  <c r="BF67" i="13"/>
  <c r="BC38" i="1"/>
  <c r="BC40" i="1" s="1"/>
  <c r="BC33" i="13"/>
  <c r="BC38" i="13" s="1"/>
  <c r="BC40" i="13" s="1"/>
  <c r="BE33" i="13"/>
  <c r="BE38" i="13" s="1"/>
  <c r="BE40" i="13" s="1"/>
  <c r="BD33" i="13"/>
  <c r="BD38" i="13" s="1"/>
  <c r="BD40" i="13" s="1"/>
  <c r="BF38" i="17"/>
  <c r="BF40" i="17" s="1"/>
  <c r="BF33" i="13"/>
  <c r="BF38" i="13" s="1"/>
  <c r="BF40" i="13" s="1"/>
  <c r="R55" i="15" l="1"/>
  <c r="R54" i="15"/>
  <c r="R41" i="15"/>
  <c r="R40" i="15"/>
  <c r="R38" i="15"/>
  <c r="J75" i="12" l="1"/>
  <c r="J28" i="12"/>
  <c r="J79" i="12"/>
  <c r="H79" i="11"/>
  <c r="H72" i="11"/>
  <c r="H71" i="11"/>
  <c r="H69" i="11"/>
  <c r="H68" i="11"/>
  <c r="H57" i="11"/>
  <c r="H56" i="11"/>
  <c r="H55" i="11"/>
  <c r="H54" i="11"/>
  <c r="H53" i="11"/>
  <c r="H52" i="11"/>
  <c r="H51" i="11"/>
  <c r="H47" i="11"/>
  <c r="H46" i="11"/>
  <c r="H45" i="11"/>
  <c r="H44" i="11"/>
  <c r="H43" i="11"/>
  <c r="H42" i="11"/>
  <c r="H41" i="11"/>
  <c r="H40" i="11"/>
  <c r="H39" i="11"/>
  <c r="H38" i="11"/>
  <c r="H37" i="11"/>
  <c r="H31" i="11"/>
  <c r="H30" i="11"/>
  <c r="H29" i="11"/>
  <c r="H28" i="11"/>
  <c r="H26" i="11"/>
  <c r="H25" i="11"/>
  <c r="H24" i="11"/>
  <c r="H22" i="11"/>
  <c r="H21" i="11"/>
  <c r="H20" i="11"/>
  <c r="H19" i="11"/>
  <c r="H18" i="11"/>
  <c r="H17" i="11"/>
  <c r="H16" i="11"/>
  <c r="H15" i="11"/>
  <c r="H14" i="11"/>
  <c r="H13" i="11"/>
  <c r="H9" i="11"/>
  <c r="H8" i="11"/>
  <c r="H7" i="11"/>
  <c r="H6" i="11"/>
  <c r="G79" i="11"/>
  <c r="G72" i="1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9" i="11"/>
  <c r="G28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F79" i="11"/>
  <c r="F72" i="11"/>
  <c r="F71" i="11"/>
  <c r="F70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E79" i="1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8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9" i="11"/>
  <c r="E8" i="11"/>
  <c r="E7" i="11"/>
  <c r="E6" i="11"/>
  <c r="D79" i="11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8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J68" i="12"/>
  <c r="J54" i="12"/>
  <c r="J45" i="12"/>
  <c r="J41" i="12"/>
  <c r="J31" i="12"/>
  <c r="J19" i="12"/>
  <c r="J7" i="12"/>
  <c r="H79" i="10"/>
  <c r="H72" i="10"/>
  <c r="H71" i="10"/>
  <c r="H69" i="10"/>
  <c r="H68" i="10"/>
  <c r="H57" i="10"/>
  <c r="H56" i="10"/>
  <c r="H55" i="10"/>
  <c r="H54" i="10"/>
  <c r="H53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9" i="10"/>
  <c r="H28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G79" i="10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8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79" i="10"/>
  <c r="F72" i="10"/>
  <c r="F71" i="10"/>
  <c r="F70" i="10"/>
  <c r="F69" i="10"/>
  <c r="F68" i="10"/>
  <c r="F57" i="10"/>
  <c r="F56" i="10"/>
  <c r="F55" i="10"/>
  <c r="F54" i="10"/>
  <c r="F53" i="10"/>
  <c r="F52" i="10"/>
  <c r="F51" i="10"/>
  <c r="F47" i="10"/>
  <c r="F46" i="10"/>
  <c r="F45" i="10"/>
  <c r="F44" i="10"/>
  <c r="F43" i="10"/>
  <c r="F42" i="10"/>
  <c r="F41" i="10"/>
  <c r="F40" i="10"/>
  <c r="F39" i="10"/>
  <c r="F38" i="10"/>
  <c r="F37" i="10"/>
  <c r="F31" i="10"/>
  <c r="F30" i="10"/>
  <c r="F29" i="10"/>
  <c r="F28" i="10"/>
  <c r="F26" i="10"/>
  <c r="F25" i="10"/>
  <c r="F24" i="10"/>
  <c r="F22" i="10"/>
  <c r="F21" i="10"/>
  <c r="F20" i="10"/>
  <c r="F19" i="10"/>
  <c r="F18" i="10"/>
  <c r="F17" i="10"/>
  <c r="F16" i="10"/>
  <c r="F15" i="10"/>
  <c r="F14" i="10"/>
  <c r="F13" i="10"/>
  <c r="F9" i="10"/>
  <c r="F8" i="10"/>
  <c r="F7" i="10"/>
  <c r="F6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8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E13" i="10"/>
  <c r="E9" i="10"/>
  <c r="E8" i="10"/>
  <c r="E7" i="10"/>
  <c r="E6" i="10"/>
  <c r="D79" i="10"/>
  <c r="D72" i="10"/>
  <c r="D71" i="10"/>
  <c r="D70" i="10"/>
  <c r="D69" i="10"/>
  <c r="D68" i="10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C28" i="10" s="1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9" i="10"/>
  <c r="D8" i="10"/>
  <c r="D7" i="10"/>
  <c r="D6" i="10"/>
  <c r="C28" i="11" l="1"/>
  <c r="J22" i="12"/>
  <c r="J40" i="12"/>
  <c r="J6" i="12"/>
  <c r="J43" i="12"/>
  <c r="J20" i="12"/>
  <c r="J38" i="12"/>
  <c r="J46" i="12"/>
  <c r="J18" i="12"/>
  <c r="J70" i="12"/>
  <c r="J21" i="12"/>
  <c r="J44" i="12"/>
  <c r="G48" i="11"/>
  <c r="J57" i="12"/>
  <c r="J14" i="12"/>
  <c r="J42" i="12"/>
  <c r="J55" i="12"/>
  <c r="J69" i="12"/>
  <c r="J30" i="12"/>
  <c r="J39" i="12"/>
  <c r="J47" i="12"/>
  <c r="J15" i="12"/>
  <c r="J56" i="12"/>
  <c r="J25" i="12"/>
  <c r="J52" i="12"/>
  <c r="J26" i="12"/>
  <c r="BA86" i="13" l="1"/>
  <c r="AZ86" i="13"/>
  <c r="AY86" i="13"/>
  <c r="AX86" i="13"/>
  <c r="BA79" i="13"/>
  <c r="AZ79" i="13"/>
  <c r="AY79" i="13"/>
  <c r="BA78" i="13"/>
  <c r="AZ78" i="13"/>
  <c r="AY78" i="13"/>
  <c r="BA77" i="13"/>
  <c r="AZ77" i="13"/>
  <c r="AY77" i="13"/>
  <c r="AX77" i="13"/>
  <c r="BA76" i="13"/>
  <c r="AZ76" i="13"/>
  <c r="AY76" i="13"/>
  <c r="AX76" i="13"/>
  <c r="BA75" i="13"/>
  <c r="AZ75" i="13"/>
  <c r="AY75" i="13"/>
  <c r="AX75" i="13"/>
  <c r="BA64" i="13"/>
  <c r="AZ64" i="13"/>
  <c r="AY64" i="13"/>
  <c r="AX64" i="13"/>
  <c r="BA63" i="13"/>
  <c r="AZ63" i="13"/>
  <c r="AY63" i="13"/>
  <c r="AX63" i="13"/>
  <c r="BA62" i="13"/>
  <c r="AZ62" i="13"/>
  <c r="AY62" i="13"/>
  <c r="AX62" i="13"/>
  <c r="BA61" i="13"/>
  <c r="AZ61" i="13"/>
  <c r="AY61" i="13"/>
  <c r="AX61" i="13"/>
  <c r="BA60" i="13"/>
  <c r="AZ60" i="13"/>
  <c r="AY60" i="13"/>
  <c r="AX60" i="13"/>
  <c r="BA59" i="13"/>
  <c r="AZ59" i="13"/>
  <c r="AY59" i="13"/>
  <c r="AX59" i="13"/>
  <c r="BA58" i="13"/>
  <c r="AZ58" i="13"/>
  <c r="AY58" i="13"/>
  <c r="AX58" i="13"/>
  <c r="AY57" i="13"/>
  <c r="BA53" i="13"/>
  <c r="AZ53" i="13"/>
  <c r="AY53" i="13"/>
  <c r="AX53" i="13"/>
  <c r="BA52" i="13"/>
  <c r="AZ52" i="13"/>
  <c r="AY52" i="13"/>
  <c r="AX52" i="13"/>
  <c r="BA51" i="13"/>
  <c r="AZ51" i="13"/>
  <c r="AY51" i="13"/>
  <c r="AX51" i="13"/>
  <c r="BA50" i="13"/>
  <c r="AZ50" i="13"/>
  <c r="AY50" i="13"/>
  <c r="AX50" i="13"/>
  <c r="BA49" i="13"/>
  <c r="AZ49" i="13"/>
  <c r="AY49" i="13"/>
  <c r="AX49" i="13"/>
  <c r="BA48" i="13"/>
  <c r="AZ48" i="13"/>
  <c r="AY48" i="13"/>
  <c r="AX48" i="13"/>
  <c r="BA47" i="13"/>
  <c r="AZ47" i="13"/>
  <c r="AY47" i="13"/>
  <c r="AX47" i="13"/>
  <c r="BA46" i="13"/>
  <c r="AZ46" i="13"/>
  <c r="AY46" i="13"/>
  <c r="AX46" i="13"/>
  <c r="BA45" i="13"/>
  <c r="AZ45" i="13"/>
  <c r="AY45" i="13"/>
  <c r="AX45" i="13"/>
  <c r="BA44" i="13"/>
  <c r="AZ44" i="13"/>
  <c r="AY44" i="13"/>
  <c r="AX44" i="13"/>
  <c r="BA43" i="13"/>
  <c r="AY43" i="13"/>
  <c r="BA37" i="13"/>
  <c r="AZ37" i="13"/>
  <c r="AY37" i="13"/>
  <c r="AX37" i="13"/>
  <c r="BA36" i="13"/>
  <c r="AZ36" i="13"/>
  <c r="AY36" i="13"/>
  <c r="AX36" i="13"/>
  <c r="BA35" i="13"/>
  <c r="AZ35" i="13"/>
  <c r="AY35" i="13"/>
  <c r="AX35" i="13"/>
  <c r="BA34" i="13"/>
  <c r="AZ34" i="13"/>
  <c r="AY34" i="13"/>
  <c r="AX34" i="13"/>
  <c r="BA32" i="13"/>
  <c r="AZ32" i="13"/>
  <c r="AY32" i="13"/>
  <c r="AX32" i="13"/>
  <c r="BA31" i="13"/>
  <c r="AZ31" i="13"/>
  <c r="AY31" i="13"/>
  <c r="AX31" i="13"/>
  <c r="BA30" i="13"/>
  <c r="AY30" i="13"/>
  <c r="BA28" i="13"/>
  <c r="AZ28" i="13"/>
  <c r="AY28" i="13"/>
  <c r="AX28" i="13"/>
  <c r="BA27" i="13"/>
  <c r="AZ27" i="13"/>
  <c r="AY27" i="13"/>
  <c r="AX27" i="13"/>
  <c r="BA26" i="13"/>
  <c r="AZ26" i="13"/>
  <c r="AY26" i="13"/>
  <c r="AX26" i="13"/>
  <c r="BA25" i="13"/>
  <c r="AZ25" i="13"/>
  <c r="AY25" i="13"/>
  <c r="AX25" i="13"/>
  <c r="BA24" i="13"/>
  <c r="AZ24" i="13"/>
  <c r="AY24" i="13"/>
  <c r="AX24" i="13"/>
  <c r="BA23" i="13"/>
  <c r="AZ23" i="13"/>
  <c r="AY23" i="13"/>
  <c r="AX23" i="13"/>
  <c r="BA22" i="13"/>
  <c r="AZ22" i="13"/>
  <c r="AY22" i="13"/>
  <c r="BA21" i="13"/>
  <c r="AZ21" i="13"/>
  <c r="AY21" i="13"/>
  <c r="AX21" i="13"/>
  <c r="BA20" i="13"/>
  <c r="AZ20" i="13"/>
  <c r="AY20" i="13"/>
  <c r="AX20" i="13"/>
  <c r="BA19" i="13"/>
  <c r="AZ19" i="13"/>
  <c r="AY19" i="13"/>
  <c r="BA15" i="13"/>
  <c r="AZ15" i="13"/>
  <c r="AY15" i="13"/>
  <c r="AX15" i="13"/>
  <c r="BA14" i="13"/>
  <c r="AZ14" i="13"/>
  <c r="AY14" i="13"/>
  <c r="AX14" i="13"/>
  <c r="BA13" i="13"/>
  <c r="AZ13" i="13"/>
  <c r="AY13" i="13"/>
  <c r="AX13" i="13"/>
  <c r="BA12" i="13"/>
  <c r="AZ12" i="13"/>
  <c r="AY12" i="13"/>
  <c r="AX12" i="13"/>
  <c r="BA9" i="13"/>
  <c r="AZ9" i="13"/>
  <c r="AY9" i="13"/>
  <c r="AX9" i="13"/>
  <c r="C70" i="16" s="1"/>
  <c r="BA8" i="13"/>
  <c r="AZ8" i="13"/>
  <c r="AY8" i="13"/>
  <c r="B73" i="16" s="1" a="1"/>
  <c r="AX8" i="13"/>
  <c r="B70" i="16" s="1"/>
  <c r="BA65" i="17"/>
  <c r="AZ65" i="17"/>
  <c r="AY65" i="17"/>
  <c r="BA54" i="17"/>
  <c r="AZ54" i="17"/>
  <c r="AY54" i="17"/>
  <c r="BA29" i="17"/>
  <c r="AZ29" i="17"/>
  <c r="AY29" i="17"/>
  <c r="AX29" i="17"/>
  <c r="BA16" i="17"/>
  <c r="AZ16" i="17"/>
  <c r="AY16" i="17"/>
  <c r="AX16" i="17"/>
  <c r="AY67" i="1"/>
  <c r="AX67" i="1"/>
  <c r="BA29" i="1"/>
  <c r="AZ29" i="1"/>
  <c r="AY29" i="1"/>
  <c r="AX29" i="1"/>
  <c r="BA16" i="1"/>
  <c r="AZ16" i="1"/>
  <c r="AY16" i="1"/>
  <c r="AX16" i="1"/>
  <c r="C73" i="16" l="1" a="1"/>
  <c r="C73" i="16" s="1"/>
  <c r="B73" i="16"/>
  <c r="B78" i="16"/>
  <c r="B80" i="16"/>
  <c r="B79" i="16"/>
  <c r="B77" i="16"/>
  <c r="B76" i="16"/>
  <c r="B75" i="16"/>
  <c r="B74" i="16"/>
  <c r="AZ74" i="1"/>
  <c r="AZ80" i="1" s="1"/>
  <c r="AZ83" i="1" s="1"/>
  <c r="AZ85" i="1" s="1"/>
  <c r="AZ87" i="1" s="1"/>
  <c r="AZ33" i="1" s="1"/>
  <c r="AX74" i="1"/>
  <c r="AX80" i="1" s="1"/>
  <c r="AX83" i="1" s="1"/>
  <c r="AX85" i="1" s="1"/>
  <c r="AX87" i="1" s="1"/>
  <c r="AX33" i="1" s="1"/>
  <c r="AX38" i="1" s="1"/>
  <c r="AX40" i="1" s="1"/>
  <c r="AY74" i="1"/>
  <c r="AY80" i="1" s="1"/>
  <c r="AY83" i="1" s="1"/>
  <c r="AY85" i="1" s="1"/>
  <c r="AY87" i="1" s="1"/>
  <c r="AY33" i="1" s="1"/>
  <c r="AY38" i="1" s="1"/>
  <c r="AY40" i="1" s="1"/>
  <c r="BA54" i="13"/>
  <c r="AZ16" i="13"/>
  <c r="AY16" i="13"/>
  <c r="AZ29" i="13"/>
  <c r="AY54" i="13"/>
  <c r="AY74" i="17"/>
  <c r="AY80" i="17" s="1"/>
  <c r="AY83" i="17" s="1"/>
  <c r="AY85" i="17" s="1"/>
  <c r="AY87" i="17" s="1"/>
  <c r="AY33" i="17" s="1"/>
  <c r="BA74" i="17"/>
  <c r="BA80" i="17" s="1"/>
  <c r="BA83" i="17" s="1"/>
  <c r="BA85" i="17" s="1"/>
  <c r="BA87" i="17" s="1"/>
  <c r="BA33" i="17" s="1"/>
  <c r="BA38" i="17" s="1"/>
  <c r="BA40" i="17" s="1"/>
  <c r="AX19" i="13"/>
  <c r="J13" i="12"/>
  <c r="AX78" i="13"/>
  <c r="J71" i="12"/>
  <c r="AX57" i="13"/>
  <c r="AX65" i="13" s="1"/>
  <c r="AX22" i="13"/>
  <c r="J16" i="12"/>
  <c r="AX79" i="13"/>
  <c r="J72" i="12"/>
  <c r="AX54" i="17"/>
  <c r="AX30" i="13"/>
  <c r="J29" i="12"/>
  <c r="J8" i="12"/>
  <c r="J17" i="12"/>
  <c r="J53" i="12"/>
  <c r="J9" i="12"/>
  <c r="BA67" i="17"/>
  <c r="BA29" i="13"/>
  <c r="BA16" i="13"/>
  <c r="AZ67" i="17"/>
  <c r="AY29" i="13"/>
  <c r="AY65" i="13"/>
  <c r="AY67" i="17"/>
  <c r="AX43" i="13"/>
  <c r="AX54" i="13" s="1"/>
  <c r="AX65" i="17"/>
  <c r="AX16" i="13"/>
  <c r="AX74" i="17"/>
  <c r="AX80" i="17" s="1"/>
  <c r="AX83" i="17" s="1"/>
  <c r="AX85" i="17" s="1"/>
  <c r="AX87" i="17" s="1"/>
  <c r="AX33" i="17" s="1"/>
  <c r="J27" i="11" s="1"/>
  <c r="AZ38" i="1"/>
  <c r="AZ40" i="1" s="1"/>
  <c r="BA74" i="1"/>
  <c r="BA80" i="1" s="1"/>
  <c r="BA83" i="1" s="1"/>
  <c r="BA85" i="1" s="1"/>
  <c r="BA87" i="1" s="1"/>
  <c r="BA33" i="1" s="1"/>
  <c r="BA38" i="1" s="1"/>
  <c r="BA40" i="1" s="1"/>
  <c r="C76" i="16" l="1"/>
  <c r="C77" i="16"/>
  <c r="C74" i="16"/>
  <c r="C75" i="16"/>
  <c r="C78" i="16"/>
  <c r="C79" i="16"/>
  <c r="C80" i="16"/>
  <c r="AY74" i="13"/>
  <c r="AY80" i="13" s="1"/>
  <c r="AY83" i="13" s="1"/>
  <c r="AY85" i="13" s="1"/>
  <c r="AY87" i="13" s="1"/>
  <c r="AY67" i="13"/>
  <c r="AY33" i="13"/>
  <c r="AY38" i="17"/>
  <c r="AY40" i="17" s="1"/>
  <c r="BA74" i="13"/>
  <c r="BA80" i="13" s="1"/>
  <c r="BA83" i="13" s="1"/>
  <c r="BA85" i="13" s="1"/>
  <c r="BA87" i="13" s="1"/>
  <c r="BA93" i="13" s="1"/>
  <c r="AX67" i="17"/>
  <c r="AX67" i="13"/>
  <c r="E70" i="16" s="1"/>
  <c r="E71" i="16" s="1"/>
  <c r="J10" i="12"/>
  <c r="AX29" i="13"/>
  <c r="AX74" i="13" s="1"/>
  <c r="AX80" i="13" s="1"/>
  <c r="AX83" i="13" s="1"/>
  <c r="AX85" i="13" s="1"/>
  <c r="AX87" i="13" s="1"/>
  <c r="AX93" i="13" s="1"/>
  <c r="BA33" i="13"/>
  <c r="BA38" i="13" s="1"/>
  <c r="BA40" i="13" s="1"/>
  <c r="AX33" i="13"/>
  <c r="J23" i="12"/>
  <c r="AY38" i="13"/>
  <c r="AY40" i="13" s="1"/>
  <c r="AX38" i="17"/>
  <c r="AX40" i="17" s="1"/>
  <c r="AX38" i="13" l="1"/>
  <c r="AX40" i="13" s="1"/>
  <c r="D70" i="16" s="1"/>
  <c r="D71" i="16" s="1"/>
  <c r="AI65" i="17" l="1"/>
  <c r="AK65" i="17"/>
  <c r="AI54" i="17"/>
  <c r="AK54" i="17"/>
  <c r="AK67" i="17" s="1"/>
  <c r="AI29" i="17"/>
  <c r="AK29" i="17"/>
  <c r="AI16" i="17"/>
  <c r="AK16" i="17"/>
  <c r="AI9" i="17"/>
  <c r="AK9" i="17"/>
  <c r="AK8" i="17"/>
  <c r="AI74" i="17" l="1"/>
  <c r="AI80" i="17" s="1"/>
  <c r="AI83" i="17" s="1"/>
  <c r="AI85" i="17" s="1"/>
  <c r="AI87" i="17" s="1"/>
  <c r="AI33" i="17" s="1"/>
  <c r="AI38" i="17" s="1"/>
  <c r="AI40" i="17" s="1"/>
  <c r="AI67" i="17"/>
  <c r="AK74" i="17"/>
  <c r="AK80" i="17" l="1"/>
  <c r="AK83" i="17" s="1"/>
  <c r="AK85" i="17" s="1"/>
  <c r="AK87" i="17" s="1"/>
  <c r="AK33" i="17" s="1"/>
  <c r="AK38" i="17" s="1"/>
  <c r="AK40" i="17" s="1"/>
  <c r="AI29" i="1" l="1"/>
  <c r="AI16" i="1"/>
  <c r="AI74" i="1" l="1"/>
  <c r="AI80" i="1" s="1"/>
  <c r="AI83" i="1" s="1"/>
  <c r="AI85" i="1" s="1"/>
  <c r="AI87" i="1" s="1"/>
  <c r="AI33" i="1" s="1"/>
  <c r="AI38" i="1" s="1"/>
  <c r="AI40" i="1" s="1"/>
  <c r="AI65" i="1"/>
  <c r="AK65" i="1"/>
  <c r="AI54" i="1"/>
  <c r="AK54" i="1"/>
  <c r="AK67" i="1" s="1"/>
  <c r="AK29" i="1"/>
  <c r="AK16" i="1"/>
  <c r="AK74" i="1" l="1"/>
  <c r="AK80" i="1"/>
  <c r="AK83" i="1" s="1"/>
  <c r="AK85" i="1" s="1"/>
  <c r="AK87" i="1" s="1"/>
  <c r="AK33" i="1" s="1"/>
  <c r="AK38" i="1" s="1"/>
  <c r="AK40" i="1" s="1"/>
  <c r="AI67" i="1"/>
  <c r="AI86" i="13" l="1"/>
  <c r="AK86" i="13"/>
  <c r="AI79" i="13"/>
  <c r="AK79" i="13"/>
  <c r="AI78" i="13"/>
  <c r="AK78" i="13"/>
  <c r="AI77" i="13"/>
  <c r="AK77" i="13"/>
  <c r="AI76" i="13"/>
  <c r="AK76" i="13"/>
  <c r="AI75" i="13"/>
  <c r="AK75" i="13"/>
  <c r="AI64" i="13"/>
  <c r="AK64" i="13"/>
  <c r="AI63" i="13"/>
  <c r="AK63" i="13"/>
  <c r="AI62" i="13"/>
  <c r="AK62" i="13"/>
  <c r="AI61" i="13"/>
  <c r="AK61" i="13"/>
  <c r="AI60" i="13"/>
  <c r="AK60" i="13"/>
  <c r="AI59" i="13"/>
  <c r="AK59" i="13"/>
  <c r="AI58" i="13"/>
  <c r="AK58" i="13"/>
  <c r="AI57" i="13"/>
  <c r="AK57" i="13"/>
  <c r="AI53" i="13"/>
  <c r="AK53" i="13"/>
  <c r="AI52" i="13"/>
  <c r="AK52" i="13"/>
  <c r="AI51" i="13"/>
  <c r="AK51" i="13"/>
  <c r="AI50" i="13"/>
  <c r="AK50" i="13"/>
  <c r="AI49" i="13"/>
  <c r="AK49" i="13"/>
  <c r="AI48" i="13"/>
  <c r="AK48" i="13"/>
  <c r="AI47" i="13"/>
  <c r="AK47" i="13"/>
  <c r="AI46" i="13"/>
  <c r="AK46" i="13"/>
  <c r="AI45" i="13"/>
  <c r="AK45" i="13"/>
  <c r="AI44" i="13"/>
  <c r="AK44" i="13"/>
  <c r="AI43" i="13"/>
  <c r="AK43" i="13"/>
  <c r="AI37" i="13"/>
  <c r="AK37" i="13"/>
  <c r="AI36" i="13"/>
  <c r="AK36" i="13"/>
  <c r="AI35" i="13"/>
  <c r="AK35" i="13"/>
  <c r="AI34" i="13"/>
  <c r="AK34" i="13"/>
  <c r="AI33" i="13"/>
  <c r="AK33" i="13"/>
  <c r="AI32" i="13"/>
  <c r="AK32" i="13"/>
  <c r="AI31" i="13"/>
  <c r="AK31" i="13"/>
  <c r="AI30" i="13"/>
  <c r="AK30" i="13"/>
  <c r="AI28" i="13"/>
  <c r="AK28" i="13"/>
  <c r="AI27" i="13"/>
  <c r="AK27" i="13"/>
  <c r="AI26" i="13"/>
  <c r="AK26" i="13"/>
  <c r="AI25" i="13"/>
  <c r="AK25" i="13"/>
  <c r="AI24" i="13"/>
  <c r="AK24" i="13"/>
  <c r="AI23" i="13"/>
  <c r="AK23" i="13"/>
  <c r="AI22" i="13"/>
  <c r="AK22" i="13"/>
  <c r="AI21" i="13"/>
  <c r="AK21" i="13"/>
  <c r="AI20" i="13"/>
  <c r="AK20" i="13"/>
  <c r="AI19" i="13"/>
  <c r="AK19" i="13"/>
  <c r="AI15" i="13"/>
  <c r="AK15" i="13"/>
  <c r="AI14" i="13"/>
  <c r="AK14" i="13"/>
  <c r="AI13" i="13"/>
  <c r="AK13" i="13"/>
  <c r="AI12" i="13"/>
  <c r="AK12" i="13"/>
  <c r="AI9" i="13"/>
  <c r="AK9" i="13"/>
  <c r="AK8" i="13"/>
  <c r="AI29" i="13" l="1"/>
  <c r="AI38" i="13" s="1"/>
  <c r="AI16" i="13"/>
  <c r="AI40" i="13" s="1"/>
  <c r="AI54" i="13"/>
  <c r="AK54" i="13"/>
  <c r="AK16" i="13"/>
  <c r="AK29" i="13"/>
  <c r="AK38" i="13" s="1"/>
  <c r="AK40" i="13" s="1"/>
  <c r="AI65" i="13"/>
  <c r="AK65" i="13"/>
  <c r="AI74" i="13" l="1"/>
  <c r="AI80" i="13" s="1"/>
  <c r="AI83" i="13" s="1"/>
  <c r="AI85" i="13" s="1"/>
  <c r="AI87" i="13" s="1"/>
  <c r="AK74" i="13"/>
  <c r="AK80" i="13" s="1"/>
  <c r="AK83" i="13" s="1"/>
  <c r="AK85" i="13" s="1"/>
  <c r="AK87" i="13" s="1"/>
  <c r="AK93" i="13" s="1"/>
  <c r="AI67" i="13"/>
  <c r="AK67" i="13"/>
  <c r="W86" i="13" l="1"/>
  <c r="W77" i="13"/>
  <c r="W76" i="13"/>
  <c r="W75" i="13"/>
  <c r="W64" i="13"/>
  <c r="W63" i="13"/>
  <c r="W62" i="13"/>
  <c r="W61" i="13"/>
  <c r="W60" i="13"/>
  <c r="W57" i="13"/>
  <c r="W53" i="13"/>
  <c r="W52" i="13"/>
  <c r="W51" i="13"/>
  <c r="W50" i="13"/>
  <c r="W49" i="13"/>
  <c r="W48" i="13"/>
  <c r="W47" i="13"/>
  <c r="W46" i="13"/>
  <c r="W45" i="13"/>
  <c r="W44" i="13"/>
  <c r="W37" i="13"/>
  <c r="W36" i="13"/>
  <c r="W34" i="13"/>
  <c r="W32" i="13"/>
  <c r="W30" i="13"/>
  <c r="W28" i="13"/>
  <c r="W27" i="13"/>
  <c r="W26" i="13"/>
  <c r="W25" i="13"/>
  <c r="W24" i="13"/>
  <c r="W23" i="13"/>
  <c r="W21" i="13"/>
  <c r="W20" i="13"/>
  <c r="W19" i="13"/>
  <c r="W15" i="13"/>
  <c r="W14" i="13"/>
  <c r="W13" i="13"/>
  <c r="W12" i="13"/>
  <c r="W9" i="13"/>
  <c r="W8" i="13"/>
  <c r="W79" i="13"/>
  <c r="W78" i="13"/>
  <c r="W35" i="13"/>
  <c r="W59" i="13"/>
  <c r="W58" i="13"/>
  <c r="W43" i="13"/>
  <c r="W31" i="13"/>
  <c r="W22" i="13"/>
  <c r="W29" i="1"/>
  <c r="W16" i="1"/>
  <c r="W29" i="13" l="1"/>
  <c r="W16" i="13"/>
  <c r="W65" i="13"/>
  <c r="W54" i="13"/>
  <c r="W67" i="13" s="1"/>
  <c r="W74" i="13" l="1"/>
  <c r="W80" i="13" s="1"/>
  <c r="W83" i="13" s="1"/>
  <c r="W85" i="13" s="1"/>
  <c r="W87" i="13" s="1"/>
  <c r="W93" i="13" s="1"/>
  <c r="V86" i="13"/>
  <c r="V79" i="13"/>
  <c r="V78" i="13"/>
  <c r="V77" i="13"/>
  <c r="V76" i="13"/>
  <c r="V75" i="13"/>
  <c r="V64" i="13"/>
  <c r="V63" i="13"/>
  <c r="V62" i="13"/>
  <c r="V61" i="13"/>
  <c r="V60" i="13"/>
  <c r="V59" i="13"/>
  <c r="V58" i="13"/>
  <c r="V57" i="13"/>
  <c r="V53" i="13"/>
  <c r="V52" i="13"/>
  <c r="V51" i="13"/>
  <c r="V50" i="13"/>
  <c r="V49" i="13"/>
  <c r="V48" i="13"/>
  <c r="V47" i="13"/>
  <c r="V46" i="13"/>
  <c r="V45" i="13"/>
  <c r="V44" i="13"/>
  <c r="V43" i="13"/>
  <c r="V37" i="13"/>
  <c r="V36" i="13"/>
  <c r="V35" i="13"/>
  <c r="V34" i="13"/>
  <c r="V32" i="13"/>
  <c r="V31" i="13"/>
  <c r="V30" i="13"/>
  <c r="V28" i="13"/>
  <c r="V27" i="13"/>
  <c r="V26" i="13"/>
  <c r="V25" i="13"/>
  <c r="V24" i="13"/>
  <c r="V23" i="13"/>
  <c r="V22" i="13"/>
  <c r="V21" i="13"/>
  <c r="V20" i="13"/>
  <c r="V19" i="13"/>
  <c r="V15" i="13"/>
  <c r="V14" i="13"/>
  <c r="V13" i="13"/>
  <c r="V12" i="13"/>
  <c r="V9" i="13"/>
  <c r="V8" i="13"/>
  <c r="W65" i="17"/>
  <c r="V65" i="17"/>
  <c r="W54" i="17"/>
  <c r="V54" i="17"/>
  <c r="W29" i="17"/>
  <c r="V29" i="17"/>
  <c r="W16" i="17"/>
  <c r="V16" i="17"/>
  <c r="W9" i="17"/>
  <c r="V9" i="17"/>
  <c r="W8" i="17"/>
  <c r="V8" i="17"/>
  <c r="W74" i="1"/>
  <c r="W80" i="1" s="1"/>
  <c r="W83" i="1" s="1"/>
  <c r="W85" i="1" s="1"/>
  <c r="W87" i="1" s="1"/>
  <c r="W33" i="1" s="1"/>
  <c r="W65" i="1"/>
  <c r="V65" i="1"/>
  <c r="W54" i="1"/>
  <c r="V54" i="1"/>
  <c r="V29" i="1"/>
  <c r="V16" i="1"/>
  <c r="V74" i="1" l="1"/>
  <c r="V80" i="1" s="1"/>
  <c r="V83" i="1" s="1"/>
  <c r="V85" i="1" s="1"/>
  <c r="V87" i="1" s="1"/>
  <c r="V33" i="1" s="1"/>
  <c r="V38" i="1" s="1"/>
  <c r="V40" i="1" s="1"/>
  <c r="W67" i="17"/>
  <c r="V67" i="1"/>
  <c r="W74" i="17"/>
  <c r="W80" i="17" s="1"/>
  <c r="W83" i="17" s="1"/>
  <c r="W85" i="17" s="1"/>
  <c r="W87" i="17" s="1"/>
  <c r="W33" i="17" s="1"/>
  <c r="W38" i="17" s="1"/>
  <c r="W40" i="17" s="1"/>
  <c r="V67" i="17"/>
  <c r="V74" i="17"/>
  <c r="V80" i="17" s="1"/>
  <c r="V83" i="17" s="1"/>
  <c r="V85" i="17" s="1"/>
  <c r="V87" i="17" s="1"/>
  <c r="V33" i="17" s="1"/>
  <c r="V38" i="17" s="1"/>
  <c r="V40" i="17" s="1"/>
  <c r="W38" i="1"/>
  <c r="W40" i="1" s="1"/>
  <c r="W67" i="1"/>
  <c r="V29" i="13"/>
  <c r="V16" i="13"/>
  <c r="V65" i="13"/>
  <c r="V54" i="13"/>
  <c r="W33" i="13" l="1"/>
  <c r="W38" i="13" s="1"/>
  <c r="W40" i="13" s="1"/>
  <c r="V33" i="13"/>
  <c r="V74" i="13"/>
  <c r="V80" i="13" s="1"/>
  <c r="V83" i="13" s="1"/>
  <c r="V85" i="13" s="1"/>
  <c r="V87" i="13" s="1"/>
  <c r="V93" i="13" s="1"/>
  <c r="V67" i="13"/>
  <c r="V38" i="13"/>
  <c r="V40" i="13" s="1"/>
  <c r="T86" i="13" l="1"/>
  <c r="S86" i="13"/>
  <c r="T79" i="13"/>
  <c r="S79" i="13"/>
  <c r="T78" i="13"/>
  <c r="S78" i="13"/>
  <c r="T77" i="13"/>
  <c r="S77" i="13"/>
  <c r="T76" i="13"/>
  <c r="S76" i="13"/>
  <c r="T75" i="13"/>
  <c r="S75" i="13"/>
  <c r="T64" i="13"/>
  <c r="S64" i="13"/>
  <c r="T63" i="13"/>
  <c r="S63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3" i="13"/>
  <c r="S5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37" i="13"/>
  <c r="S37" i="13"/>
  <c r="T36" i="13"/>
  <c r="S36" i="13"/>
  <c r="T35" i="13"/>
  <c r="S35" i="13"/>
  <c r="T34" i="13"/>
  <c r="S34" i="13"/>
  <c r="T32" i="13"/>
  <c r="S32" i="13"/>
  <c r="T31" i="13"/>
  <c r="S31" i="13"/>
  <c r="T30" i="13"/>
  <c r="S30" i="13"/>
  <c r="T28" i="13"/>
  <c r="S28" i="13"/>
  <c r="T27" i="13"/>
  <c r="S27" i="13"/>
  <c r="T26" i="13"/>
  <c r="S26" i="13"/>
  <c r="T25" i="13"/>
  <c r="S25" i="13"/>
  <c r="T24" i="13"/>
  <c r="S24" i="13"/>
  <c r="T21" i="13"/>
  <c r="S21" i="13"/>
  <c r="T20" i="13"/>
  <c r="S20" i="13"/>
  <c r="S19" i="13"/>
  <c r="T15" i="13"/>
  <c r="S15" i="13"/>
  <c r="S14" i="13"/>
  <c r="T13" i="13"/>
  <c r="S13" i="13"/>
  <c r="T12" i="13"/>
  <c r="S12" i="13"/>
  <c r="T19" i="13"/>
  <c r="T23" i="13"/>
  <c r="T22" i="13"/>
  <c r="T14" i="13"/>
  <c r="T65" i="17"/>
  <c r="S65" i="17"/>
  <c r="T54" i="17"/>
  <c r="S54" i="17"/>
  <c r="S29" i="17"/>
  <c r="S16" i="17"/>
  <c r="T65" i="1"/>
  <c r="S65" i="1"/>
  <c r="T54" i="1"/>
  <c r="S54" i="1"/>
  <c r="T29" i="1"/>
  <c r="T16" i="1"/>
  <c r="S16" i="1"/>
  <c r="S67" i="17" l="1"/>
  <c r="S74" i="17"/>
  <c r="S80" i="17" s="1"/>
  <c r="S83" i="17" s="1"/>
  <c r="S85" i="17" s="1"/>
  <c r="S87" i="17" s="1"/>
  <c r="S33" i="17" s="1"/>
  <c r="T16" i="17"/>
  <c r="S16" i="13"/>
  <c r="S54" i="13"/>
  <c r="S65" i="13"/>
  <c r="T16" i="13"/>
  <c r="T29" i="13"/>
  <c r="T67" i="17"/>
  <c r="T54" i="13"/>
  <c r="T65" i="13"/>
  <c r="T29" i="17"/>
  <c r="T74" i="1"/>
  <c r="T80" i="1" l="1"/>
  <c r="T83" i="1" s="1"/>
  <c r="T85" i="1" s="1"/>
  <c r="T87" i="1" s="1"/>
  <c r="T33" i="1" s="1"/>
  <c r="T38" i="1" s="1"/>
  <c r="T40" i="1" s="1"/>
  <c r="S38" i="17"/>
  <c r="S40" i="17" s="1"/>
  <c r="T74" i="13"/>
  <c r="T67" i="13"/>
  <c r="S67" i="13"/>
  <c r="T74" i="17"/>
  <c r="T80" i="17" l="1"/>
  <c r="T83" i="17" s="1"/>
  <c r="T85" i="17" s="1"/>
  <c r="T87" i="17" s="1"/>
  <c r="T33" i="17" s="1"/>
  <c r="T33" i="13" s="1"/>
  <c r="T38" i="13" s="1"/>
  <c r="T40" i="13" s="1"/>
  <c r="T80" i="13"/>
  <c r="T83" i="13" s="1"/>
  <c r="T85" i="13" s="1"/>
  <c r="T87" i="13" s="1"/>
  <c r="T93" i="13" s="1"/>
  <c r="T38" i="17"/>
  <c r="T40" i="17" s="1"/>
  <c r="S23" i="13"/>
  <c r="T9" i="13"/>
  <c r="S9" i="13"/>
  <c r="T8" i="13"/>
  <c r="S8" i="13"/>
  <c r="S22" i="13" l="1"/>
  <c r="S29" i="13" s="1"/>
  <c r="S29" i="1"/>
  <c r="S74" i="1" l="1"/>
  <c r="S80" i="1" s="1"/>
  <c r="S83" i="1" s="1"/>
  <c r="S85" i="1" s="1"/>
  <c r="S87" i="1" s="1"/>
  <c r="S33" i="1" s="1"/>
  <c r="S74" i="13"/>
  <c r="S80" i="13" s="1"/>
  <c r="S83" i="13" s="1"/>
  <c r="S85" i="13" s="1"/>
  <c r="S87" i="13" s="1"/>
  <c r="S93" i="13" s="1"/>
  <c r="S33" i="13" l="1"/>
  <c r="S38" i="13" s="1"/>
  <c r="S40" i="13" s="1"/>
  <c r="S38" i="1"/>
  <c r="S40" i="1" s="1"/>
  <c r="U9" i="17" l="1"/>
  <c r="T9" i="17"/>
  <c r="S9" i="17"/>
  <c r="U8" i="17"/>
  <c r="T8" i="17"/>
  <c r="S8" i="17"/>
  <c r="H27" i="13" l="1"/>
  <c r="H20" i="13"/>
  <c r="AZ54" i="1" l="1"/>
  <c r="B43" i="1"/>
  <c r="J37" i="12"/>
  <c r="J48" i="12" s="1"/>
  <c r="AZ43" i="13"/>
  <c r="AZ54" i="13" s="1"/>
  <c r="AZ65" i="1"/>
  <c r="AZ57" i="13"/>
  <c r="AZ65" i="13" s="1"/>
  <c r="H29" i="1"/>
  <c r="H19" i="13"/>
  <c r="H21" i="13"/>
  <c r="H22" i="13"/>
  <c r="H23" i="13"/>
  <c r="H24" i="13"/>
  <c r="H25" i="13"/>
  <c r="H26" i="13"/>
  <c r="H28" i="13"/>
  <c r="B30" i="17" l="1"/>
  <c r="AZ30" i="13"/>
  <c r="AZ74" i="17"/>
  <c r="AZ80" i="17" s="1"/>
  <c r="AZ83" i="17" s="1"/>
  <c r="AZ85" i="17" s="1"/>
  <c r="AZ87" i="17" s="1"/>
  <c r="AZ33" i="17" s="1"/>
  <c r="J24" i="12"/>
  <c r="J67" i="12" s="1"/>
  <c r="J73" i="12" s="1"/>
  <c r="J76" i="12" s="1"/>
  <c r="J78" i="12" s="1"/>
  <c r="J80" i="12" s="1"/>
  <c r="J27" i="12" s="1"/>
  <c r="J32" i="12" s="1"/>
  <c r="J34" i="12" s="1"/>
  <c r="AZ67" i="13"/>
  <c r="AZ67" i="1"/>
  <c r="H29" i="17"/>
  <c r="AZ38" i="17" l="1"/>
  <c r="AZ40" i="17" s="1"/>
  <c r="K27" i="11"/>
  <c r="K32" i="11" s="1"/>
  <c r="K34" i="11" s="1"/>
  <c r="AZ33" i="13"/>
  <c r="AZ38" i="13" s="1"/>
  <c r="AZ40" i="13" s="1"/>
  <c r="D73" i="16" s="1" a="1"/>
  <c r="AZ74" i="13"/>
  <c r="AZ80" i="13" s="1"/>
  <c r="AZ83" i="13" s="1"/>
  <c r="AZ85" i="13" s="1"/>
  <c r="AZ87" i="13" s="1"/>
  <c r="AZ93" i="13" s="1"/>
  <c r="A2" i="17"/>
  <c r="A2" i="1"/>
  <c r="D74" i="16" l="1"/>
  <c r="D80" i="16"/>
  <c r="D79" i="16"/>
  <c r="D76" i="16"/>
  <c r="D75" i="16"/>
  <c r="D78" i="16"/>
  <c r="D77" i="16"/>
  <c r="D73" i="16"/>
  <c r="D81" i="16" s="1"/>
  <c r="E12" i="13" l="1"/>
  <c r="AN25" i="13" l="1"/>
  <c r="B84" i="13" l="1"/>
  <c r="B56" i="13"/>
  <c r="B42" i="13"/>
  <c r="B39" i="13"/>
  <c r="U22" i="13" l="1"/>
  <c r="U19" i="13"/>
  <c r="U14" i="13"/>
  <c r="U86" i="13"/>
  <c r="U79" i="13"/>
  <c r="U78" i="13"/>
  <c r="U77" i="13"/>
  <c r="U76" i="13"/>
  <c r="U75" i="13"/>
  <c r="U64" i="13"/>
  <c r="U63" i="13"/>
  <c r="U62" i="13"/>
  <c r="U61" i="13"/>
  <c r="U60" i="13"/>
  <c r="U59" i="13"/>
  <c r="U58" i="13"/>
  <c r="U57" i="13"/>
  <c r="U53" i="13"/>
  <c r="U52" i="13"/>
  <c r="U51" i="13"/>
  <c r="U50" i="13"/>
  <c r="U49" i="13"/>
  <c r="U48" i="13"/>
  <c r="U47" i="13"/>
  <c r="U46" i="13"/>
  <c r="U45" i="13"/>
  <c r="U44" i="13"/>
  <c r="U43" i="13"/>
  <c r="U37" i="13"/>
  <c r="U36" i="13"/>
  <c r="U35" i="13"/>
  <c r="U34" i="13"/>
  <c r="U32" i="13"/>
  <c r="U31" i="13"/>
  <c r="U30" i="13"/>
  <c r="U28" i="13"/>
  <c r="U27" i="13"/>
  <c r="U26" i="13"/>
  <c r="U25" i="13"/>
  <c r="U24" i="13"/>
  <c r="U23" i="13"/>
  <c r="U21" i="13"/>
  <c r="U20" i="13"/>
  <c r="U15" i="13"/>
  <c r="U13" i="13"/>
  <c r="U12" i="13"/>
  <c r="U9" i="13"/>
  <c r="C31" i="16" s="1" a="1"/>
  <c r="U8" i="13"/>
  <c r="B31" i="16" s="1" a="1"/>
  <c r="AW86" i="13"/>
  <c r="AV86" i="13"/>
  <c r="AU86" i="13"/>
  <c r="AT86" i="13"/>
  <c r="AS86" i="13"/>
  <c r="AR86" i="13"/>
  <c r="AQ86" i="13"/>
  <c r="AW79" i="13"/>
  <c r="AV79" i="13"/>
  <c r="AR79" i="13"/>
  <c r="AQ79" i="13"/>
  <c r="AW78" i="13"/>
  <c r="AV78" i="13"/>
  <c r="AU78" i="13"/>
  <c r="AT78" i="13"/>
  <c r="AR78" i="13"/>
  <c r="AQ78" i="13"/>
  <c r="AW77" i="13"/>
  <c r="AV77" i="13"/>
  <c r="AU77" i="13"/>
  <c r="AT77" i="13"/>
  <c r="AS77" i="13"/>
  <c r="AR77" i="13"/>
  <c r="AQ77" i="13"/>
  <c r="AW76" i="13"/>
  <c r="AV76" i="13"/>
  <c r="AU76" i="13"/>
  <c r="AT76" i="13"/>
  <c r="AS76" i="13"/>
  <c r="AR76" i="13"/>
  <c r="AQ76" i="13"/>
  <c r="AW75" i="13"/>
  <c r="AV75" i="13"/>
  <c r="AU75" i="13"/>
  <c r="AT75" i="13"/>
  <c r="AS75" i="13"/>
  <c r="AR75" i="13"/>
  <c r="AQ75" i="13"/>
  <c r="AW64" i="13"/>
  <c r="AV64" i="13"/>
  <c r="AU64" i="13"/>
  <c r="AT64" i="13"/>
  <c r="AS64" i="13"/>
  <c r="AR64" i="13"/>
  <c r="AQ64" i="13"/>
  <c r="AW63" i="13"/>
  <c r="AV63" i="13"/>
  <c r="AT63" i="13"/>
  <c r="AS63" i="13"/>
  <c r="AR63" i="13"/>
  <c r="AQ63" i="13"/>
  <c r="AW62" i="13"/>
  <c r="AU62" i="13"/>
  <c r="AT62" i="13"/>
  <c r="AS62" i="13"/>
  <c r="AR62" i="13"/>
  <c r="AQ62" i="13"/>
  <c r="AW61" i="13"/>
  <c r="AV61" i="13"/>
  <c r="AU61" i="13"/>
  <c r="AT61" i="13"/>
  <c r="AS61" i="13"/>
  <c r="AR61" i="13"/>
  <c r="AQ61" i="13"/>
  <c r="AW60" i="13"/>
  <c r="AV60" i="13"/>
  <c r="AU60" i="13"/>
  <c r="AT60" i="13"/>
  <c r="AS60" i="13"/>
  <c r="AR60" i="13"/>
  <c r="AQ60" i="13"/>
  <c r="AW59" i="13"/>
  <c r="AV59" i="13"/>
  <c r="AU59" i="13"/>
  <c r="AT59" i="13"/>
  <c r="AR59" i="13"/>
  <c r="AQ59" i="13"/>
  <c r="AW58" i="13"/>
  <c r="AV58" i="13"/>
  <c r="AU58" i="13"/>
  <c r="AT58" i="13"/>
  <c r="AS58" i="13"/>
  <c r="AR58" i="13"/>
  <c r="AQ58" i="13"/>
  <c r="AW57" i="13"/>
  <c r="AV57" i="13"/>
  <c r="AU57" i="13"/>
  <c r="AT57" i="13"/>
  <c r="AS57" i="13"/>
  <c r="AR57" i="13"/>
  <c r="AQ57" i="13"/>
  <c r="AW53" i="13"/>
  <c r="AV53" i="13"/>
  <c r="AU53" i="13"/>
  <c r="AT53" i="13"/>
  <c r="AS53" i="13"/>
  <c r="AR53" i="13"/>
  <c r="AQ53" i="13"/>
  <c r="AW52" i="13"/>
  <c r="AV52" i="13"/>
  <c r="AU52" i="13"/>
  <c r="AT52" i="13"/>
  <c r="AS52" i="13"/>
  <c r="AR52" i="13"/>
  <c r="AQ52" i="13"/>
  <c r="AW51" i="13"/>
  <c r="AV51" i="13"/>
  <c r="AU51" i="13"/>
  <c r="AT51" i="13"/>
  <c r="AS51" i="13"/>
  <c r="AR51" i="13"/>
  <c r="AW50" i="13"/>
  <c r="AV50" i="13"/>
  <c r="AU50" i="13"/>
  <c r="AT50" i="13"/>
  <c r="AS50" i="13"/>
  <c r="AR50" i="13"/>
  <c r="AW49" i="13"/>
  <c r="AV49" i="13"/>
  <c r="AU49" i="13"/>
  <c r="AT49" i="13"/>
  <c r="AS49" i="13"/>
  <c r="AR49" i="13"/>
  <c r="AW48" i="13"/>
  <c r="AV48" i="13"/>
  <c r="AU48" i="13"/>
  <c r="AT48" i="13"/>
  <c r="AS48" i="13"/>
  <c r="AW47" i="13"/>
  <c r="AV47" i="13"/>
  <c r="AU47" i="13"/>
  <c r="AT47" i="13"/>
  <c r="AS47" i="13"/>
  <c r="AR47" i="13"/>
  <c r="AQ47" i="13"/>
  <c r="AW46" i="13"/>
  <c r="AV46" i="13"/>
  <c r="AU46" i="13"/>
  <c r="AT46" i="13"/>
  <c r="AS46" i="13"/>
  <c r="AR46" i="13"/>
  <c r="AQ46" i="13"/>
  <c r="AW45" i="13"/>
  <c r="AV45" i="13"/>
  <c r="AU45" i="13"/>
  <c r="AT45" i="13"/>
  <c r="AQ45" i="13"/>
  <c r="AW44" i="13"/>
  <c r="AV44" i="13"/>
  <c r="AU44" i="13"/>
  <c r="AT44" i="13"/>
  <c r="AS44" i="13"/>
  <c r="AR44" i="13"/>
  <c r="AQ44" i="13"/>
  <c r="AW43" i="13"/>
  <c r="AV43" i="13"/>
  <c r="AU43" i="13"/>
  <c r="AS43" i="13"/>
  <c r="AR43" i="13"/>
  <c r="AQ43" i="13"/>
  <c r="AW37" i="13"/>
  <c r="AU37" i="13"/>
  <c r="AT37" i="13"/>
  <c r="AS37" i="13"/>
  <c r="AR37" i="13"/>
  <c r="AQ37" i="13"/>
  <c r="AW36" i="13"/>
  <c r="AV36" i="13"/>
  <c r="AU36" i="13"/>
  <c r="AT36" i="13"/>
  <c r="AS36" i="13"/>
  <c r="AR36" i="13"/>
  <c r="AQ36" i="13"/>
  <c r="AW35" i="13"/>
  <c r="AV35" i="13"/>
  <c r="AU35" i="13"/>
  <c r="AT35" i="13"/>
  <c r="AS35" i="13"/>
  <c r="AR35" i="13"/>
  <c r="AQ35" i="13"/>
  <c r="AW34" i="13"/>
  <c r="AV34" i="13"/>
  <c r="AU34" i="13"/>
  <c r="AT34" i="13"/>
  <c r="AS34" i="13"/>
  <c r="AR34" i="13"/>
  <c r="AQ34" i="13"/>
  <c r="AW32" i="13"/>
  <c r="AV32" i="13"/>
  <c r="AU32" i="13"/>
  <c r="AT32" i="13"/>
  <c r="AS32" i="13"/>
  <c r="AR32" i="13"/>
  <c r="AQ32" i="13"/>
  <c r="AW31" i="13"/>
  <c r="AV31" i="13"/>
  <c r="AU31" i="13"/>
  <c r="AT31" i="13"/>
  <c r="AS31" i="13"/>
  <c r="AR31" i="13"/>
  <c r="AQ31" i="13"/>
  <c r="AW30" i="13"/>
  <c r="AV30" i="13"/>
  <c r="AU30" i="13"/>
  <c r="AS30" i="13"/>
  <c r="AR30" i="13"/>
  <c r="AQ30" i="13"/>
  <c r="AW28" i="13"/>
  <c r="AV28" i="13"/>
  <c r="AU28" i="13"/>
  <c r="AT28" i="13"/>
  <c r="AS28" i="13"/>
  <c r="AR28" i="13"/>
  <c r="AQ28" i="13"/>
  <c r="AW27" i="13"/>
  <c r="AV27" i="13"/>
  <c r="AU27" i="13"/>
  <c r="AT27" i="13"/>
  <c r="AS27" i="13"/>
  <c r="AR27" i="13"/>
  <c r="AQ27" i="13"/>
  <c r="AW26" i="13"/>
  <c r="AV26" i="13"/>
  <c r="AU26" i="13"/>
  <c r="AT26" i="13"/>
  <c r="AS26" i="13"/>
  <c r="AR26" i="13"/>
  <c r="AQ26" i="13"/>
  <c r="AW25" i="13"/>
  <c r="AV25" i="13"/>
  <c r="AU25" i="13"/>
  <c r="AT25" i="13"/>
  <c r="AS25" i="13"/>
  <c r="AR25" i="13"/>
  <c r="AQ25" i="13"/>
  <c r="AW24" i="13"/>
  <c r="AV24" i="13"/>
  <c r="AU24" i="13"/>
  <c r="AT24" i="13"/>
  <c r="AS24" i="13"/>
  <c r="AR24" i="13"/>
  <c r="AQ24" i="13"/>
  <c r="AW23" i="13"/>
  <c r="AV23" i="13"/>
  <c r="AU23" i="13"/>
  <c r="AT23" i="13"/>
  <c r="AS23" i="13"/>
  <c r="AR23" i="13"/>
  <c r="AQ23" i="13"/>
  <c r="AW22" i="13"/>
  <c r="AV22" i="13"/>
  <c r="AU22" i="13"/>
  <c r="AT22" i="13"/>
  <c r="AS22" i="13"/>
  <c r="AR22" i="13"/>
  <c r="AQ22" i="13"/>
  <c r="AW21" i="13"/>
  <c r="AV21" i="13"/>
  <c r="AU21" i="13"/>
  <c r="AT21" i="13"/>
  <c r="AS21" i="13"/>
  <c r="AR21" i="13"/>
  <c r="AQ21" i="13"/>
  <c r="AW20" i="13"/>
  <c r="AV20" i="13"/>
  <c r="AU20" i="13"/>
  <c r="AT20" i="13"/>
  <c r="AS20" i="13"/>
  <c r="AR20" i="13"/>
  <c r="AQ20" i="13"/>
  <c r="AW19" i="13"/>
  <c r="AV19" i="13"/>
  <c r="AU19" i="13"/>
  <c r="AT19" i="13"/>
  <c r="AS19" i="13"/>
  <c r="AR19" i="13"/>
  <c r="AQ19" i="13"/>
  <c r="AV15" i="13"/>
  <c r="AU15" i="13"/>
  <c r="AT15" i="13"/>
  <c r="AS15" i="13"/>
  <c r="AR15" i="13"/>
  <c r="AQ15" i="13"/>
  <c r="AW14" i="13"/>
  <c r="AV14" i="13"/>
  <c r="AU14" i="13"/>
  <c r="AT14" i="13"/>
  <c r="AS14" i="13"/>
  <c r="AR14" i="13"/>
  <c r="AQ14" i="13"/>
  <c r="AW13" i="13"/>
  <c r="AV13" i="13"/>
  <c r="AU13" i="13"/>
  <c r="AT13" i="13"/>
  <c r="AS13" i="13"/>
  <c r="AR13" i="13"/>
  <c r="AQ13" i="13"/>
  <c r="AW12" i="13"/>
  <c r="AV12" i="13"/>
  <c r="AU12" i="13"/>
  <c r="AT12" i="13"/>
  <c r="AS12" i="13"/>
  <c r="AR12" i="13"/>
  <c r="AQ12" i="13"/>
  <c r="AW9" i="13"/>
  <c r="C67" i="16" s="1"/>
  <c r="AV9" i="13"/>
  <c r="AU9" i="13"/>
  <c r="AT9" i="13"/>
  <c r="AS9" i="13"/>
  <c r="AR9" i="13"/>
  <c r="AQ9" i="13"/>
  <c r="AW8" i="13"/>
  <c r="B67" i="16" s="1"/>
  <c r="AV8" i="13"/>
  <c r="AU8" i="13"/>
  <c r="AT8" i="13"/>
  <c r="AS8" i="13"/>
  <c r="AR8" i="13"/>
  <c r="AQ8" i="13"/>
  <c r="AP86" i="13"/>
  <c r="AP77" i="13"/>
  <c r="AP76" i="13"/>
  <c r="AP75" i="13"/>
  <c r="AP64" i="13"/>
  <c r="AP63" i="13"/>
  <c r="AP62" i="13"/>
  <c r="AP61" i="13"/>
  <c r="AP60" i="13"/>
  <c r="AP58" i="13"/>
  <c r="AP57" i="13"/>
  <c r="AP53" i="13"/>
  <c r="AP52" i="13"/>
  <c r="AP51" i="13"/>
  <c r="AP50" i="13"/>
  <c r="AP49" i="13"/>
  <c r="AP48" i="13"/>
  <c r="AP47" i="13"/>
  <c r="AP46" i="13"/>
  <c r="AP45" i="13"/>
  <c r="AP44" i="13"/>
  <c r="AP43" i="13"/>
  <c r="AP37" i="13"/>
  <c r="AP36" i="13"/>
  <c r="AP34" i="13"/>
  <c r="AP32" i="13"/>
  <c r="AP31" i="13"/>
  <c r="AP30" i="13"/>
  <c r="AP28" i="13"/>
  <c r="AP27" i="13"/>
  <c r="AP26" i="13"/>
  <c r="AP25" i="13"/>
  <c r="AP24" i="13"/>
  <c r="AP23" i="13"/>
  <c r="AP22" i="13"/>
  <c r="AP21" i="13"/>
  <c r="AP20" i="13"/>
  <c r="AP19" i="13"/>
  <c r="AP15" i="13"/>
  <c r="AP14" i="13"/>
  <c r="AP13" i="13"/>
  <c r="AP12" i="13"/>
  <c r="AP9" i="13"/>
  <c r="AP8" i="13"/>
  <c r="B31" i="16" l="1"/>
  <c r="B34" i="16"/>
  <c r="B33" i="16"/>
  <c r="B32" i="16"/>
  <c r="B35" i="16"/>
  <c r="C32" i="16"/>
  <c r="C34" i="16"/>
  <c r="C35" i="16"/>
  <c r="C31" i="16"/>
  <c r="C33" i="16"/>
  <c r="AU54" i="13"/>
  <c r="AT16" i="13"/>
  <c r="AW54" i="13"/>
  <c r="AV54" i="13"/>
  <c r="AR65" i="13"/>
  <c r="AS16" i="13"/>
  <c r="AP16" i="13"/>
  <c r="AP29" i="13"/>
  <c r="AP54" i="13"/>
  <c r="AR16" i="13"/>
  <c r="AV16" i="13"/>
  <c r="J23" i="11"/>
  <c r="AT65" i="13"/>
  <c r="U29" i="13"/>
  <c r="U54" i="13"/>
  <c r="AQ29" i="13"/>
  <c r="AU29" i="13"/>
  <c r="AW65" i="13"/>
  <c r="U16" i="13"/>
  <c r="U65" i="13"/>
  <c r="AQ16" i="13"/>
  <c r="AU16" i="13"/>
  <c r="AR29" i="13"/>
  <c r="AV29" i="13"/>
  <c r="AQ65" i="13"/>
  <c r="AS29" i="13"/>
  <c r="AW29" i="13"/>
  <c r="AT29" i="13"/>
  <c r="AQ74" i="13" l="1"/>
  <c r="AQ80" i="13" s="1"/>
  <c r="AQ83" i="13" s="1"/>
  <c r="AQ85" i="13" s="1"/>
  <c r="AQ87" i="13" s="1"/>
  <c r="AQ93" i="13" s="1"/>
  <c r="AW67" i="13"/>
  <c r="E67" i="16" s="1"/>
  <c r="AP74" i="13"/>
  <c r="AS74" i="13"/>
  <c r="AU74" i="13"/>
  <c r="AR74" i="13"/>
  <c r="AR80" i="13" s="1"/>
  <c r="AR83" i="13" s="1"/>
  <c r="U74" i="13"/>
  <c r="U80" i="13" s="1"/>
  <c r="U83" i="13" s="1"/>
  <c r="U67" i="13"/>
  <c r="E31" i="16" s="1" a="1"/>
  <c r="E31" i="16" l="1"/>
  <c r="E33" i="16"/>
  <c r="E35" i="16"/>
  <c r="E32" i="16"/>
  <c r="E34" i="16"/>
  <c r="AR85" i="13"/>
  <c r="AR87" i="13" s="1"/>
  <c r="U85" i="13"/>
  <c r="U87" i="13" s="1"/>
  <c r="U93" i="13" s="1"/>
  <c r="AS45" i="13"/>
  <c r="AS54" i="13" s="1"/>
  <c r="AS79" i="13"/>
  <c r="AS78" i="13"/>
  <c r="AS59" i="13"/>
  <c r="AS65" i="13" s="1"/>
  <c r="AS80" i="13" l="1"/>
  <c r="AS83" i="13" s="1"/>
  <c r="AS67" i="13"/>
  <c r="AP79" i="13"/>
  <c r="AP78" i="13"/>
  <c r="AP59" i="13"/>
  <c r="AP65" i="13" s="1"/>
  <c r="AP67" i="13" s="1"/>
  <c r="AP35" i="13"/>
  <c r="AS85" i="13" l="1"/>
  <c r="AS87" i="13" s="1"/>
  <c r="AP80" i="13"/>
  <c r="AP83" i="13" s="1"/>
  <c r="AP65" i="17"/>
  <c r="AP54" i="17"/>
  <c r="AP29" i="17"/>
  <c r="AP16" i="17"/>
  <c r="AP9" i="17"/>
  <c r="AP8" i="17"/>
  <c r="AP85" i="13" l="1"/>
  <c r="AP87" i="13" s="1"/>
  <c r="AP67" i="17"/>
  <c r="AP74" i="17"/>
  <c r="AP80" i="17" s="1"/>
  <c r="AP83" i="17" s="1"/>
  <c r="AP85" i="17" l="1"/>
  <c r="AP87" i="17" s="1"/>
  <c r="AP33" i="17" s="1"/>
  <c r="AP38" i="17" s="1"/>
  <c r="AP40" i="17" s="1"/>
  <c r="AW15" i="13" l="1"/>
  <c r="AW16" i="13" s="1"/>
  <c r="AW74" i="13" s="1"/>
  <c r="AW80" i="13" s="1"/>
  <c r="AW83" i="13" s="1"/>
  <c r="AW85" i="13" l="1"/>
  <c r="AW87" i="13" s="1"/>
  <c r="AW93" i="13" s="1"/>
  <c r="AV37" i="13"/>
  <c r="AV74" i="13" s="1"/>
  <c r="AV80" i="13" s="1"/>
  <c r="AV83" i="13" s="1"/>
  <c r="AV85" i="13" l="1"/>
  <c r="AV87" i="13" s="1"/>
  <c r="AV93" i="13" s="1"/>
  <c r="AV62" i="13"/>
  <c r="AV65" i="13" s="1"/>
  <c r="AU79" i="13"/>
  <c r="AU80" i="13" s="1"/>
  <c r="AU83" i="13" s="1"/>
  <c r="AV67" i="13" l="1"/>
  <c r="AU85" i="13"/>
  <c r="AU87" i="13" s="1"/>
  <c r="AU93" i="13" s="1"/>
  <c r="AU63" i="13"/>
  <c r="AU65" i="13" s="1"/>
  <c r="AU67" i="13" s="1"/>
  <c r="AT79" i="13"/>
  <c r="AT43" i="13"/>
  <c r="AT54" i="13" s="1"/>
  <c r="AT67" i="13" s="1"/>
  <c r="AT30" i="13"/>
  <c r="AT74" i="13" s="1"/>
  <c r="AT80" i="13" l="1"/>
  <c r="AT83" i="13" s="1"/>
  <c r="AR45" i="13"/>
  <c r="AR48" i="13"/>
  <c r="AT85" i="13" l="1"/>
  <c r="AT87" i="13" s="1"/>
  <c r="AQ51" i="13"/>
  <c r="AQ48" i="13"/>
  <c r="AR54" i="13"/>
  <c r="AR67" i="13" s="1"/>
  <c r="AQ49" i="13"/>
  <c r="AQ50" i="13"/>
  <c r="AP65" i="1"/>
  <c r="AP54" i="1"/>
  <c r="AP29" i="1"/>
  <c r="AP16" i="1"/>
  <c r="AP67" i="1" l="1"/>
  <c r="AP74" i="1"/>
  <c r="AP80" i="1" s="1"/>
  <c r="AP83" i="1" s="1"/>
  <c r="AQ54" i="13"/>
  <c r="AQ67" i="13" l="1"/>
  <c r="AP85" i="1"/>
  <c r="AP87" i="1" s="1"/>
  <c r="AP33" i="1" s="1"/>
  <c r="AP33" i="13" l="1"/>
  <c r="AP38" i="13" s="1"/>
  <c r="AP40" i="13" s="1"/>
  <c r="AP38" i="1"/>
  <c r="AP40" i="1" s="1"/>
  <c r="I79" i="11"/>
  <c r="C79" i="11" s="1"/>
  <c r="I79" i="10"/>
  <c r="E79" i="10"/>
  <c r="C79" i="10" s="1"/>
  <c r="AO86" i="13"/>
  <c r="AN86" i="13"/>
  <c r="AM86" i="13"/>
  <c r="AL86" i="13"/>
  <c r="AJ86" i="13"/>
  <c r="AH86" i="13"/>
  <c r="AG86" i="13"/>
  <c r="AF86" i="13"/>
  <c r="AE86" i="13"/>
  <c r="AD86" i="13"/>
  <c r="AC86" i="13"/>
  <c r="AB86" i="13"/>
  <c r="AA86" i="13"/>
  <c r="Z86" i="13"/>
  <c r="Y86" i="13"/>
  <c r="X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K61" i="15"/>
  <c r="K50" i="15"/>
  <c r="K47" i="15"/>
  <c r="K27" i="15"/>
  <c r="K22" i="15"/>
  <c r="K12" i="15"/>
  <c r="I72" i="11"/>
  <c r="C72" i="11" s="1"/>
  <c r="I71" i="11"/>
  <c r="C71" i="11" s="1"/>
  <c r="I70" i="11"/>
  <c r="I69" i="11"/>
  <c r="C69" i="11" s="1"/>
  <c r="I68" i="11"/>
  <c r="I57" i="11"/>
  <c r="C57" i="11" s="1"/>
  <c r="I56" i="11"/>
  <c r="C56" i="11" s="1"/>
  <c r="I55" i="11"/>
  <c r="C55" i="11" s="1"/>
  <c r="I54" i="11"/>
  <c r="C54" i="11" s="1"/>
  <c r="I53" i="11"/>
  <c r="C53" i="11" s="1"/>
  <c r="I52" i="11"/>
  <c r="C52" i="11" s="1"/>
  <c r="I51" i="11"/>
  <c r="C51" i="11" s="1"/>
  <c r="I47" i="11"/>
  <c r="C47" i="11" s="1"/>
  <c r="I46" i="11"/>
  <c r="C46" i="11" s="1"/>
  <c r="I45" i="11"/>
  <c r="C45" i="11" s="1"/>
  <c r="I44" i="11"/>
  <c r="C44" i="11" s="1"/>
  <c r="I43" i="11"/>
  <c r="C43" i="11" s="1"/>
  <c r="I42" i="11"/>
  <c r="C42" i="11" s="1"/>
  <c r="I41" i="11"/>
  <c r="C41" i="11" s="1"/>
  <c r="I40" i="11"/>
  <c r="C40" i="11" s="1"/>
  <c r="I39" i="11"/>
  <c r="C39" i="11" s="1"/>
  <c r="I38" i="11"/>
  <c r="C38" i="11" s="1"/>
  <c r="I37" i="11"/>
  <c r="C37" i="11" s="1"/>
  <c r="I31" i="11"/>
  <c r="C31" i="11" s="1"/>
  <c r="I30" i="11"/>
  <c r="C30" i="11" s="1"/>
  <c r="I29" i="11"/>
  <c r="C29" i="11" s="1"/>
  <c r="I26" i="11"/>
  <c r="C26" i="11" s="1"/>
  <c r="I25" i="11"/>
  <c r="C25" i="11" s="1"/>
  <c r="I24" i="11"/>
  <c r="C24" i="11" s="1"/>
  <c r="I22" i="11"/>
  <c r="C22" i="11" s="1"/>
  <c r="I21" i="11"/>
  <c r="C21" i="11" s="1"/>
  <c r="I20" i="11"/>
  <c r="C20" i="11" s="1"/>
  <c r="I19" i="11"/>
  <c r="C19" i="11" s="1"/>
  <c r="I18" i="11"/>
  <c r="C18" i="11" s="1"/>
  <c r="I17" i="11"/>
  <c r="C17" i="11" s="1"/>
  <c r="I16" i="11"/>
  <c r="C16" i="11" s="1"/>
  <c r="I15" i="11"/>
  <c r="C15" i="11" s="1"/>
  <c r="I14" i="11"/>
  <c r="C14" i="11" s="1"/>
  <c r="I13" i="11"/>
  <c r="C13" i="11" s="1"/>
  <c r="I9" i="11"/>
  <c r="C9" i="11" s="1"/>
  <c r="I8" i="11"/>
  <c r="C8" i="11" s="1"/>
  <c r="I7" i="11"/>
  <c r="C7" i="11" s="1"/>
  <c r="I6" i="11"/>
  <c r="C6" i="11" s="1"/>
  <c r="I72" i="10"/>
  <c r="C72" i="10" s="1"/>
  <c r="I71" i="10"/>
  <c r="C71" i="10" s="1"/>
  <c r="I70" i="10"/>
  <c r="I69" i="10"/>
  <c r="C69" i="10" s="1"/>
  <c r="I68" i="10"/>
  <c r="I57" i="10"/>
  <c r="C57" i="10" s="1"/>
  <c r="I56" i="10"/>
  <c r="C56" i="10" s="1"/>
  <c r="I55" i="10"/>
  <c r="C55" i="10" s="1"/>
  <c r="I54" i="10"/>
  <c r="C54" i="10" s="1"/>
  <c r="I53" i="10"/>
  <c r="C53" i="10" s="1"/>
  <c r="I52" i="10"/>
  <c r="C52" i="10" s="1"/>
  <c r="I51" i="10"/>
  <c r="C51" i="10" s="1"/>
  <c r="I47" i="10"/>
  <c r="C47" i="10" s="1"/>
  <c r="I46" i="10"/>
  <c r="C46" i="10" s="1"/>
  <c r="I45" i="10"/>
  <c r="C45" i="10" s="1"/>
  <c r="I44" i="10"/>
  <c r="C44" i="10" s="1"/>
  <c r="I43" i="10"/>
  <c r="C43" i="10" s="1"/>
  <c r="I42" i="10"/>
  <c r="C42" i="10" s="1"/>
  <c r="I41" i="10"/>
  <c r="C41" i="10" s="1"/>
  <c r="I40" i="10"/>
  <c r="C40" i="10" s="1"/>
  <c r="I39" i="10"/>
  <c r="C39" i="10" s="1"/>
  <c r="I38" i="10"/>
  <c r="C38" i="10" s="1"/>
  <c r="I31" i="10"/>
  <c r="C31" i="10" s="1"/>
  <c r="I30" i="10"/>
  <c r="C30" i="10" s="1"/>
  <c r="I29" i="10"/>
  <c r="C29" i="10" s="1"/>
  <c r="I26" i="10"/>
  <c r="C26" i="10" s="1"/>
  <c r="I25" i="10"/>
  <c r="C25" i="10" s="1"/>
  <c r="I24" i="10"/>
  <c r="C24" i="10" s="1"/>
  <c r="I22" i="10"/>
  <c r="C22" i="10" s="1"/>
  <c r="I21" i="10"/>
  <c r="C21" i="10" s="1"/>
  <c r="I20" i="10"/>
  <c r="C20" i="10" s="1"/>
  <c r="I19" i="10"/>
  <c r="C19" i="10" s="1"/>
  <c r="I18" i="10"/>
  <c r="C18" i="10" s="1"/>
  <c r="I17" i="10"/>
  <c r="C17" i="10" s="1"/>
  <c r="I16" i="10"/>
  <c r="C16" i="10" s="1"/>
  <c r="I15" i="10"/>
  <c r="C15" i="10" s="1"/>
  <c r="I14" i="10"/>
  <c r="C14" i="10" s="1"/>
  <c r="I13" i="10"/>
  <c r="C13" i="10" s="1"/>
  <c r="I9" i="10"/>
  <c r="C9" i="10" s="1"/>
  <c r="I8" i="10"/>
  <c r="C8" i="10" s="1"/>
  <c r="I7" i="10"/>
  <c r="C7" i="10" s="1"/>
  <c r="I6" i="10"/>
  <c r="C6" i="10" s="1"/>
  <c r="J75" i="11"/>
  <c r="J75" i="10"/>
  <c r="K33" i="15"/>
  <c r="K80" i="15"/>
  <c r="K63" i="15"/>
  <c r="B86" i="13" l="1"/>
  <c r="K30" i="15"/>
  <c r="K57" i="15"/>
  <c r="K75" i="15"/>
  <c r="K11" i="15"/>
  <c r="K18" i="15"/>
  <c r="K26" i="15"/>
  <c r="K31" i="15"/>
  <c r="K46" i="15"/>
  <c r="K23" i="15"/>
  <c r="K58" i="15"/>
  <c r="K62" i="15"/>
  <c r="K76" i="15"/>
  <c r="K45" i="15"/>
  <c r="K49" i="15"/>
  <c r="K60" i="15"/>
  <c r="K74" i="15"/>
  <c r="J10" i="10"/>
  <c r="J23" i="10"/>
  <c r="K29" i="15"/>
  <c r="K35" i="15"/>
  <c r="K48" i="15"/>
  <c r="J48" i="11"/>
  <c r="K20" i="15"/>
  <c r="K24" i="15"/>
  <c r="K52" i="15"/>
  <c r="K59" i="15"/>
  <c r="K73" i="15"/>
  <c r="K77" i="15"/>
  <c r="J10" i="11"/>
  <c r="J59" i="11"/>
  <c r="K14" i="15"/>
  <c r="K21" i="15"/>
  <c r="K25" i="15"/>
  <c r="K36" i="15"/>
  <c r="K34" i="15"/>
  <c r="K19" i="15"/>
  <c r="K44" i="15"/>
  <c r="K51" i="15"/>
  <c r="J48" i="10"/>
  <c r="K43" i="15"/>
  <c r="K13" i="15"/>
  <c r="K42" i="15"/>
  <c r="M30" i="4"/>
  <c r="J67" i="10" l="1"/>
  <c r="J73" i="10" s="1"/>
  <c r="J67" i="11"/>
  <c r="J73" i="11" s="1"/>
  <c r="J76" i="11" s="1"/>
  <c r="J78" i="11" s="1"/>
  <c r="J61" i="11"/>
  <c r="K28" i="15"/>
  <c r="K53" i="15"/>
  <c r="K15" i="15"/>
  <c r="J76" i="10" l="1"/>
  <c r="J78" i="10"/>
  <c r="J32" i="11"/>
  <c r="J34" i="11" s="1"/>
  <c r="J80" i="11"/>
  <c r="K72" i="15"/>
  <c r="J80" i="10" l="1"/>
  <c r="K78" i="15"/>
  <c r="J27" i="10" l="1"/>
  <c r="J32" i="10" s="1"/>
  <c r="J34" i="10" s="1"/>
  <c r="K83" i="15"/>
  <c r="K32" i="15" l="1"/>
  <c r="K37" i="15" s="1"/>
  <c r="K39" i="15" s="1"/>
  <c r="K81" i="15"/>
  <c r="I37" i="10" l="1"/>
  <c r="C37" i="10" s="1"/>
  <c r="B39" i="17" l="1"/>
  <c r="B39" i="1"/>
  <c r="AW8" i="17" l="1"/>
  <c r="AV8" i="17"/>
  <c r="AU8" i="17"/>
  <c r="AT8" i="17"/>
  <c r="AS8" i="17"/>
  <c r="AR8" i="17"/>
  <c r="AQ8" i="17"/>
  <c r="AO8" i="17"/>
  <c r="AN8" i="17"/>
  <c r="AM8" i="17"/>
  <c r="AL8" i="17"/>
  <c r="AJ8" i="17"/>
  <c r="AH8" i="17"/>
  <c r="AG8" i="17"/>
  <c r="AF8" i="17"/>
  <c r="AE8" i="17"/>
  <c r="AD8" i="17"/>
  <c r="AC8" i="17"/>
  <c r="AB8" i="17"/>
  <c r="AA8" i="17"/>
  <c r="Z8" i="17"/>
  <c r="Y8" i="17"/>
  <c r="X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AW9" i="17" l="1"/>
  <c r="AV9" i="17"/>
  <c r="AU9" i="17"/>
  <c r="AT9" i="17"/>
  <c r="AS9" i="17"/>
  <c r="AR9" i="17"/>
  <c r="AQ9" i="17"/>
  <c r="AO9" i="17"/>
  <c r="AN9" i="17"/>
  <c r="AM9" i="17"/>
  <c r="AL9" i="17"/>
  <c r="AJ9" i="17"/>
  <c r="AH9" i="17"/>
  <c r="AG9" i="17"/>
  <c r="AF9" i="17"/>
  <c r="AE9" i="17"/>
  <c r="AD9" i="17"/>
  <c r="AC9" i="17"/>
  <c r="AB9" i="17"/>
  <c r="AA9" i="17"/>
  <c r="Z9" i="17"/>
  <c r="Y9" i="17"/>
  <c r="X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O79" i="13" l="1"/>
  <c r="AN79" i="13"/>
  <c r="AM79" i="13"/>
  <c r="AL79" i="13"/>
  <c r="AJ79" i="13"/>
  <c r="AH79" i="13"/>
  <c r="AG79" i="13"/>
  <c r="AF79" i="13"/>
  <c r="AE79" i="13"/>
  <c r="AD79" i="13"/>
  <c r="AC79" i="13"/>
  <c r="AB79" i="13"/>
  <c r="AA79" i="13"/>
  <c r="Z79" i="13"/>
  <c r="Y79" i="13"/>
  <c r="X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AO78" i="13"/>
  <c r="AN78" i="13"/>
  <c r="AM78" i="13"/>
  <c r="AL78" i="13"/>
  <c r="AJ78" i="13"/>
  <c r="AH78" i="13"/>
  <c r="AG78" i="13"/>
  <c r="AF78" i="13"/>
  <c r="AE78" i="13"/>
  <c r="AD78" i="13"/>
  <c r="AC78" i="13"/>
  <c r="AB78" i="13"/>
  <c r="AA78" i="13"/>
  <c r="Z78" i="13"/>
  <c r="Y78" i="13"/>
  <c r="X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AO77" i="13"/>
  <c r="AN77" i="13"/>
  <c r="AM77" i="13"/>
  <c r="AL77" i="13"/>
  <c r="AJ77" i="13"/>
  <c r="AH77" i="13"/>
  <c r="AG77" i="13"/>
  <c r="AF77" i="13"/>
  <c r="AE77" i="13"/>
  <c r="AD77" i="13"/>
  <c r="AC77" i="13"/>
  <c r="AA77" i="13"/>
  <c r="Z77" i="13"/>
  <c r="Y77" i="13"/>
  <c r="X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O76" i="13"/>
  <c r="AN76" i="13"/>
  <c r="AM76" i="13"/>
  <c r="AL76" i="13"/>
  <c r="AJ76" i="13"/>
  <c r="AH76" i="13"/>
  <c r="AG76" i="13"/>
  <c r="AF76" i="13"/>
  <c r="AE76" i="13"/>
  <c r="AD76" i="13"/>
  <c r="AC76" i="13"/>
  <c r="AB76" i="13"/>
  <c r="AA76" i="13"/>
  <c r="Z76" i="13"/>
  <c r="Y76" i="13"/>
  <c r="X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AO75" i="13"/>
  <c r="AN75" i="13"/>
  <c r="AM75" i="13"/>
  <c r="AL75" i="13"/>
  <c r="AJ75" i="13"/>
  <c r="AH75" i="13"/>
  <c r="AG75" i="13"/>
  <c r="AF75" i="13"/>
  <c r="AE75" i="13"/>
  <c r="AD75" i="13"/>
  <c r="AC75" i="13"/>
  <c r="AB75" i="13"/>
  <c r="AA75" i="13"/>
  <c r="Z75" i="13"/>
  <c r="Y75" i="13"/>
  <c r="X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O64" i="13"/>
  <c r="AN64" i="13"/>
  <c r="AM64" i="13"/>
  <c r="AL64" i="13"/>
  <c r="AJ64" i="13"/>
  <c r="AH64" i="13"/>
  <c r="AG64" i="13"/>
  <c r="AF64" i="13"/>
  <c r="AE64" i="13"/>
  <c r="AD64" i="13"/>
  <c r="AC64" i="13"/>
  <c r="AB64" i="13"/>
  <c r="AA64" i="13"/>
  <c r="Z64" i="13"/>
  <c r="Y64" i="13"/>
  <c r="X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O63" i="13"/>
  <c r="AN63" i="13"/>
  <c r="AM63" i="13"/>
  <c r="AL63" i="13"/>
  <c r="AJ63" i="13"/>
  <c r="AH63" i="13"/>
  <c r="AG63" i="13"/>
  <c r="AF63" i="13"/>
  <c r="AE63" i="13"/>
  <c r="AD63" i="13"/>
  <c r="AC63" i="13"/>
  <c r="AB63" i="13"/>
  <c r="AA63" i="13"/>
  <c r="Z63" i="13"/>
  <c r="Y63" i="13"/>
  <c r="X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O62" i="13"/>
  <c r="AN62" i="13"/>
  <c r="AM62" i="13"/>
  <c r="AL62" i="13"/>
  <c r="AJ62" i="13"/>
  <c r="AH62" i="13"/>
  <c r="AG62" i="13"/>
  <c r="AF62" i="13"/>
  <c r="AE62" i="13"/>
  <c r="AD62" i="13"/>
  <c r="AC62" i="13"/>
  <c r="AB62" i="13"/>
  <c r="AA62" i="13"/>
  <c r="Z62" i="13"/>
  <c r="Y62" i="13"/>
  <c r="X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AO61" i="13"/>
  <c r="AN61" i="13"/>
  <c r="AM61" i="13"/>
  <c r="AL61" i="13"/>
  <c r="AJ61" i="13"/>
  <c r="AH61" i="13"/>
  <c r="AG61" i="13"/>
  <c r="AF61" i="13"/>
  <c r="AE61" i="13"/>
  <c r="AD61" i="13"/>
  <c r="AC61" i="13"/>
  <c r="AB61" i="13"/>
  <c r="AA61" i="13"/>
  <c r="Z61" i="13"/>
  <c r="Y61" i="13"/>
  <c r="X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AO60" i="13"/>
  <c r="AN60" i="13"/>
  <c r="AM60" i="13"/>
  <c r="AL60" i="13"/>
  <c r="AJ60" i="13"/>
  <c r="AH60" i="13"/>
  <c r="AG60" i="13"/>
  <c r="AF60" i="13"/>
  <c r="AE60" i="13"/>
  <c r="AD60" i="13"/>
  <c r="AC60" i="13"/>
  <c r="AB60" i="13"/>
  <c r="AA60" i="13"/>
  <c r="Z60" i="13"/>
  <c r="Y60" i="13"/>
  <c r="X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AO59" i="13"/>
  <c r="AN59" i="13"/>
  <c r="AM59" i="13"/>
  <c r="AL59" i="13"/>
  <c r="AJ59" i="13"/>
  <c r="AH59" i="13"/>
  <c r="AF59" i="13"/>
  <c r="AE59" i="13"/>
  <c r="AD59" i="13"/>
  <c r="AC59" i="13"/>
  <c r="AB59" i="13"/>
  <c r="AA59" i="13"/>
  <c r="Z59" i="13"/>
  <c r="Y59" i="13"/>
  <c r="X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O58" i="13"/>
  <c r="AN58" i="13"/>
  <c r="AM58" i="13"/>
  <c r="AL58" i="13"/>
  <c r="AJ58" i="13"/>
  <c r="AH58" i="13"/>
  <c r="AG58" i="13"/>
  <c r="AF58" i="13"/>
  <c r="AE58" i="13"/>
  <c r="AD58" i="13"/>
  <c r="AC58" i="13"/>
  <c r="AB58" i="13"/>
  <c r="AA58" i="13"/>
  <c r="Z58" i="13"/>
  <c r="Y58" i="13"/>
  <c r="X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O57" i="13"/>
  <c r="AN57" i="13"/>
  <c r="AM57" i="13"/>
  <c r="AL57" i="13"/>
  <c r="AJ57" i="13"/>
  <c r="AH57" i="13"/>
  <c r="AG57" i="13"/>
  <c r="AF57" i="13"/>
  <c r="AE57" i="13"/>
  <c r="AD57" i="13"/>
  <c r="AC57" i="13"/>
  <c r="AB57" i="13"/>
  <c r="AA57" i="13"/>
  <c r="Z57" i="13"/>
  <c r="Y57" i="13"/>
  <c r="X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O53" i="13"/>
  <c r="AN53" i="13"/>
  <c r="AM53" i="13"/>
  <c r="AL53" i="13"/>
  <c r="AJ53" i="13"/>
  <c r="AH53" i="13"/>
  <c r="AG53" i="13"/>
  <c r="AF53" i="13"/>
  <c r="AE53" i="13"/>
  <c r="AD53" i="13"/>
  <c r="AC53" i="13"/>
  <c r="AB53" i="13"/>
  <c r="AA53" i="13"/>
  <c r="Z53" i="13"/>
  <c r="Y53" i="13"/>
  <c r="X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O52" i="13"/>
  <c r="AN52" i="13"/>
  <c r="AM52" i="13"/>
  <c r="AL52" i="13"/>
  <c r="AJ52" i="13"/>
  <c r="AH52" i="13"/>
  <c r="AG52" i="13"/>
  <c r="AF52" i="13"/>
  <c r="AE52" i="13"/>
  <c r="AD52" i="13"/>
  <c r="AC52" i="13"/>
  <c r="AB52" i="13"/>
  <c r="AA52" i="13"/>
  <c r="Z52" i="13"/>
  <c r="Y52" i="13"/>
  <c r="X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O51" i="13"/>
  <c r="AN51" i="13"/>
  <c r="AM51" i="13"/>
  <c r="AL51" i="13"/>
  <c r="AJ51" i="13"/>
  <c r="AH51" i="13"/>
  <c r="AG51" i="13"/>
  <c r="AF51" i="13"/>
  <c r="AE51" i="13"/>
  <c r="AD51" i="13"/>
  <c r="AC51" i="13"/>
  <c r="AB51" i="13"/>
  <c r="AA51" i="13"/>
  <c r="Z51" i="13"/>
  <c r="Y51" i="13"/>
  <c r="X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AO50" i="13"/>
  <c r="AN50" i="13"/>
  <c r="AM50" i="13"/>
  <c r="AL50" i="13"/>
  <c r="AJ50" i="13"/>
  <c r="AH50" i="13"/>
  <c r="AG50" i="13"/>
  <c r="AF50" i="13"/>
  <c r="AE50" i="13"/>
  <c r="AD50" i="13"/>
  <c r="AC50" i="13"/>
  <c r="AB50" i="13"/>
  <c r="AA50" i="13"/>
  <c r="Z50" i="13"/>
  <c r="Y50" i="13"/>
  <c r="X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O49" i="13"/>
  <c r="AN49" i="13"/>
  <c r="AM49" i="13"/>
  <c r="AL49" i="13"/>
  <c r="AJ49" i="13"/>
  <c r="AH49" i="13"/>
  <c r="AG49" i="13"/>
  <c r="AF49" i="13"/>
  <c r="AE49" i="13"/>
  <c r="AD49" i="13"/>
  <c r="AC49" i="13"/>
  <c r="AB49" i="13"/>
  <c r="AA49" i="13"/>
  <c r="Z49" i="13"/>
  <c r="Y49" i="13"/>
  <c r="X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AO48" i="13"/>
  <c r="AN48" i="13"/>
  <c r="AM48" i="13"/>
  <c r="AL48" i="13"/>
  <c r="AJ48" i="13"/>
  <c r="AH48" i="13"/>
  <c r="AG48" i="13"/>
  <c r="AF48" i="13"/>
  <c r="AE48" i="13"/>
  <c r="AD48" i="13"/>
  <c r="AC48" i="13"/>
  <c r="AB48" i="13"/>
  <c r="AA48" i="13"/>
  <c r="Z48" i="13"/>
  <c r="Y48" i="13"/>
  <c r="X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AO47" i="13"/>
  <c r="AN47" i="13"/>
  <c r="AM47" i="13"/>
  <c r="AL47" i="13"/>
  <c r="AJ47" i="13"/>
  <c r="AH47" i="13"/>
  <c r="AG47" i="13"/>
  <c r="AF47" i="13"/>
  <c r="AE47" i="13"/>
  <c r="AD47" i="13"/>
  <c r="AC47" i="13"/>
  <c r="AB47" i="13"/>
  <c r="AA47" i="13"/>
  <c r="Z47" i="13"/>
  <c r="Y47" i="13"/>
  <c r="X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AO46" i="13"/>
  <c r="AN46" i="13"/>
  <c r="AM46" i="13"/>
  <c r="AL46" i="13"/>
  <c r="AJ46" i="13"/>
  <c r="AH46" i="13"/>
  <c r="AG46" i="13"/>
  <c r="AF46" i="13"/>
  <c r="AE46" i="13"/>
  <c r="AD46" i="13"/>
  <c r="AC46" i="13"/>
  <c r="AB46" i="13"/>
  <c r="AA46" i="13"/>
  <c r="Z46" i="13"/>
  <c r="Y46" i="13"/>
  <c r="X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AO45" i="13"/>
  <c r="AN45" i="13"/>
  <c r="AM45" i="13"/>
  <c r="AL45" i="13"/>
  <c r="AJ45" i="13"/>
  <c r="AH45" i="13"/>
  <c r="AG45" i="13"/>
  <c r="AF45" i="13"/>
  <c r="AE45" i="13"/>
  <c r="AD45" i="13"/>
  <c r="AC45" i="13"/>
  <c r="AB45" i="13"/>
  <c r="AA45" i="13"/>
  <c r="Z45" i="13"/>
  <c r="Y45" i="13"/>
  <c r="X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O44" i="13"/>
  <c r="AN44" i="13"/>
  <c r="AM44" i="13"/>
  <c r="AL44" i="13"/>
  <c r="AJ44" i="13"/>
  <c r="AH44" i="13"/>
  <c r="AG44" i="13"/>
  <c r="AF44" i="13"/>
  <c r="AE44" i="13"/>
  <c r="AD44" i="13"/>
  <c r="AC44" i="13"/>
  <c r="AB44" i="13"/>
  <c r="AA44" i="13"/>
  <c r="Z44" i="13"/>
  <c r="Y44" i="13"/>
  <c r="X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O43" i="13"/>
  <c r="AN43" i="13"/>
  <c r="AM43" i="13"/>
  <c r="AL43" i="13"/>
  <c r="AJ43" i="13"/>
  <c r="AH43" i="13"/>
  <c r="AG43" i="13"/>
  <c r="AF43" i="13"/>
  <c r="AE43" i="13"/>
  <c r="AD43" i="13"/>
  <c r="AC43" i="13"/>
  <c r="AB43" i="13"/>
  <c r="AA43" i="13"/>
  <c r="Z43" i="13"/>
  <c r="Y43" i="13"/>
  <c r="X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O37" i="13"/>
  <c r="AN37" i="13"/>
  <c r="AM37" i="13"/>
  <c r="AL37" i="13"/>
  <c r="AJ37" i="13"/>
  <c r="AH37" i="13"/>
  <c r="AG37" i="13"/>
  <c r="AF37" i="13"/>
  <c r="AE37" i="13"/>
  <c r="AD37" i="13"/>
  <c r="AC37" i="13"/>
  <c r="AB37" i="13"/>
  <c r="AA37" i="13"/>
  <c r="Z37" i="13"/>
  <c r="Y37" i="13"/>
  <c r="X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O36" i="13"/>
  <c r="AN36" i="13"/>
  <c r="AM36" i="13"/>
  <c r="AL36" i="13"/>
  <c r="AJ36" i="13"/>
  <c r="AH36" i="13"/>
  <c r="AG36" i="13"/>
  <c r="AF36" i="13"/>
  <c r="AE36" i="13"/>
  <c r="AD36" i="13"/>
  <c r="AC36" i="13"/>
  <c r="AB36" i="13"/>
  <c r="AA36" i="13"/>
  <c r="Z36" i="13"/>
  <c r="Y36" i="13"/>
  <c r="X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O35" i="13"/>
  <c r="AN35" i="13"/>
  <c r="AM35" i="13"/>
  <c r="AL35" i="13"/>
  <c r="AJ35" i="13"/>
  <c r="AH35" i="13"/>
  <c r="AG35" i="13"/>
  <c r="AF35" i="13"/>
  <c r="AE35" i="13"/>
  <c r="AD35" i="13"/>
  <c r="AC35" i="13"/>
  <c r="AB35" i="13"/>
  <c r="AA35" i="13"/>
  <c r="Z35" i="13"/>
  <c r="Y35" i="13"/>
  <c r="X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O34" i="13"/>
  <c r="AN34" i="13"/>
  <c r="AM34" i="13"/>
  <c r="AL34" i="13"/>
  <c r="AJ34" i="13"/>
  <c r="AH34" i="13"/>
  <c r="AG34" i="13"/>
  <c r="AF34" i="13"/>
  <c r="AE34" i="13"/>
  <c r="AD34" i="13"/>
  <c r="AC34" i="13"/>
  <c r="AB34" i="13"/>
  <c r="AA34" i="13"/>
  <c r="Z34" i="13"/>
  <c r="Y34" i="13"/>
  <c r="X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O32" i="13"/>
  <c r="AN32" i="13"/>
  <c r="AM32" i="13"/>
  <c r="AL32" i="13"/>
  <c r="AJ32" i="13"/>
  <c r="AH32" i="13"/>
  <c r="AG32" i="13"/>
  <c r="AF32" i="13"/>
  <c r="AE32" i="13"/>
  <c r="AD32" i="13"/>
  <c r="AC32" i="13"/>
  <c r="AB32" i="13"/>
  <c r="AA32" i="13"/>
  <c r="Z32" i="13"/>
  <c r="Y32" i="13"/>
  <c r="X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O31" i="13"/>
  <c r="AN31" i="13"/>
  <c r="AM31" i="13"/>
  <c r="AL31" i="13"/>
  <c r="AJ31" i="13"/>
  <c r="AH31" i="13"/>
  <c r="AG31" i="13"/>
  <c r="AF31" i="13"/>
  <c r="AE31" i="13"/>
  <c r="AD31" i="13"/>
  <c r="AC31" i="13"/>
  <c r="AB31" i="13"/>
  <c r="AA31" i="13"/>
  <c r="Z31" i="13"/>
  <c r="Y31" i="13"/>
  <c r="X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O30" i="13"/>
  <c r="AN30" i="13"/>
  <c r="AM30" i="13"/>
  <c r="AL30" i="13"/>
  <c r="AJ30" i="13"/>
  <c r="AH30" i="13"/>
  <c r="AG30" i="13"/>
  <c r="AF30" i="13"/>
  <c r="AE30" i="13"/>
  <c r="AD30" i="13"/>
  <c r="AC30" i="13"/>
  <c r="AB30" i="13"/>
  <c r="AA30" i="13"/>
  <c r="Z30" i="13"/>
  <c r="Y30" i="13"/>
  <c r="X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O28" i="13"/>
  <c r="AN28" i="13"/>
  <c r="AM28" i="13"/>
  <c r="AL28" i="13"/>
  <c r="AJ28" i="13"/>
  <c r="AH28" i="13"/>
  <c r="AG28" i="13"/>
  <c r="AF28" i="13"/>
  <c r="AE28" i="13"/>
  <c r="AD28" i="13"/>
  <c r="AC28" i="13"/>
  <c r="AB28" i="13"/>
  <c r="AA28" i="13"/>
  <c r="Z28" i="13"/>
  <c r="Y28" i="13"/>
  <c r="X28" i="13"/>
  <c r="R28" i="13"/>
  <c r="Q28" i="13"/>
  <c r="P28" i="13"/>
  <c r="O28" i="13"/>
  <c r="N28" i="13"/>
  <c r="M28" i="13"/>
  <c r="L28" i="13"/>
  <c r="K28" i="13"/>
  <c r="J28" i="13"/>
  <c r="I28" i="13"/>
  <c r="G28" i="13"/>
  <c r="F28" i="13"/>
  <c r="E28" i="13"/>
  <c r="D28" i="13"/>
  <c r="C28" i="13"/>
  <c r="AO27" i="13"/>
  <c r="AN27" i="13"/>
  <c r="AM27" i="13"/>
  <c r="AL27" i="13"/>
  <c r="AJ27" i="13"/>
  <c r="AH27" i="13"/>
  <c r="AG27" i="13"/>
  <c r="AF27" i="13"/>
  <c r="AE27" i="13"/>
  <c r="AD27" i="13"/>
  <c r="AC27" i="13"/>
  <c r="AB27" i="13"/>
  <c r="AA27" i="13"/>
  <c r="Z27" i="13"/>
  <c r="Y27" i="13"/>
  <c r="X27" i="13"/>
  <c r="R27" i="13"/>
  <c r="Q27" i="13"/>
  <c r="P27" i="13"/>
  <c r="O27" i="13"/>
  <c r="N27" i="13"/>
  <c r="M27" i="13"/>
  <c r="L27" i="13"/>
  <c r="K27" i="13"/>
  <c r="J27" i="13"/>
  <c r="I27" i="13"/>
  <c r="G27" i="13"/>
  <c r="F27" i="13"/>
  <c r="E27" i="13"/>
  <c r="D27" i="13"/>
  <c r="C27" i="13"/>
  <c r="AO26" i="13"/>
  <c r="AN26" i="13"/>
  <c r="AM26" i="13"/>
  <c r="AL26" i="13"/>
  <c r="AJ26" i="13"/>
  <c r="AH26" i="13"/>
  <c r="AG26" i="13"/>
  <c r="AF26" i="13"/>
  <c r="AE26" i="13"/>
  <c r="AD26" i="13"/>
  <c r="AC26" i="13"/>
  <c r="AB26" i="13"/>
  <c r="AA26" i="13"/>
  <c r="Z26" i="13"/>
  <c r="Y26" i="13"/>
  <c r="X26" i="13"/>
  <c r="R26" i="13"/>
  <c r="Q26" i="13"/>
  <c r="P26" i="13"/>
  <c r="O26" i="13"/>
  <c r="N26" i="13"/>
  <c r="M26" i="13"/>
  <c r="L26" i="13"/>
  <c r="K26" i="13"/>
  <c r="J26" i="13"/>
  <c r="I26" i="13"/>
  <c r="G26" i="13"/>
  <c r="F26" i="13"/>
  <c r="E26" i="13"/>
  <c r="D26" i="13"/>
  <c r="C26" i="13"/>
  <c r="AO25" i="13"/>
  <c r="AM25" i="13"/>
  <c r="AL25" i="13"/>
  <c r="AJ25" i="13"/>
  <c r="AH25" i="13"/>
  <c r="AG25" i="13"/>
  <c r="AF25" i="13"/>
  <c r="AE25" i="13"/>
  <c r="AD25" i="13"/>
  <c r="AC25" i="13"/>
  <c r="AB25" i="13"/>
  <c r="AA25" i="13"/>
  <c r="Z25" i="13"/>
  <c r="Y25" i="13"/>
  <c r="X25" i="13"/>
  <c r="R25" i="13"/>
  <c r="P25" i="13"/>
  <c r="O25" i="13"/>
  <c r="N25" i="13"/>
  <c r="M25" i="13"/>
  <c r="L25" i="13"/>
  <c r="K25" i="13"/>
  <c r="J25" i="13"/>
  <c r="I25" i="13"/>
  <c r="G25" i="13"/>
  <c r="F25" i="13"/>
  <c r="E25" i="13"/>
  <c r="D25" i="13"/>
  <c r="C25" i="13"/>
  <c r="AO24" i="13"/>
  <c r="AN24" i="13"/>
  <c r="AM24" i="13"/>
  <c r="AL24" i="13"/>
  <c r="AJ24" i="13"/>
  <c r="AH24" i="13"/>
  <c r="AG24" i="13"/>
  <c r="AF24" i="13"/>
  <c r="AE24" i="13"/>
  <c r="AD24" i="13"/>
  <c r="AC24" i="13"/>
  <c r="AB24" i="13"/>
  <c r="AA24" i="13"/>
  <c r="Z24" i="13"/>
  <c r="Y24" i="13"/>
  <c r="X24" i="13"/>
  <c r="R24" i="13"/>
  <c r="Q24" i="13"/>
  <c r="P24" i="13"/>
  <c r="O24" i="13"/>
  <c r="N24" i="13"/>
  <c r="M24" i="13"/>
  <c r="L24" i="13"/>
  <c r="K24" i="13"/>
  <c r="J24" i="13"/>
  <c r="I24" i="13"/>
  <c r="G24" i="13"/>
  <c r="F24" i="13"/>
  <c r="E24" i="13"/>
  <c r="D24" i="13"/>
  <c r="C24" i="13"/>
  <c r="AO23" i="13"/>
  <c r="AN23" i="13"/>
  <c r="AM23" i="13"/>
  <c r="AL23" i="13"/>
  <c r="AJ23" i="13"/>
  <c r="AH23" i="13"/>
  <c r="AG23" i="13"/>
  <c r="AF23" i="13"/>
  <c r="AE23" i="13"/>
  <c r="AD23" i="13"/>
  <c r="AC23" i="13"/>
  <c r="AB23" i="13"/>
  <c r="AA23" i="13"/>
  <c r="Z23" i="13"/>
  <c r="Y23" i="13"/>
  <c r="X23" i="13"/>
  <c r="R23" i="13"/>
  <c r="Q23" i="13"/>
  <c r="P23" i="13"/>
  <c r="O23" i="13"/>
  <c r="N23" i="13"/>
  <c r="M23" i="13"/>
  <c r="L23" i="13"/>
  <c r="K23" i="13"/>
  <c r="J23" i="13"/>
  <c r="I23" i="13"/>
  <c r="G23" i="13"/>
  <c r="F23" i="13"/>
  <c r="E23" i="13"/>
  <c r="D23" i="13"/>
  <c r="C23" i="13"/>
  <c r="AO22" i="13"/>
  <c r="AN22" i="13"/>
  <c r="AM22" i="13"/>
  <c r="AL22" i="13"/>
  <c r="AJ22" i="13"/>
  <c r="AH22" i="13"/>
  <c r="AG22" i="13"/>
  <c r="AF22" i="13"/>
  <c r="AE22" i="13"/>
  <c r="AD22" i="13"/>
  <c r="AC22" i="13"/>
  <c r="AB22" i="13"/>
  <c r="AA22" i="13"/>
  <c r="Z22" i="13"/>
  <c r="Y22" i="13"/>
  <c r="X22" i="13"/>
  <c r="R22" i="13"/>
  <c r="Q22" i="13"/>
  <c r="P22" i="13"/>
  <c r="O22" i="13"/>
  <c r="N22" i="13"/>
  <c r="M22" i="13"/>
  <c r="L22" i="13"/>
  <c r="K22" i="13"/>
  <c r="J22" i="13"/>
  <c r="I22" i="13"/>
  <c r="G22" i="13"/>
  <c r="F22" i="13"/>
  <c r="E22" i="13"/>
  <c r="D22" i="13"/>
  <c r="C22" i="13"/>
  <c r="AO21" i="13"/>
  <c r="AN21" i="13"/>
  <c r="AM21" i="13"/>
  <c r="AL21" i="13"/>
  <c r="AJ21" i="13"/>
  <c r="AH21" i="13"/>
  <c r="AG21" i="13"/>
  <c r="AF21" i="13"/>
  <c r="AE21" i="13"/>
  <c r="AD21" i="13"/>
  <c r="AC21" i="13"/>
  <c r="AB21" i="13"/>
  <c r="AA21" i="13"/>
  <c r="Z21" i="13"/>
  <c r="Y21" i="13"/>
  <c r="X21" i="13"/>
  <c r="R21" i="13"/>
  <c r="Q21" i="13"/>
  <c r="P21" i="13"/>
  <c r="O21" i="13"/>
  <c r="N21" i="13"/>
  <c r="M21" i="13"/>
  <c r="L21" i="13"/>
  <c r="K21" i="13"/>
  <c r="J21" i="13"/>
  <c r="I21" i="13"/>
  <c r="G21" i="13"/>
  <c r="F21" i="13"/>
  <c r="E21" i="13"/>
  <c r="D21" i="13"/>
  <c r="C21" i="13"/>
  <c r="AO20" i="13"/>
  <c r="AN20" i="13"/>
  <c r="AM20" i="13"/>
  <c r="AL20" i="13"/>
  <c r="AJ20" i="13"/>
  <c r="AH20" i="13"/>
  <c r="AG20" i="13"/>
  <c r="AF20" i="13"/>
  <c r="AE20" i="13"/>
  <c r="AD20" i="13"/>
  <c r="AC20" i="13"/>
  <c r="AB20" i="13"/>
  <c r="AA20" i="13"/>
  <c r="Z20" i="13"/>
  <c r="Y20" i="13"/>
  <c r="X20" i="13"/>
  <c r="R20" i="13"/>
  <c r="Q20" i="13"/>
  <c r="P20" i="13"/>
  <c r="O20" i="13"/>
  <c r="N20" i="13"/>
  <c r="M20" i="13"/>
  <c r="L20" i="13"/>
  <c r="K20" i="13"/>
  <c r="J20" i="13"/>
  <c r="I20" i="13"/>
  <c r="G20" i="13"/>
  <c r="F20" i="13"/>
  <c r="E20" i="13"/>
  <c r="D20" i="13"/>
  <c r="C20" i="13"/>
  <c r="AO19" i="13"/>
  <c r="AN19" i="13"/>
  <c r="AM19" i="13"/>
  <c r="AL19" i="13"/>
  <c r="AJ19" i="13"/>
  <c r="AH19" i="13"/>
  <c r="AG19" i="13"/>
  <c r="AF19" i="13"/>
  <c r="AE19" i="13"/>
  <c r="AD19" i="13"/>
  <c r="AC19" i="13"/>
  <c r="AB19" i="13"/>
  <c r="AA19" i="13"/>
  <c r="Z19" i="13"/>
  <c r="Y19" i="13"/>
  <c r="X19" i="13"/>
  <c r="R19" i="13"/>
  <c r="Q19" i="13"/>
  <c r="P19" i="13"/>
  <c r="O19" i="13"/>
  <c r="N19" i="13"/>
  <c r="M19" i="13"/>
  <c r="L19" i="13"/>
  <c r="K19" i="13"/>
  <c r="J19" i="13"/>
  <c r="I19" i="13"/>
  <c r="G19" i="13"/>
  <c r="F19" i="13"/>
  <c r="E19" i="13"/>
  <c r="D19" i="13"/>
  <c r="C19" i="13"/>
  <c r="AO15" i="13"/>
  <c r="AN15" i="13"/>
  <c r="AM15" i="13"/>
  <c r="AL15" i="13"/>
  <c r="AJ15" i="13"/>
  <c r="AH15" i="13"/>
  <c r="AG15" i="13"/>
  <c r="AF15" i="13"/>
  <c r="AE15" i="13"/>
  <c r="AD15" i="13"/>
  <c r="AC15" i="13"/>
  <c r="AB15" i="13"/>
  <c r="AA15" i="13"/>
  <c r="Z15" i="13"/>
  <c r="Y15" i="13"/>
  <c r="X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O14" i="13"/>
  <c r="AN14" i="13"/>
  <c r="AM14" i="13"/>
  <c r="AL14" i="13"/>
  <c r="AJ14" i="13"/>
  <c r="AH14" i="13"/>
  <c r="AG14" i="13"/>
  <c r="AF14" i="13"/>
  <c r="AE14" i="13"/>
  <c r="AD14" i="13"/>
  <c r="AC14" i="13"/>
  <c r="AB14" i="13"/>
  <c r="AA14" i="13"/>
  <c r="Z14" i="13"/>
  <c r="Y14" i="13"/>
  <c r="X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O13" i="13"/>
  <c r="AN13" i="13"/>
  <c r="AM13" i="13"/>
  <c r="AL13" i="13"/>
  <c r="AJ13" i="13"/>
  <c r="AH13" i="13"/>
  <c r="AG13" i="13"/>
  <c r="AF13" i="13"/>
  <c r="AE13" i="13"/>
  <c r="AD13" i="13"/>
  <c r="AC13" i="13"/>
  <c r="AB13" i="13"/>
  <c r="AA13" i="13"/>
  <c r="Z13" i="13"/>
  <c r="Y13" i="13"/>
  <c r="X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O12" i="13"/>
  <c r="AN12" i="13"/>
  <c r="AM12" i="13"/>
  <c r="AL12" i="13"/>
  <c r="AJ12" i="13"/>
  <c r="AH12" i="13"/>
  <c r="AG12" i="13"/>
  <c r="AF12" i="13"/>
  <c r="AE12" i="13"/>
  <c r="AD12" i="13"/>
  <c r="AC12" i="13"/>
  <c r="AB12" i="13"/>
  <c r="AA12" i="13"/>
  <c r="Z12" i="13"/>
  <c r="Y12" i="13"/>
  <c r="X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D12" i="13"/>
  <c r="B61" i="13" l="1"/>
  <c r="B75" i="13"/>
  <c r="B23" i="13"/>
  <c r="B32" i="13"/>
  <c r="B37" i="13"/>
  <c r="B13" i="13"/>
  <c r="B22" i="13"/>
  <c r="B19" i="13"/>
  <c r="B46" i="13"/>
  <c r="B50" i="13"/>
  <c r="B14" i="13"/>
  <c r="B24" i="13"/>
  <c r="B26" i="13"/>
  <c r="B62" i="13"/>
  <c r="B76" i="13"/>
  <c r="B27" i="13"/>
  <c r="B34" i="13"/>
  <c r="B47" i="13"/>
  <c r="B51" i="13"/>
  <c r="B58" i="13"/>
  <c r="B63" i="13"/>
  <c r="B30" i="13"/>
  <c r="B44" i="13"/>
  <c r="B45" i="13"/>
  <c r="B48" i="13"/>
  <c r="B52" i="13"/>
  <c r="B20" i="13"/>
  <c r="B25" i="13"/>
  <c r="B35" i="13"/>
  <c r="B60" i="13"/>
  <c r="B64" i="13"/>
  <c r="B21" i="13"/>
  <c r="B31" i="13"/>
  <c r="B36" i="13"/>
  <c r="B49" i="13"/>
  <c r="B53" i="13"/>
  <c r="B79" i="13"/>
  <c r="B15" i="13"/>
  <c r="B43" i="13"/>
  <c r="B28" i="13"/>
  <c r="C12" i="13"/>
  <c r="B12" i="13" s="1"/>
  <c r="D78" i="13"/>
  <c r="B78" i="13" s="1"/>
  <c r="H83" i="4"/>
  <c r="H76" i="4"/>
  <c r="H75" i="4"/>
  <c r="H73" i="4"/>
  <c r="AW65" i="17"/>
  <c r="AV65" i="17"/>
  <c r="AU65" i="17"/>
  <c r="AT65" i="17"/>
  <c r="AS65" i="17"/>
  <c r="AR65" i="17"/>
  <c r="AQ65" i="17"/>
  <c r="AO65" i="17"/>
  <c r="AN65" i="17"/>
  <c r="AM65" i="17"/>
  <c r="AL65" i="17"/>
  <c r="AJ65" i="17"/>
  <c r="AH65" i="17"/>
  <c r="AG65" i="17"/>
  <c r="AF65" i="17"/>
  <c r="AE65" i="17"/>
  <c r="AD65" i="17"/>
  <c r="AC65" i="17"/>
  <c r="AB65" i="17"/>
  <c r="AA65" i="17"/>
  <c r="Z65" i="17"/>
  <c r="Y65" i="17"/>
  <c r="X65" i="17"/>
  <c r="U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6" i="4"/>
  <c r="H55" i="4"/>
  <c r="H54" i="4"/>
  <c r="AW54" i="17"/>
  <c r="AV54" i="17"/>
  <c r="AU54" i="17"/>
  <c r="AT54" i="17"/>
  <c r="AS54" i="17"/>
  <c r="AR54" i="17"/>
  <c r="AQ54" i="17"/>
  <c r="AO54" i="17"/>
  <c r="AN54" i="17"/>
  <c r="AM54" i="17"/>
  <c r="AL54" i="17"/>
  <c r="AJ54" i="17"/>
  <c r="AH54" i="17"/>
  <c r="AG54" i="17"/>
  <c r="AF54" i="17"/>
  <c r="AE54" i="17"/>
  <c r="AD54" i="17"/>
  <c r="AC54" i="17"/>
  <c r="AB54" i="17"/>
  <c r="AA54" i="17"/>
  <c r="Z54" i="17"/>
  <c r="Y54" i="17"/>
  <c r="X54" i="17"/>
  <c r="U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40" i="4"/>
  <c r="H34" i="4"/>
  <c r="H33" i="4"/>
  <c r="H32" i="4"/>
  <c r="H29" i="4"/>
  <c r="N29" i="5" s="1"/>
  <c r="H28" i="4"/>
  <c r="H27" i="4"/>
  <c r="AW29" i="17"/>
  <c r="AV29" i="17"/>
  <c r="AU29" i="17"/>
  <c r="AT29" i="17"/>
  <c r="AS29" i="17"/>
  <c r="AR29" i="17"/>
  <c r="AQ29" i="17"/>
  <c r="AO29" i="17"/>
  <c r="AN29" i="17"/>
  <c r="AM29" i="17"/>
  <c r="AL29" i="17"/>
  <c r="AJ29" i="17"/>
  <c r="AH29" i="17"/>
  <c r="AG29" i="17"/>
  <c r="AF29" i="17"/>
  <c r="AE29" i="17"/>
  <c r="AD29" i="17"/>
  <c r="AC29" i="17"/>
  <c r="AB29" i="17"/>
  <c r="AA29" i="17"/>
  <c r="Z29" i="17"/>
  <c r="Y29" i="17"/>
  <c r="X29" i="17"/>
  <c r="U29" i="17"/>
  <c r="R29" i="17"/>
  <c r="Q29" i="17"/>
  <c r="P29" i="17"/>
  <c r="O29" i="17"/>
  <c r="N29" i="17"/>
  <c r="M29" i="17"/>
  <c r="L29" i="17"/>
  <c r="K29" i="17"/>
  <c r="J29" i="17"/>
  <c r="I29" i="17"/>
  <c r="G29" i="17"/>
  <c r="F29" i="17"/>
  <c r="E29" i="17"/>
  <c r="D29" i="17"/>
  <c r="C29" i="17"/>
  <c r="H25" i="4"/>
  <c r="H24" i="4"/>
  <c r="H23" i="4"/>
  <c r="H22" i="4"/>
  <c r="H21" i="4"/>
  <c r="H20" i="4"/>
  <c r="H19" i="4"/>
  <c r="H17" i="4"/>
  <c r="AW16" i="17"/>
  <c r="AV16" i="17"/>
  <c r="AU16" i="17"/>
  <c r="AT16" i="17"/>
  <c r="AS16" i="17"/>
  <c r="AR16" i="17"/>
  <c r="AQ16" i="17"/>
  <c r="AO16" i="17"/>
  <c r="AN16" i="17"/>
  <c r="AM16" i="17"/>
  <c r="AL16" i="17"/>
  <c r="AJ16" i="17"/>
  <c r="AH16" i="17"/>
  <c r="AG16" i="17"/>
  <c r="AF16" i="17"/>
  <c r="AE16" i="17"/>
  <c r="AD16" i="17"/>
  <c r="AC16" i="17"/>
  <c r="AB16" i="17"/>
  <c r="AA16" i="17"/>
  <c r="Z16" i="17"/>
  <c r="Y16" i="17"/>
  <c r="X16" i="17"/>
  <c r="U16" i="17"/>
  <c r="R16" i="17"/>
  <c r="Q16" i="17"/>
  <c r="P16" i="17"/>
  <c r="O16" i="17"/>
  <c r="O74" i="17" s="1"/>
  <c r="O80" i="17" s="1"/>
  <c r="O83" i="17" s="1"/>
  <c r="N16" i="17"/>
  <c r="M16" i="17"/>
  <c r="L16" i="17"/>
  <c r="K16" i="17"/>
  <c r="J16" i="17"/>
  <c r="I16" i="17"/>
  <c r="H16" i="17"/>
  <c r="G16" i="17"/>
  <c r="F16" i="17"/>
  <c r="E16" i="17"/>
  <c r="D16" i="17"/>
  <c r="C16" i="17"/>
  <c r="H12" i="4"/>
  <c r="H11" i="4"/>
  <c r="H10" i="4"/>
  <c r="H9" i="4"/>
  <c r="AO65" i="13"/>
  <c r="AN65" i="13"/>
  <c r="AM65" i="13"/>
  <c r="AL65" i="13"/>
  <c r="AJ65" i="13"/>
  <c r="AH65" i="13"/>
  <c r="AF65" i="13"/>
  <c r="AE65" i="13"/>
  <c r="AD65" i="13"/>
  <c r="AC65" i="13"/>
  <c r="AB65" i="13"/>
  <c r="AA65" i="13"/>
  <c r="Z65" i="13"/>
  <c r="Y65" i="13"/>
  <c r="X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O54" i="13"/>
  <c r="AN54" i="13"/>
  <c r="AM54" i="13"/>
  <c r="AL54" i="13"/>
  <c r="AJ54" i="13"/>
  <c r="AH54" i="13"/>
  <c r="AG54" i="13"/>
  <c r="AF54" i="13"/>
  <c r="AE54" i="13"/>
  <c r="AD54" i="13"/>
  <c r="AC54" i="13"/>
  <c r="AB54" i="13"/>
  <c r="AA54" i="13"/>
  <c r="Z54" i="13"/>
  <c r="Y54" i="13"/>
  <c r="X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O29" i="13"/>
  <c r="AN29" i="13"/>
  <c r="AM29" i="13"/>
  <c r="AL29" i="13"/>
  <c r="AJ29" i="13"/>
  <c r="AH29" i="13"/>
  <c r="AG29" i="13"/>
  <c r="AF29" i="13"/>
  <c r="AE29" i="13"/>
  <c r="AD29" i="13"/>
  <c r="AC29" i="13"/>
  <c r="AB29" i="13"/>
  <c r="AA29" i="13"/>
  <c r="Z29" i="13"/>
  <c r="Y29" i="13"/>
  <c r="X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O16" i="13"/>
  <c r="AN16" i="13"/>
  <c r="AM16" i="13"/>
  <c r="AL16" i="13"/>
  <c r="AJ16" i="13"/>
  <c r="AH16" i="13"/>
  <c r="AG16" i="13"/>
  <c r="AF16" i="13"/>
  <c r="AE16" i="13"/>
  <c r="AD16" i="13"/>
  <c r="AC16" i="13"/>
  <c r="AB16" i="13"/>
  <c r="AA16" i="13"/>
  <c r="Z16" i="13"/>
  <c r="Y16" i="13"/>
  <c r="X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O9" i="13"/>
  <c r="AN9" i="13"/>
  <c r="AM9" i="13"/>
  <c r="AL9" i="13"/>
  <c r="AJ9" i="13"/>
  <c r="AH9" i="13"/>
  <c r="AG9" i="13"/>
  <c r="AF9" i="13"/>
  <c r="AE9" i="13"/>
  <c r="AD9" i="13"/>
  <c r="AC9" i="13"/>
  <c r="AB9" i="13"/>
  <c r="AA9" i="13"/>
  <c r="Z9" i="13"/>
  <c r="Y9" i="13"/>
  <c r="X9" i="13"/>
  <c r="C38" i="16" s="1" a="1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O8" i="13"/>
  <c r="AN8" i="13"/>
  <c r="AM8" i="13"/>
  <c r="AL8" i="13"/>
  <c r="AJ8" i="13"/>
  <c r="AH8" i="13"/>
  <c r="AG8" i="13"/>
  <c r="AF8" i="13"/>
  <c r="AE8" i="13"/>
  <c r="AD8" i="13"/>
  <c r="AC8" i="13"/>
  <c r="AB8" i="13"/>
  <c r="AA8" i="13"/>
  <c r="Z8" i="13"/>
  <c r="Y8" i="13"/>
  <c r="X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AU65" i="1"/>
  <c r="AU54" i="1"/>
  <c r="AU29" i="1"/>
  <c r="AU16" i="1"/>
  <c r="AV65" i="1"/>
  <c r="AV54" i="1"/>
  <c r="AV29" i="1"/>
  <c r="AV16" i="1"/>
  <c r="AW65" i="1"/>
  <c r="AW54" i="1"/>
  <c r="AW29" i="1"/>
  <c r="AW16" i="1"/>
  <c r="AJ65" i="1"/>
  <c r="AJ54" i="1"/>
  <c r="AJ29" i="1"/>
  <c r="AJ16" i="1"/>
  <c r="AE65" i="1"/>
  <c r="AE54" i="1"/>
  <c r="AE29" i="1"/>
  <c r="AE16" i="1"/>
  <c r="AC65" i="1"/>
  <c r="AC54" i="1"/>
  <c r="AC29" i="1"/>
  <c r="AC16" i="1"/>
  <c r="X65" i="1"/>
  <c r="X54" i="1"/>
  <c r="X29" i="1"/>
  <c r="X16" i="1"/>
  <c r="Y65" i="1"/>
  <c r="Y54" i="1"/>
  <c r="Y29" i="1"/>
  <c r="Y16" i="1"/>
  <c r="Z65" i="1"/>
  <c r="Z54" i="1"/>
  <c r="Z29" i="1"/>
  <c r="Z16" i="1"/>
  <c r="AA65" i="1"/>
  <c r="AA54" i="1"/>
  <c r="AA29" i="1"/>
  <c r="AA16" i="1"/>
  <c r="U65" i="1"/>
  <c r="U54" i="1"/>
  <c r="U29" i="1"/>
  <c r="U16" i="1"/>
  <c r="K65" i="1"/>
  <c r="K54" i="1"/>
  <c r="K29" i="1"/>
  <c r="K16" i="1"/>
  <c r="J65" i="1"/>
  <c r="J54" i="1"/>
  <c r="J29" i="1"/>
  <c r="J16" i="1"/>
  <c r="B38" i="16" l="1" a="1"/>
  <c r="K74" i="17"/>
  <c r="K80" i="17" s="1"/>
  <c r="K83" i="17" s="1"/>
  <c r="D74" i="17"/>
  <c r="C11" i="16" a="1"/>
  <c r="B38" i="16"/>
  <c r="B39" i="16"/>
  <c r="B41" i="16"/>
  <c r="B40" i="16"/>
  <c r="C44" i="16" a="1"/>
  <c r="C45" i="16" s="1"/>
  <c r="B56" i="16" a="1"/>
  <c r="C56" i="16" a="1"/>
  <c r="C58" i="16" s="1"/>
  <c r="B11" i="16" a="1"/>
  <c r="C38" i="16"/>
  <c r="C39" i="16"/>
  <c r="C41" i="16"/>
  <c r="C40" i="16"/>
  <c r="B16" i="17"/>
  <c r="B65" i="17"/>
  <c r="B54" i="17"/>
  <c r="B29" i="17"/>
  <c r="B16" i="16" a="1"/>
  <c r="C16" i="16" a="1"/>
  <c r="C26" i="16" s="1"/>
  <c r="K85" i="17"/>
  <c r="K87" i="17" s="1"/>
  <c r="K33" i="17" s="1"/>
  <c r="K38" i="17" s="1"/>
  <c r="K40" i="17" s="1"/>
  <c r="O85" i="17"/>
  <c r="O87" i="17" s="1"/>
  <c r="O33" i="17" s="1"/>
  <c r="O38" i="17" s="1"/>
  <c r="O40" i="17" s="1"/>
  <c r="G74" i="17"/>
  <c r="C74" i="17"/>
  <c r="C80" i="17" s="1"/>
  <c r="C83" i="17" s="1"/>
  <c r="C85" i="17" s="1"/>
  <c r="F74" i="17"/>
  <c r="F80" i="17" s="1"/>
  <c r="F83" i="17" s="1"/>
  <c r="E74" i="17"/>
  <c r="E80" i="17" s="1"/>
  <c r="E83" i="17" s="1"/>
  <c r="AN74" i="17"/>
  <c r="AN80" i="17" s="1"/>
  <c r="AN83" i="17" s="1"/>
  <c r="AW74" i="17"/>
  <c r="AW80" i="17" s="1"/>
  <c r="AW83" i="17" s="1"/>
  <c r="U74" i="17"/>
  <c r="U80" i="17" s="1"/>
  <c r="U83" i="17" s="1"/>
  <c r="Y74" i="17"/>
  <c r="AB74" i="17"/>
  <c r="AF74" i="17"/>
  <c r="AF80" i="17" s="1"/>
  <c r="AF83" i="17" s="1"/>
  <c r="AJ74" i="17"/>
  <c r="E67" i="17"/>
  <c r="K67" i="17"/>
  <c r="O67" i="17"/>
  <c r="U67" i="17"/>
  <c r="H67" i="17"/>
  <c r="L67" i="17"/>
  <c r="P67" i="17"/>
  <c r="AO67" i="13"/>
  <c r="H74" i="17"/>
  <c r="H80" i="17" s="1"/>
  <c r="H83" i="17" s="1"/>
  <c r="L74" i="17"/>
  <c r="L80" i="17" s="1"/>
  <c r="L83" i="17" s="1"/>
  <c r="P74" i="17"/>
  <c r="P80" i="17" s="1"/>
  <c r="P83" i="17" s="1"/>
  <c r="Y67" i="17"/>
  <c r="AB67" i="17"/>
  <c r="AF67" i="17"/>
  <c r="AJ67" i="17"/>
  <c r="AN67" i="17"/>
  <c r="X74" i="17"/>
  <c r="X80" i="17" s="1"/>
  <c r="X83" i="17" s="1"/>
  <c r="AE74" i="17"/>
  <c r="AE80" i="17" s="1"/>
  <c r="AE83" i="17" s="1"/>
  <c r="AM74" i="17"/>
  <c r="AM80" i="17" s="1"/>
  <c r="AM83" i="17" s="1"/>
  <c r="AR74" i="17"/>
  <c r="AR80" i="17" s="1"/>
  <c r="AR83" i="17" s="1"/>
  <c r="AV74" i="17"/>
  <c r="AV80" i="17" s="1"/>
  <c r="AV83" i="17" s="1"/>
  <c r="X67" i="17"/>
  <c r="AE67" i="17"/>
  <c r="AM67" i="17"/>
  <c r="AR67" i="17"/>
  <c r="AV67" i="17"/>
  <c r="C67" i="17"/>
  <c r="I67" i="17"/>
  <c r="Q67" i="17"/>
  <c r="AC67" i="17"/>
  <c r="AT67" i="17"/>
  <c r="D67" i="17"/>
  <c r="G67" i="17"/>
  <c r="J67" i="17"/>
  <c r="N67" i="17"/>
  <c r="R67" i="17"/>
  <c r="AA67" i="17"/>
  <c r="AD67" i="17"/>
  <c r="AH67" i="17"/>
  <c r="AL67" i="17"/>
  <c r="AQ67" i="17"/>
  <c r="AU67" i="17"/>
  <c r="F67" i="17"/>
  <c r="Z67" i="17"/>
  <c r="AG67" i="17"/>
  <c r="I74" i="17"/>
  <c r="I80" i="17" s="1"/>
  <c r="I83" i="17" s="1"/>
  <c r="M74" i="17"/>
  <c r="M80" i="17" s="1"/>
  <c r="M83" i="17" s="1"/>
  <c r="M85" i="17" s="1"/>
  <c r="Q74" i="17"/>
  <c r="Q80" i="17" s="1"/>
  <c r="Q83" i="17" s="1"/>
  <c r="Z74" i="17"/>
  <c r="AC74" i="17"/>
  <c r="AC80" i="17" s="1"/>
  <c r="AC83" i="17" s="1"/>
  <c r="AG74" i="17"/>
  <c r="AG80" i="17" s="1"/>
  <c r="AG83" i="17" s="1"/>
  <c r="AO74" i="17"/>
  <c r="AO80" i="17" s="1"/>
  <c r="AO83" i="17" s="1"/>
  <c r="AT74" i="17"/>
  <c r="AT80" i="17" s="1"/>
  <c r="AT83" i="17" s="1"/>
  <c r="D80" i="17"/>
  <c r="D83" i="17" s="1"/>
  <c r="N74" i="17"/>
  <c r="R74" i="17"/>
  <c r="R80" i="17" s="1"/>
  <c r="R83" i="17" s="1"/>
  <c r="AA74" i="17"/>
  <c r="AD74" i="17"/>
  <c r="AD80" i="17" s="1"/>
  <c r="AD83" i="17" s="1"/>
  <c r="AH74" i="17"/>
  <c r="AH80" i="17" s="1"/>
  <c r="AH83" i="17" s="1"/>
  <c r="AL74" i="17"/>
  <c r="AL80" i="17" s="1"/>
  <c r="AL83" i="17" s="1"/>
  <c r="AQ74" i="17"/>
  <c r="AQ80" i="17" s="1"/>
  <c r="AQ83" i="17" s="1"/>
  <c r="AU74" i="17"/>
  <c r="AU80" i="17" s="1"/>
  <c r="AU83" i="17" s="1"/>
  <c r="E74" i="13"/>
  <c r="E80" i="13" s="1"/>
  <c r="E83" i="13" s="1"/>
  <c r="F74" i="13"/>
  <c r="F80" i="13" s="1"/>
  <c r="F83" i="13" s="1"/>
  <c r="I74" i="13"/>
  <c r="I80" i="13" s="1"/>
  <c r="I83" i="13" s="1"/>
  <c r="K74" i="13"/>
  <c r="K80" i="13" s="1"/>
  <c r="K83" i="13" s="1"/>
  <c r="M74" i="13"/>
  <c r="M80" i="13" s="1"/>
  <c r="M83" i="13" s="1"/>
  <c r="O74" i="13"/>
  <c r="O80" i="13" s="1"/>
  <c r="O83" i="13" s="1"/>
  <c r="Q74" i="13"/>
  <c r="Q80" i="13" s="1"/>
  <c r="Q83" i="13" s="1"/>
  <c r="X74" i="13"/>
  <c r="X80" i="13" s="1"/>
  <c r="X83" i="13" s="1"/>
  <c r="Z74" i="13"/>
  <c r="Z80" i="13" s="1"/>
  <c r="Z83" i="13" s="1"/>
  <c r="AC74" i="13"/>
  <c r="AC80" i="13" s="1"/>
  <c r="AC83" i="13" s="1"/>
  <c r="AE74" i="13"/>
  <c r="AE80" i="13" s="1"/>
  <c r="AE83" i="13" s="1"/>
  <c r="AG74" i="13"/>
  <c r="AG80" i="13" s="1"/>
  <c r="AG83" i="13" s="1"/>
  <c r="AM74" i="13"/>
  <c r="AM80" i="13" s="1"/>
  <c r="AM83" i="13" s="1"/>
  <c r="AO74" i="13"/>
  <c r="AO80" i="13" s="1"/>
  <c r="AO83" i="13" s="1"/>
  <c r="E67" i="13"/>
  <c r="F67" i="13"/>
  <c r="I67" i="13"/>
  <c r="K67" i="13"/>
  <c r="M67" i="13"/>
  <c r="O67" i="13"/>
  <c r="Q67" i="13"/>
  <c r="X67" i="13"/>
  <c r="Z67" i="13"/>
  <c r="AC67" i="13"/>
  <c r="Y74" i="1"/>
  <c r="Y80" i="1" s="1"/>
  <c r="Y83" i="1" s="1"/>
  <c r="Y67" i="1"/>
  <c r="X67" i="1"/>
  <c r="AC74" i="1"/>
  <c r="AC80" i="1" s="1"/>
  <c r="AC83" i="1" s="1"/>
  <c r="AC67" i="1"/>
  <c r="AE74" i="1"/>
  <c r="AE80" i="1" s="1"/>
  <c r="AE83" i="1" s="1"/>
  <c r="AJ74" i="1"/>
  <c r="AJ67" i="1"/>
  <c r="AW74" i="1"/>
  <c r="AW80" i="1" s="1"/>
  <c r="AW83" i="1" s="1"/>
  <c r="AW67" i="1"/>
  <c r="AU74" i="1"/>
  <c r="AU80" i="1" s="1"/>
  <c r="AU83" i="1" s="1"/>
  <c r="AU67" i="1"/>
  <c r="AS67" i="17"/>
  <c r="AW67" i="17"/>
  <c r="D74" i="13"/>
  <c r="D80" i="13" s="1"/>
  <c r="D83" i="13" s="1"/>
  <c r="G74" i="13"/>
  <c r="G80" i="13" s="1"/>
  <c r="G83" i="13" s="1"/>
  <c r="H74" i="13"/>
  <c r="H80" i="13" s="1"/>
  <c r="H83" i="13" s="1"/>
  <c r="L74" i="13"/>
  <c r="L80" i="13" s="1"/>
  <c r="L83" i="13" s="1"/>
  <c r="N74" i="13"/>
  <c r="N80" i="13" s="1"/>
  <c r="N83" i="13" s="1"/>
  <c r="P74" i="13"/>
  <c r="P80" i="13" s="1"/>
  <c r="P83" i="13" s="1"/>
  <c r="R74" i="13"/>
  <c r="R80" i="13" s="1"/>
  <c r="R83" i="13" s="1"/>
  <c r="Y74" i="13"/>
  <c r="Y80" i="13" s="1"/>
  <c r="Y83" i="13" s="1"/>
  <c r="AA74" i="13"/>
  <c r="AA80" i="13" s="1"/>
  <c r="AA83" i="13" s="1"/>
  <c r="AB74" i="13"/>
  <c r="AD74" i="13"/>
  <c r="AD80" i="13" s="1"/>
  <c r="AD83" i="13" s="1"/>
  <c r="AF74" i="13"/>
  <c r="AF80" i="13" s="1"/>
  <c r="AF83" i="13" s="1"/>
  <c r="AH74" i="13"/>
  <c r="AH80" i="13" s="1"/>
  <c r="AH83" i="13" s="1"/>
  <c r="AJ74" i="13"/>
  <c r="AL74" i="13"/>
  <c r="AL80" i="13" s="1"/>
  <c r="AL83" i="13" s="1"/>
  <c r="AN74" i="13"/>
  <c r="AN80" i="13" s="1"/>
  <c r="AN83" i="13" s="1"/>
  <c r="G80" i="17"/>
  <c r="G83" i="17" s="1"/>
  <c r="AO67" i="17"/>
  <c r="AS74" i="17"/>
  <c r="AS80" i="17" s="1"/>
  <c r="AS83" i="17" s="1"/>
  <c r="AM67" i="13"/>
  <c r="AE67" i="13"/>
  <c r="AE67" i="1"/>
  <c r="M67" i="17"/>
  <c r="J74" i="17"/>
  <c r="J80" i="17" s="1"/>
  <c r="J83" i="17" s="1"/>
  <c r="J74" i="13"/>
  <c r="D67" i="13"/>
  <c r="G67" i="13"/>
  <c r="H67" i="13"/>
  <c r="J67" i="13"/>
  <c r="L67" i="13"/>
  <c r="N67" i="13"/>
  <c r="P67" i="13"/>
  <c r="R67" i="13"/>
  <c r="Y67" i="13"/>
  <c r="AA67" i="13"/>
  <c r="AB67" i="13"/>
  <c r="AD67" i="13"/>
  <c r="AF67" i="13"/>
  <c r="AH67" i="13"/>
  <c r="AJ67" i="13"/>
  <c r="AL67" i="13"/>
  <c r="AN67" i="13"/>
  <c r="AV74" i="1"/>
  <c r="AV80" i="1" s="1"/>
  <c r="AV83" i="1" s="1"/>
  <c r="AV67" i="1"/>
  <c r="X74" i="1"/>
  <c r="X80" i="1" s="1"/>
  <c r="X83" i="1" s="1"/>
  <c r="U74" i="1"/>
  <c r="U80" i="1" s="1"/>
  <c r="U83" i="1" s="1"/>
  <c r="U67" i="1"/>
  <c r="AA74" i="1"/>
  <c r="AA80" i="1" s="1"/>
  <c r="AA83" i="1" s="1"/>
  <c r="AA67" i="1"/>
  <c r="Z74" i="1"/>
  <c r="Z80" i="1" s="1"/>
  <c r="Z83" i="1" s="1"/>
  <c r="Z67" i="1"/>
  <c r="J74" i="1"/>
  <c r="J67" i="1"/>
  <c r="K74" i="1"/>
  <c r="K80" i="1" s="1"/>
  <c r="K83" i="1" s="1"/>
  <c r="K67" i="1"/>
  <c r="E65" i="1"/>
  <c r="E54" i="1"/>
  <c r="E29" i="1"/>
  <c r="E16" i="1"/>
  <c r="C66" i="16" l="1"/>
  <c r="C60" i="16"/>
  <c r="C46" i="16"/>
  <c r="C63" i="16"/>
  <c r="C47" i="16"/>
  <c r="C57" i="16"/>
  <c r="C50" i="16"/>
  <c r="B56" i="16"/>
  <c r="B57" i="16"/>
  <c r="B64" i="16"/>
  <c r="B63" i="16"/>
  <c r="B61" i="16"/>
  <c r="B60" i="16"/>
  <c r="B59" i="16"/>
  <c r="B66" i="16"/>
  <c r="B58" i="16"/>
  <c r="B62" i="16"/>
  <c r="B65" i="16"/>
  <c r="C53" i="16"/>
  <c r="C44" i="16"/>
  <c r="C49" i="16"/>
  <c r="C62" i="16"/>
  <c r="C65" i="16"/>
  <c r="E38" i="16" a="1"/>
  <c r="E38" i="16" s="1"/>
  <c r="C51" i="16"/>
  <c r="C64" i="16"/>
  <c r="C59" i="16"/>
  <c r="C52" i="16"/>
  <c r="C61" i="16"/>
  <c r="C56" i="16"/>
  <c r="C48" i="16"/>
  <c r="B11" i="16"/>
  <c r="B13" i="16"/>
  <c r="B12" i="16"/>
  <c r="C11" i="16"/>
  <c r="C12" i="16"/>
  <c r="C13" i="16"/>
  <c r="E56" i="16" a="1"/>
  <c r="E66" i="16" s="1"/>
  <c r="B67" i="17"/>
  <c r="N80" i="17"/>
  <c r="N83" i="17" s="1"/>
  <c r="N85" i="17" s="1"/>
  <c r="N87" i="17" s="1"/>
  <c r="N33" i="17" s="1"/>
  <c r="N38" i="17" s="1"/>
  <c r="N40" i="17" s="1"/>
  <c r="B74" i="17"/>
  <c r="J80" i="13"/>
  <c r="J83" i="13" s="1"/>
  <c r="J85" i="13" s="1"/>
  <c r="J87" i="13" s="1"/>
  <c r="J93" i="13" s="1"/>
  <c r="J80" i="1"/>
  <c r="J83" i="1" s="1"/>
  <c r="J85" i="1" s="1"/>
  <c r="J87" i="1" s="1"/>
  <c r="J33" i="1" s="1"/>
  <c r="C28" i="16"/>
  <c r="C19" i="16"/>
  <c r="C27" i="16"/>
  <c r="E16" i="16" a="1"/>
  <c r="E20" i="16" s="1"/>
  <c r="C22" i="16"/>
  <c r="C16" i="16"/>
  <c r="C20" i="16"/>
  <c r="C18" i="16"/>
  <c r="C23" i="16"/>
  <c r="C17" i="16"/>
  <c r="B16" i="16"/>
  <c r="B25" i="16"/>
  <c r="B26" i="16"/>
  <c r="B24" i="16"/>
  <c r="B21" i="16"/>
  <c r="B27" i="16"/>
  <c r="B19" i="16"/>
  <c r="B22" i="16"/>
  <c r="B18" i="16"/>
  <c r="B17" i="16"/>
  <c r="B23" i="16"/>
  <c r="B20" i="16"/>
  <c r="B28" i="16"/>
  <c r="C24" i="16"/>
  <c r="C21" i="16"/>
  <c r="C25" i="16"/>
  <c r="AU85" i="1"/>
  <c r="AU87" i="1" s="1"/>
  <c r="AU33" i="1" s="1"/>
  <c r="AU38" i="1" s="1"/>
  <c r="AU40" i="1" s="1"/>
  <c r="Z85" i="1"/>
  <c r="Z87" i="1" s="1"/>
  <c r="Z33" i="1" s="1"/>
  <c r="Z38" i="1" s="1"/>
  <c r="Z40" i="1" s="1"/>
  <c r="AW85" i="1"/>
  <c r="AW87" i="1" s="1"/>
  <c r="AW33" i="1" s="1"/>
  <c r="AW38" i="1" s="1"/>
  <c r="AW40" i="1" s="1"/>
  <c r="AE85" i="1"/>
  <c r="AE87" i="1" s="1"/>
  <c r="AE33" i="1" s="1"/>
  <c r="AE38" i="1" s="1"/>
  <c r="AE40" i="1" s="1"/>
  <c r="AJ80" i="17"/>
  <c r="AJ83" i="17" s="1"/>
  <c r="AJ85" i="17" s="1"/>
  <c r="AJ87" i="17" s="1"/>
  <c r="AJ33" i="17" s="1"/>
  <c r="AJ80" i="1"/>
  <c r="AJ83" i="1" s="1"/>
  <c r="AJ85" i="1" s="1"/>
  <c r="AJ87" i="1" s="1"/>
  <c r="AJ33" i="1" s="1"/>
  <c r="AJ38" i="1" s="1"/>
  <c r="AJ40" i="1" s="1"/>
  <c r="AJ80" i="13"/>
  <c r="AJ83" i="13" s="1"/>
  <c r="AJ85" i="13" s="1"/>
  <c r="AJ87" i="13" s="1"/>
  <c r="AJ93" i="13" s="1"/>
  <c r="Z80" i="17"/>
  <c r="Z83" i="17" s="1"/>
  <c r="Z85" i="17" s="1"/>
  <c r="Z87" i="17" s="1"/>
  <c r="Z33" i="17" s="1"/>
  <c r="Y80" i="17"/>
  <c r="Y83" i="17" s="1"/>
  <c r="Y85" i="17" s="1"/>
  <c r="Y87" i="17" s="1"/>
  <c r="Y33" i="17" s="1"/>
  <c r="Y38" i="17" s="1"/>
  <c r="Y40" i="17" s="1"/>
  <c r="AA80" i="17"/>
  <c r="AA83" i="17" s="1"/>
  <c r="AA85" i="17" s="1"/>
  <c r="AA87" i="17" s="1"/>
  <c r="AA33" i="17" s="1"/>
  <c r="AA38" i="17" s="1"/>
  <c r="AA40" i="17" s="1"/>
  <c r="X85" i="1"/>
  <c r="X87" i="1" s="1"/>
  <c r="X33" i="1" s="1"/>
  <c r="AU85" i="17"/>
  <c r="AU87" i="17" s="1"/>
  <c r="AU33" i="17" s="1"/>
  <c r="AD85" i="17"/>
  <c r="AD87" i="17" s="1"/>
  <c r="AD33" i="17" s="1"/>
  <c r="AD38" i="17" s="1"/>
  <c r="AD40" i="17" s="1"/>
  <c r="D85" i="17"/>
  <c r="D87" i="17" s="1"/>
  <c r="D33" i="17" s="1"/>
  <c r="D38" i="17" s="1"/>
  <c r="D40" i="17" s="1"/>
  <c r="AG85" i="17"/>
  <c r="AG87" i="17" s="1"/>
  <c r="AG33" i="17" s="1"/>
  <c r="AG38" i="17" s="1"/>
  <c r="AG40" i="17" s="1"/>
  <c r="P85" i="17"/>
  <c r="P87" i="17" s="1"/>
  <c r="P33" i="17" s="1"/>
  <c r="P38" i="17" s="1"/>
  <c r="P40" i="17" s="1"/>
  <c r="AF85" i="17"/>
  <c r="AF87" i="17" s="1"/>
  <c r="AF33" i="17" s="1"/>
  <c r="AF38" i="17" s="1"/>
  <c r="AF40" i="17" s="1"/>
  <c r="AW85" i="17"/>
  <c r="AW87" i="17" s="1"/>
  <c r="AW33" i="17" s="1"/>
  <c r="AQ85" i="17"/>
  <c r="AQ87" i="17" s="1"/>
  <c r="AQ33" i="17" s="1"/>
  <c r="AC85" i="17"/>
  <c r="AC87" i="17" s="1"/>
  <c r="AC33" i="17" s="1"/>
  <c r="AC38" i="17" s="1"/>
  <c r="AC40" i="17" s="1"/>
  <c r="I85" i="17"/>
  <c r="I87" i="17" s="1"/>
  <c r="I33" i="17" s="1"/>
  <c r="I38" i="17" s="1"/>
  <c r="I40" i="17" s="1"/>
  <c r="AV85" i="17"/>
  <c r="AV87" i="17" s="1"/>
  <c r="AV33" i="17" s="1"/>
  <c r="AV38" i="17" s="1"/>
  <c r="AV40" i="17" s="1"/>
  <c r="AE85" i="17"/>
  <c r="AE87" i="17" s="1"/>
  <c r="AE33" i="17" s="1"/>
  <c r="L85" i="17"/>
  <c r="L87" i="17" s="1"/>
  <c r="L33" i="17" s="1"/>
  <c r="L38" i="17" s="1"/>
  <c r="L40" i="17" s="1"/>
  <c r="AN85" i="17"/>
  <c r="AN87" i="17" s="1"/>
  <c r="AN33" i="17" s="1"/>
  <c r="AN38" i="17" s="1"/>
  <c r="AN40" i="17" s="1"/>
  <c r="J85" i="17"/>
  <c r="J87" i="17" s="1"/>
  <c r="J33" i="17" s="1"/>
  <c r="J38" i="17" s="1"/>
  <c r="J40" i="17" s="1"/>
  <c r="AL85" i="17"/>
  <c r="AL87" i="17" s="1"/>
  <c r="AL33" i="17" s="1"/>
  <c r="AL38" i="17" s="1"/>
  <c r="AL40" i="17" s="1"/>
  <c r="R85" i="17"/>
  <c r="R87" i="17" s="1"/>
  <c r="R33" i="17" s="1"/>
  <c r="R38" i="17" s="1"/>
  <c r="R40" i="17" s="1"/>
  <c r="AT85" i="17"/>
  <c r="AT87" i="17" s="1"/>
  <c r="AT33" i="17" s="1"/>
  <c r="AT38" i="17" s="1"/>
  <c r="AT40" i="17" s="1"/>
  <c r="AR85" i="17"/>
  <c r="AR87" i="17" s="1"/>
  <c r="AR33" i="17" s="1"/>
  <c r="AR38" i="17" s="1"/>
  <c r="AR40" i="17" s="1"/>
  <c r="X85" i="17"/>
  <c r="X87" i="17" s="1"/>
  <c r="X33" i="17" s="1"/>
  <c r="H85" i="17"/>
  <c r="H87" i="17" s="1"/>
  <c r="H33" i="17" s="1"/>
  <c r="E85" i="17"/>
  <c r="E87" i="17" s="1"/>
  <c r="E33" i="17" s="1"/>
  <c r="E38" i="17" s="1"/>
  <c r="E40" i="17" s="1"/>
  <c r="AS85" i="17"/>
  <c r="AS87" i="17" s="1"/>
  <c r="AS33" i="17" s="1"/>
  <c r="AS38" i="17" s="1"/>
  <c r="AS40" i="17" s="1"/>
  <c r="G85" i="17"/>
  <c r="G87" i="17" s="1"/>
  <c r="AH85" i="17"/>
  <c r="AH87" i="17" s="1"/>
  <c r="AH33" i="17" s="1"/>
  <c r="AH38" i="17" s="1"/>
  <c r="AH40" i="17" s="1"/>
  <c r="AO85" i="17"/>
  <c r="AO87" i="17" s="1"/>
  <c r="AO33" i="17" s="1"/>
  <c r="AO38" i="17" s="1"/>
  <c r="AO40" i="17" s="1"/>
  <c r="Q85" i="17"/>
  <c r="Q87" i="17" s="1"/>
  <c r="Q33" i="17" s="1"/>
  <c r="Q38" i="17" s="1"/>
  <c r="Q40" i="17" s="1"/>
  <c r="AM85" i="17"/>
  <c r="AM87" i="17" s="1"/>
  <c r="AM33" i="17" s="1"/>
  <c r="AM38" i="17" s="1"/>
  <c r="AM40" i="17" s="1"/>
  <c r="U85" i="17"/>
  <c r="U87" i="17" s="1"/>
  <c r="U33" i="17" s="1"/>
  <c r="F85" i="17"/>
  <c r="F87" i="17" s="1"/>
  <c r="U85" i="1"/>
  <c r="U87" i="1" s="1"/>
  <c r="U33" i="1" s="1"/>
  <c r="G85" i="13"/>
  <c r="G87" i="13" s="1"/>
  <c r="G93" i="13" s="1"/>
  <c r="Z85" i="13"/>
  <c r="Z87" i="13" s="1"/>
  <c r="E85" i="13"/>
  <c r="E87" i="13" s="1"/>
  <c r="E93" i="13" s="1"/>
  <c r="AH85" i="13"/>
  <c r="AH87" i="13" s="1"/>
  <c r="AH93" i="13" s="1"/>
  <c r="AA85" i="13"/>
  <c r="AA87" i="13" s="1"/>
  <c r="AA93" i="13" s="1"/>
  <c r="N85" i="13"/>
  <c r="N87" i="13" s="1"/>
  <c r="N93" i="13" s="1"/>
  <c r="AG85" i="13"/>
  <c r="AG87" i="13" s="1"/>
  <c r="X85" i="13"/>
  <c r="X87" i="13" s="1"/>
  <c r="X93" i="13" s="1"/>
  <c r="AA85" i="1"/>
  <c r="AA87" i="1" s="1"/>
  <c r="AA33" i="1" s="1"/>
  <c r="AN85" i="13"/>
  <c r="AN87" i="13" s="1"/>
  <c r="AF85" i="13"/>
  <c r="AF87" i="13" s="1"/>
  <c r="AF93" i="13" s="1"/>
  <c r="Y85" i="13"/>
  <c r="Y87" i="13" s="1"/>
  <c r="D85" i="13"/>
  <c r="D87" i="13" s="1"/>
  <c r="D93" i="13" s="1"/>
  <c r="Y85" i="1"/>
  <c r="Y87" i="1" s="1"/>
  <c r="Y33" i="1" s="1"/>
  <c r="AO85" i="13"/>
  <c r="AO87" i="13" s="1"/>
  <c r="AO93" i="13" s="1"/>
  <c r="AE85" i="13"/>
  <c r="AE87" i="13" s="1"/>
  <c r="AE93" i="13" s="1"/>
  <c r="Q85" i="13"/>
  <c r="Q87" i="13" s="1"/>
  <c r="Q93" i="13" s="1"/>
  <c r="I85" i="13"/>
  <c r="I87" i="13" s="1"/>
  <c r="I93" i="13" s="1"/>
  <c r="AL85" i="13"/>
  <c r="AL87" i="13" s="1"/>
  <c r="AD85" i="13"/>
  <c r="AD87" i="13" s="1"/>
  <c r="AD93" i="13" s="1"/>
  <c r="R85" i="13"/>
  <c r="R87" i="13" s="1"/>
  <c r="R93" i="13" s="1"/>
  <c r="AC85" i="1"/>
  <c r="AC87" i="1" s="1"/>
  <c r="AC33" i="1" s="1"/>
  <c r="AM85" i="13"/>
  <c r="AM87" i="13" s="1"/>
  <c r="AM93" i="13" s="1"/>
  <c r="AC85" i="13"/>
  <c r="AC87" i="13" s="1"/>
  <c r="AC93" i="13" s="1"/>
  <c r="F85" i="13"/>
  <c r="F87" i="13" s="1"/>
  <c r="F93" i="13" s="1"/>
  <c r="L85" i="13"/>
  <c r="L87" i="13" s="1"/>
  <c r="L93" i="13" s="1"/>
  <c r="K85" i="13"/>
  <c r="K87" i="13" s="1"/>
  <c r="K93" i="13" s="1"/>
  <c r="O85" i="13"/>
  <c r="O87" i="13" s="1"/>
  <c r="O93" i="13" s="1"/>
  <c r="P85" i="13"/>
  <c r="P87" i="13" s="1"/>
  <c r="P93" i="13" s="1"/>
  <c r="M85" i="13"/>
  <c r="M87" i="13" s="1"/>
  <c r="M93" i="13" s="1"/>
  <c r="H85" i="13"/>
  <c r="H87" i="13" s="1"/>
  <c r="H93" i="13" s="1"/>
  <c r="AV85" i="1"/>
  <c r="AV87" i="1" s="1"/>
  <c r="AV33" i="1" s="1"/>
  <c r="K85" i="1"/>
  <c r="K87" i="1" s="1"/>
  <c r="K33" i="1" s="1"/>
  <c r="G38" i="17"/>
  <c r="G40" i="17" s="1"/>
  <c r="F38" i="17"/>
  <c r="F40" i="17" s="1"/>
  <c r="M87" i="17"/>
  <c r="M33" i="17" s="1"/>
  <c r="M38" i="17" s="1"/>
  <c r="M40" i="17" s="1"/>
  <c r="E74" i="1"/>
  <c r="E80" i="1" s="1"/>
  <c r="E83" i="1" s="1"/>
  <c r="E67" i="1"/>
  <c r="A12" i="16"/>
  <c r="A13" i="16" s="1"/>
  <c r="A14" i="16" s="1"/>
  <c r="E39" i="16" l="1"/>
  <c r="E41" i="16"/>
  <c r="E40" i="16"/>
  <c r="E56" i="16"/>
  <c r="E59" i="16"/>
  <c r="E63" i="16"/>
  <c r="E61" i="16"/>
  <c r="E62" i="16"/>
  <c r="E60" i="16"/>
  <c r="E64" i="16"/>
  <c r="E57" i="16"/>
  <c r="E65" i="16"/>
  <c r="E58" i="16"/>
  <c r="E18" i="16"/>
  <c r="E23" i="16"/>
  <c r="E19" i="16"/>
  <c r="E26" i="16"/>
  <c r="E17" i="16"/>
  <c r="E25" i="16"/>
  <c r="E21" i="16"/>
  <c r="E16" i="16"/>
  <c r="E24" i="16"/>
  <c r="E28" i="16"/>
  <c r="E22" i="16"/>
  <c r="E27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H38" i="17"/>
  <c r="H40" i="17" s="1"/>
  <c r="E27" i="11"/>
  <c r="U38" i="17"/>
  <c r="U40" i="17" s="1"/>
  <c r="F27" i="11"/>
  <c r="G27" i="11"/>
  <c r="X38" i="1"/>
  <c r="X40" i="1" s="1"/>
  <c r="G27" i="10"/>
  <c r="U38" i="1"/>
  <c r="U40" i="1" s="1"/>
  <c r="F27" i="10"/>
  <c r="AW38" i="17"/>
  <c r="AW40" i="17" s="1"/>
  <c r="AW33" i="13"/>
  <c r="AW38" i="13" s="1"/>
  <c r="AW40" i="13" s="1"/>
  <c r="D67" i="16" s="1"/>
  <c r="AJ38" i="17"/>
  <c r="AJ40" i="17" s="1"/>
  <c r="AJ33" i="13"/>
  <c r="AJ38" i="13" s="1"/>
  <c r="AJ40" i="13" s="1"/>
  <c r="Z38" i="17"/>
  <c r="Z40" i="17" s="1"/>
  <c r="Z33" i="13"/>
  <c r="Z38" i="13" s="1"/>
  <c r="Z40" i="13" s="1"/>
  <c r="AE38" i="17"/>
  <c r="AE40" i="17" s="1"/>
  <c r="AE33" i="13"/>
  <c r="AE38" i="13" s="1"/>
  <c r="AE40" i="13" s="1"/>
  <c r="X38" i="17"/>
  <c r="X40" i="17" s="1"/>
  <c r="X33" i="13"/>
  <c r="X38" i="13" s="1"/>
  <c r="X40" i="13" s="1"/>
  <c r="AQ38" i="17"/>
  <c r="AQ40" i="17" s="1"/>
  <c r="AU38" i="17"/>
  <c r="AU40" i="17" s="1"/>
  <c r="AU33" i="13"/>
  <c r="AU38" i="13" s="1"/>
  <c r="AU40" i="13" s="1"/>
  <c r="U33" i="13"/>
  <c r="U38" i="13" s="1"/>
  <c r="U40" i="13" s="1"/>
  <c r="D31" i="16" s="1" a="1"/>
  <c r="AA38" i="1"/>
  <c r="AA40" i="1" s="1"/>
  <c r="AA33" i="13"/>
  <c r="AA38" i="13" s="1"/>
  <c r="AA40" i="13" s="1"/>
  <c r="AC38" i="1"/>
  <c r="AC40" i="1" s="1"/>
  <c r="AC33" i="13"/>
  <c r="AC38" i="13" s="1"/>
  <c r="AC40" i="13" s="1"/>
  <c r="Y38" i="1"/>
  <c r="Y40" i="1" s="1"/>
  <c r="Y33" i="13"/>
  <c r="Y38" i="13" s="1"/>
  <c r="Y40" i="13" s="1"/>
  <c r="AV33" i="13"/>
  <c r="AV38" i="13" s="1"/>
  <c r="AV40" i="13" s="1"/>
  <c r="AV38" i="1"/>
  <c r="AV40" i="1" s="1"/>
  <c r="K38" i="1"/>
  <c r="K40" i="1" s="1"/>
  <c r="K33" i="13"/>
  <c r="K38" i="13" s="1"/>
  <c r="K40" i="13" s="1"/>
  <c r="J38" i="1"/>
  <c r="J40" i="1" s="1"/>
  <c r="J33" i="13"/>
  <c r="J38" i="13" s="1"/>
  <c r="J40" i="13" s="1"/>
  <c r="E85" i="1"/>
  <c r="E87" i="1" s="1"/>
  <c r="E33" i="1" s="1"/>
  <c r="C87" i="17"/>
  <c r="C33" i="17" s="1"/>
  <c r="D27" i="11" s="1"/>
  <c r="E68" i="16" l="1"/>
  <c r="D38" i="16" a="1"/>
  <c r="D39" i="16" s="1"/>
  <c r="A42" i="16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E29" i="16"/>
  <c r="D32" i="16"/>
  <c r="D34" i="16"/>
  <c r="D31" i="16"/>
  <c r="D33" i="16"/>
  <c r="D35" i="16"/>
  <c r="E38" i="1"/>
  <c r="E40" i="1" s="1"/>
  <c r="E33" i="13"/>
  <c r="E38" i="13" s="1"/>
  <c r="E40" i="13" s="1"/>
  <c r="E42" i="16"/>
  <c r="D38" i="16" l="1"/>
  <c r="D40" i="16"/>
  <c r="D41" i="16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C38" i="17"/>
  <c r="C40" i="17" l="1"/>
  <c r="A72" i="16" l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P63" i="15"/>
  <c r="R63" i="15" s="1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I22" i="12" l="1"/>
  <c r="J27" i="15" s="1"/>
  <c r="E9" i="12" l="1"/>
  <c r="F14" i="15" s="1"/>
  <c r="E16" i="12" l="1"/>
  <c r="F21" i="15" s="1"/>
  <c r="E20" i="12" l="1"/>
  <c r="E18" i="12"/>
  <c r="E17" i="12"/>
  <c r="F22" i="15" s="1"/>
  <c r="E19" i="12"/>
  <c r="E22" i="12"/>
  <c r="F27" i="15" l="1"/>
  <c r="F25" i="15"/>
  <c r="F24" i="15"/>
  <c r="F23" i="15"/>
  <c r="R65" i="1"/>
  <c r="R54" i="1"/>
  <c r="R29" i="1"/>
  <c r="O65" i="1" l="1"/>
  <c r="P65" i="1"/>
  <c r="Q65" i="1"/>
  <c r="O54" i="1"/>
  <c r="P54" i="1"/>
  <c r="Q54" i="1"/>
  <c r="O29" i="1"/>
  <c r="Q29" i="1"/>
  <c r="O16" i="1"/>
  <c r="P16" i="1"/>
  <c r="Q16" i="1"/>
  <c r="O74" i="1" l="1"/>
  <c r="Q74" i="1"/>
  <c r="P67" i="1"/>
  <c r="Q67" i="1"/>
  <c r="O67" i="1"/>
  <c r="P74" i="1"/>
  <c r="P80" i="1" s="1"/>
  <c r="P83" i="1" s="1"/>
  <c r="O80" i="1" l="1"/>
  <c r="O83" i="1" s="1"/>
  <c r="O85" i="1" s="1"/>
  <c r="O87" i="1" s="1"/>
  <c r="O33" i="1" s="1"/>
  <c r="Q80" i="1"/>
  <c r="Q83" i="1" s="1"/>
  <c r="Q85" i="1" s="1"/>
  <c r="Q87" i="1" s="1"/>
  <c r="Q33" i="1" s="1"/>
  <c r="P85" i="1"/>
  <c r="P87" i="1" s="1"/>
  <c r="P33" i="1" s="1"/>
  <c r="P33" i="13" l="1"/>
  <c r="P38" i="13" s="1"/>
  <c r="P40" i="13" s="1"/>
  <c r="P38" i="1"/>
  <c r="P40" i="1" s="1"/>
  <c r="Q33" i="13"/>
  <c r="Q38" i="13" s="1"/>
  <c r="Q40" i="13" s="1"/>
  <c r="Q38" i="1"/>
  <c r="Q40" i="1" s="1"/>
  <c r="O33" i="13"/>
  <c r="O38" i="13" s="1"/>
  <c r="O40" i="13" s="1"/>
  <c r="O38" i="1"/>
  <c r="O40" i="1" s="1"/>
  <c r="C16" i="13"/>
  <c r="B16" i="13" s="1"/>
  <c r="C65" i="13"/>
  <c r="C54" i="13"/>
  <c r="B54" i="13" s="1"/>
  <c r="C29" i="13"/>
  <c r="B29" i="13" s="1"/>
  <c r="C67" i="13" l="1"/>
  <c r="E11" i="16" s="1" a="1"/>
  <c r="C74" i="13"/>
  <c r="B74" i="13" s="1"/>
  <c r="E11" i="16" l="1"/>
  <c r="E13" i="16"/>
  <c r="E12" i="16"/>
  <c r="E36" i="16"/>
  <c r="C80" i="13"/>
  <c r="E14" i="16" l="1"/>
  <c r="C83" i="13"/>
  <c r="C85" i="13" s="1"/>
  <c r="I68" i="12" l="1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I28" i="12"/>
  <c r="J33" i="15" s="1"/>
  <c r="H28" i="12"/>
  <c r="I33" i="15" s="1"/>
  <c r="G28" i="12"/>
  <c r="H33" i="15" s="1"/>
  <c r="F28" i="12"/>
  <c r="G33" i="15" s="1"/>
  <c r="E28" i="12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G75" i="11"/>
  <c r="F75" i="11"/>
  <c r="E75" i="11"/>
  <c r="D75" i="1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D51" i="12"/>
  <c r="D47" i="12"/>
  <c r="D46" i="12"/>
  <c r="D45" i="12"/>
  <c r="D44" i="12"/>
  <c r="D43" i="12"/>
  <c r="D42" i="12"/>
  <c r="D41" i="12"/>
  <c r="D40" i="12"/>
  <c r="D39" i="12"/>
  <c r="D38" i="12"/>
  <c r="D37" i="12"/>
  <c r="D31" i="12"/>
  <c r="D30" i="12"/>
  <c r="D22" i="12"/>
  <c r="C22" i="12" s="1"/>
  <c r="D21" i="12"/>
  <c r="D20" i="12"/>
  <c r="D19" i="12"/>
  <c r="D18" i="12"/>
  <c r="D16" i="12"/>
  <c r="D15" i="12"/>
  <c r="D14" i="12"/>
  <c r="D13" i="12"/>
  <c r="D8" i="12"/>
  <c r="D7" i="12"/>
  <c r="I75" i="10"/>
  <c r="H75" i="10"/>
  <c r="G75" i="10"/>
  <c r="F75" i="10"/>
  <c r="E75" i="10"/>
  <c r="H48" i="10"/>
  <c r="I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D9" i="12"/>
  <c r="D53" i="12"/>
  <c r="D6" i="12"/>
  <c r="F8" i="12"/>
  <c r="F17" i="12"/>
  <c r="F16" i="12"/>
  <c r="F13" i="12"/>
  <c r="C14" i="12" l="1"/>
  <c r="C6" i="12"/>
  <c r="C7" i="12"/>
  <c r="E22" i="15"/>
  <c r="C17" i="12"/>
  <c r="E48" i="15"/>
  <c r="E21" i="15"/>
  <c r="C16" i="12"/>
  <c r="E50" i="15"/>
  <c r="E47" i="15"/>
  <c r="E49" i="15"/>
  <c r="E18" i="15"/>
  <c r="C18" i="12"/>
  <c r="C19" i="12"/>
  <c r="E44" i="15"/>
  <c r="E43" i="15"/>
  <c r="C20" i="12"/>
  <c r="E56" i="15"/>
  <c r="E42" i="15"/>
  <c r="C9" i="12"/>
  <c r="E13" i="15"/>
  <c r="C8" i="12"/>
  <c r="C21" i="12"/>
  <c r="E57" i="15"/>
  <c r="E80" i="15"/>
  <c r="N80" i="15" s="1"/>
  <c r="P80" i="15" s="1"/>
  <c r="E12" i="15"/>
  <c r="E23" i="15"/>
  <c r="E19" i="15"/>
  <c r="E24" i="15"/>
  <c r="E26" i="15"/>
  <c r="E35" i="15"/>
  <c r="E46" i="15"/>
  <c r="E52" i="15"/>
  <c r="E20" i="15"/>
  <c r="E25" i="15"/>
  <c r="E27" i="15"/>
  <c r="E45" i="15"/>
  <c r="E51" i="15"/>
  <c r="E11" i="15"/>
  <c r="E14" i="15"/>
  <c r="G56" i="15"/>
  <c r="J48" i="15"/>
  <c r="J50" i="15"/>
  <c r="E58" i="15"/>
  <c r="J61" i="15"/>
  <c r="F29" i="15"/>
  <c r="G31" i="15"/>
  <c r="E36" i="15"/>
  <c r="J43" i="15"/>
  <c r="G22" i="15"/>
  <c r="G21" i="15"/>
  <c r="G13" i="15"/>
  <c r="J42" i="15"/>
  <c r="G18" i="15"/>
  <c r="F33" i="15"/>
  <c r="N33" i="15" s="1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D26" i="12"/>
  <c r="D54" i="12"/>
  <c r="D56" i="12"/>
  <c r="D69" i="12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2" i="12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H59" i="11"/>
  <c r="H61" i="11" s="1"/>
  <c r="I23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D55" i="12"/>
  <c r="D57" i="12"/>
  <c r="D70" i="12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C93" i="13" s="1"/>
  <c r="I48" i="11"/>
  <c r="I71" i="12"/>
  <c r="J76" i="15" s="1"/>
  <c r="I59" i="11"/>
  <c r="E59" i="11"/>
  <c r="G59" i="11"/>
  <c r="D10" i="11"/>
  <c r="E48" i="11"/>
  <c r="E53" i="12"/>
  <c r="F58" i="15" s="1"/>
  <c r="G51" i="12"/>
  <c r="H56" i="15" s="1"/>
  <c r="I25" i="12"/>
  <c r="E39" i="12"/>
  <c r="F44" i="15" s="1"/>
  <c r="H79" i="12"/>
  <c r="E29" i="12"/>
  <c r="F34" i="15" s="1"/>
  <c r="E72" i="12"/>
  <c r="F77" i="15" s="1"/>
  <c r="E71" i="12"/>
  <c r="F76" i="15" s="1"/>
  <c r="H29" i="12"/>
  <c r="I34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F59" i="10"/>
  <c r="E10" i="10"/>
  <c r="G10" i="10"/>
  <c r="I10" i="10"/>
  <c r="E23" i="10"/>
  <c r="G23" i="10"/>
  <c r="I23" i="10"/>
  <c r="E48" i="10"/>
  <c r="G48" i="10"/>
  <c r="I48" i="10"/>
  <c r="E59" i="10"/>
  <c r="G59" i="10"/>
  <c r="I59" i="10"/>
  <c r="D10" i="10"/>
  <c r="C72" i="12" l="1"/>
  <c r="E74" i="15"/>
  <c r="C69" i="12"/>
  <c r="N21" i="15"/>
  <c r="N22" i="15"/>
  <c r="E75" i="15"/>
  <c r="N13" i="15"/>
  <c r="E30" i="15"/>
  <c r="C25" i="12"/>
  <c r="E61" i="15"/>
  <c r="N61" i="15" s="1"/>
  <c r="C56" i="12"/>
  <c r="C38" i="12"/>
  <c r="E59" i="15"/>
  <c r="C54" i="12"/>
  <c r="C52" i="12"/>
  <c r="C37" i="12"/>
  <c r="E31" i="15"/>
  <c r="C30" i="12"/>
  <c r="C46" i="12"/>
  <c r="E29" i="15"/>
  <c r="N29" i="15" s="1"/>
  <c r="C24" i="12"/>
  <c r="C41" i="12"/>
  <c r="C31" i="12"/>
  <c r="C47" i="12"/>
  <c r="C44" i="12"/>
  <c r="C43" i="12"/>
  <c r="C42" i="12"/>
  <c r="C57" i="12"/>
  <c r="C40" i="12"/>
  <c r="E60" i="15"/>
  <c r="C55" i="12"/>
  <c r="C45" i="12"/>
  <c r="G67" i="11"/>
  <c r="G73" i="11" s="1"/>
  <c r="G76" i="11" s="1"/>
  <c r="G78" i="11" s="1"/>
  <c r="G61" i="11"/>
  <c r="D61" i="10"/>
  <c r="E53" i="15"/>
  <c r="G59" i="15"/>
  <c r="G64" i="15" s="1"/>
  <c r="J30" i="15"/>
  <c r="E62" i="15"/>
  <c r="N62" i="15" s="1"/>
  <c r="J47" i="15"/>
  <c r="N47" i="15" s="1"/>
  <c r="J60" i="15"/>
  <c r="E77" i="15"/>
  <c r="N77" i="15" s="1"/>
  <c r="E76" i="15"/>
  <c r="J49" i="15"/>
  <c r="N49" i="15" s="1"/>
  <c r="E34" i="15"/>
  <c r="H57" i="15"/>
  <c r="H64" i="15" s="1"/>
  <c r="I74" i="15"/>
  <c r="N74" i="15" s="1"/>
  <c r="F67" i="11"/>
  <c r="F59" i="12"/>
  <c r="D61" i="11"/>
  <c r="H67" i="10"/>
  <c r="G28" i="15"/>
  <c r="N36" i="15"/>
  <c r="N12" i="15"/>
  <c r="N35" i="15"/>
  <c r="N45" i="15"/>
  <c r="N19" i="15"/>
  <c r="N50" i="15"/>
  <c r="N46" i="15"/>
  <c r="N52" i="15"/>
  <c r="N48" i="15"/>
  <c r="I28" i="15"/>
  <c r="I15" i="15"/>
  <c r="H28" i="15"/>
  <c r="N51" i="15"/>
  <c r="N43" i="15"/>
  <c r="H53" i="15"/>
  <c r="H15" i="15"/>
  <c r="I53" i="15"/>
  <c r="N26" i="15"/>
  <c r="F10" i="12"/>
  <c r="G15" i="15"/>
  <c r="N23" i="15"/>
  <c r="N25" i="15"/>
  <c r="E48" i="12"/>
  <c r="F53" i="15"/>
  <c r="N24" i="15"/>
  <c r="N27" i="15"/>
  <c r="N42" i="15"/>
  <c r="J15" i="15"/>
  <c r="E28" i="15"/>
  <c r="E15" i="15"/>
  <c r="N11" i="15"/>
  <c r="C59" i="11"/>
  <c r="H67" i="11"/>
  <c r="H10" i="12"/>
  <c r="D59" i="12"/>
  <c r="D61" i="12" s="1"/>
  <c r="H23" i="12"/>
  <c r="G59" i="12"/>
  <c r="H48" i="12"/>
  <c r="F48" i="12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G61" i="10"/>
  <c r="E59" i="12"/>
  <c r="G10" i="12"/>
  <c r="D67" i="11"/>
  <c r="F61" i="10"/>
  <c r="D10" i="12"/>
  <c r="I39" i="12"/>
  <c r="C39" i="12" s="1"/>
  <c r="F67" i="10"/>
  <c r="F23" i="12"/>
  <c r="D67" i="10"/>
  <c r="E61" i="11"/>
  <c r="I61" i="10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G78" i="10" s="1"/>
  <c r="D23" i="12"/>
  <c r="C10" i="10"/>
  <c r="E67" i="10"/>
  <c r="E73" i="10" s="1"/>
  <c r="E76" i="10" s="1"/>
  <c r="E78" i="10" s="1"/>
  <c r="C23" i="10"/>
  <c r="N30" i="15" l="1"/>
  <c r="D73" i="11"/>
  <c r="D76" i="11" s="1"/>
  <c r="D78" i="11" s="1"/>
  <c r="D73" i="10"/>
  <c r="C67" i="10"/>
  <c r="N60" i="15"/>
  <c r="C29" i="12"/>
  <c r="N57" i="15"/>
  <c r="F61" i="12"/>
  <c r="E64" i="15"/>
  <c r="E66" i="15" s="1"/>
  <c r="J44" i="15"/>
  <c r="F73" i="10"/>
  <c r="F73" i="11"/>
  <c r="E61" i="12"/>
  <c r="F67" i="12"/>
  <c r="F73" i="12" s="1"/>
  <c r="I31" i="15"/>
  <c r="N31" i="15" s="1"/>
  <c r="H66" i="15"/>
  <c r="N14" i="15"/>
  <c r="G67" i="12"/>
  <c r="H72" i="15" s="1"/>
  <c r="G61" i="12"/>
  <c r="N59" i="15"/>
  <c r="F64" i="15"/>
  <c r="F66" i="15" s="1"/>
  <c r="G53" i="15"/>
  <c r="G66" i="15" s="1"/>
  <c r="E80" i="10"/>
  <c r="I80" i="10"/>
  <c r="I27" i="10" s="1"/>
  <c r="I32" i="10" s="1"/>
  <c r="I34" i="10" s="1"/>
  <c r="I59" i="12"/>
  <c r="N34" i="15"/>
  <c r="I80" i="11"/>
  <c r="I27" i="11" s="1"/>
  <c r="I32" i="11" s="1"/>
  <c r="I34" i="11" s="1"/>
  <c r="I73" i="12"/>
  <c r="J78" i="15" s="1"/>
  <c r="C10" i="12"/>
  <c r="D67" i="12"/>
  <c r="I48" i="12"/>
  <c r="H67" i="12"/>
  <c r="I72" i="15" s="1"/>
  <c r="E72" i="15" l="1"/>
  <c r="D76" i="10"/>
  <c r="G78" i="15"/>
  <c r="F76" i="11"/>
  <c r="F78" i="11" s="1"/>
  <c r="F76" i="10"/>
  <c r="F78" i="10" s="1"/>
  <c r="G72" i="15"/>
  <c r="I61" i="12"/>
  <c r="N15" i="15"/>
  <c r="G73" i="12"/>
  <c r="H78" i="15" s="1"/>
  <c r="F76" i="12"/>
  <c r="F78" i="12" s="1"/>
  <c r="N44" i="15"/>
  <c r="J53" i="15"/>
  <c r="J64" i="15"/>
  <c r="I76" i="12"/>
  <c r="D73" i="12"/>
  <c r="D80" i="11"/>
  <c r="D78" i="10" l="1"/>
  <c r="J81" i="15"/>
  <c r="I78" i="12"/>
  <c r="G81" i="15"/>
  <c r="D76" i="12"/>
  <c r="E78" i="15"/>
  <c r="G76" i="12"/>
  <c r="N53" i="15"/>
  <c r="J66" i="15"/>
  <c r="D80" i="10" l="1"/>
  <c r="E81" i="15"/>
  <c r="D78" i="12"/>
  <c r="H81" i="15"/>
  <c r="G78" i="12"/>
  <c r="F80" i="11"/>
  <c r="F80" i="10"/>
  <c r="F80" i="12"/>
  <c r="I80" i="12"/>
  <c r="J83" i="15" s="1"/>
  <c r="D32" i="11"/>
  <c r="D34" i="11" s="1"/>
  <c r="D80" i="12" l="1"/>
  <c r="G83" i="15"/>
  <c r="F32" i="10"/>
  <c r="F34" i="10" s="1"/>
  <c r="F32" i="11"/>
  <c r="F34" i="11" s="1"/>
  <c r="F27" i="12"/>
  <c r="G32" i="15" s="1"/>
  <c r="I27" i="12"/>
  <c r="D27" i="12"/>
  <c r="E32" i="15" s="1"/>
  <c r="E83" i="15" l="1"/>
  <c r="J32" i="15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X78" i="5" s="1"/>
  <c r="V75" i="5"/>
  <c r="X75" i="5" s="1"/>
  <c r="V74" i="5"/>
  <c r="V73" i="5"/>
  <c r="V72" i="5"/>
  <c r="V71" i="5"/>
  <c r="X71" i="5" s="1"/>
  <c r="V60" i="5"/>
  <c r="X60" i="5" s="1"/>
  <c r="V59" i="5"/>
  <c r="X59" i="5" s="1"/>
  <c r="V58" i="5"/>
  <c r="X58" i="5" s="1"/>
  <c r="V57" i="5"/>
  <c r="V56" i="5"/>
  <c r="V55" i="5"/>
  <c r="X55" i="5" s="1"/>
  <c r="V54" i="5"/>
  <c r="X54" i="5" s="1"/>
  <c r="V50" i="5"/>
  <c r="X50" i="5" s="1"/>
  <c r="V49" i="5"/>
  <c r="X49" i="5" s="1"/>
  <c r="V48" i="5"/>
  <c r="X48" i="5" s="1"/>
  <c r="V47" i="5"/>
  <c r="X47" i="5" s="1"/>
  <c r="V46" i="5"/>
  <c r="V45" i="5"/>
  <c r="V44" i="5"/>
  <c r="X44" i="5" s="1"/>
  <c r="V43" i="5"/>
  <c r="X43" i="5" s="1"/>
  <c r="V42" i="5"/>
  <c r="X42" i="5" s="1"/>
  <c r="V41" i="5"/>
  <c r="X41" i="5" s="1"/>
  <c r="V40" i="5"/>
  <c r="X40" i="5" s="1"/>
  <c r="V34" i="5"/>
  <c r="X34" i="5" s="1"/>
  <c r="V33" i="5"/>
  <c r="V32" i="5"/>
  <c r="V28" i="5"/>
  <c r="X28" i="5" s="1"/>
  <c r="V27" i="5"/>
  <c r="X27" i="5" s="1"/>
  <c r="V25" i="5"/>
  <c r="X25" i="5" s="1"/>
  <c r="V24" i="5"/>
  <c r="X24" i="5" s="1"/>
  <c r="V23" i="5"/>
  <c r="X23" i="5" s="1"/>
  <c r="V21" i="5"/>
  <c r="X21" i="5" s="1"/>
  <c r="V20" i="5"/>
  <c r="V19" i="5"/>
  <c r="V18" i="5"/>
  <c r="V17" i="5"/>
  <c r="X17" i="5" s="1"/>
  <c r="V16" i="5"/>
  <c r="X16" i="5" s="1"/>
  <c r="V12" i="5"/>
  <c r="X12" i="5" s="1"/>
  <c r="V11" i="5"/>
  <c r="X11" i="5" s="1"/>
  <c r="V10" i="5"/>
  <c r="X10" i="5" s="1"/>
  <c r="X74" i="5"/>
  <c r="X73" i="5"/>
  <c r="X72" i="5"/>
  <c r="X57" i="5"/>
  <c r="X56" i="5"/>
  <c r="X46" i="5"/>
  <c r="X45" i="5"/>
  <c r="X33" i="5"/>
  <c r="X32" i="5"/>
  <c r="X20" i="5"/>
  <c r="X19" i="5"/>
  <c r="X18" i="5"/>
  <c r="R78" i="5"/>
  <c r="R71" i="5"/>
  <c r="T71" i="5" s="1"/>
  <c r="N78" i="5"/>
  <c r="N71" i="5"/>
  <c r="P71" i="5" s="1"/>
  <c r="J78" i="5"/>
  <c r="F78" i="5"/>
  <c r="F71" i="5"/>
  <c r="H71" i="5" s="1"/>
  <c r="B78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N82" i="5" l="1"/>
  <c r="L64" i="4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74" i="5"/>
  <c r="N27" i="5"/>
  <c r="N32" i="5" l="1"/>
  <c r="D76" i="4"/>
  <c r="D75" i="4"/>
  <c r="D73" i="4"/>
  <c r="N21" i="5"/>
  <c r="N25" i="5"/>
  <c r="N42" i="5"/>
  <c r="N75" i="5"/>
  <c r="N40" i="5"/>
  <c r="N56" i="5"/>
  <c r="N34" i="5"/>
  <c r="N54" i="5"/>
  <c r="N9" i="5"/>
  <c r="N20" i="5"/>
  <c r="N23" i="5"/>
  <c r="N22" i="5"/>
  <c r="N11" i="5"/>
  <c r="N28" i="5"/>
  <c r="N60" i="5"/>
  <c r="N12" i="5"/>
  <c r="F72" i="5" l="1"/>
  <c r="F75" i="5"/>
  <c r="F74" i="5"/>
  <c r="H62" i="4"/>
  <c r="N62" i="5" s="1"/>
  <c r="H13" i="4"/>
  <c r="N13" i="5" s="1"/>
  <c r="AQ54" i="1"/>
  <c r="AQ29" i="1"/>
  <c r="AQ16" i="1"/>
  <c r="AH54" i="1"/>
  <c r="AH29" i="1"/>
  <c r="AH16" i="1"/>
  <c r="N19" i="5" l="1"/>
  <c r="AQ74" i="1"/>
  <c r="AH74" i="1"/>
  <c r="AH80" i="1" s="1"/>
  <c r="AH65" i="1"/>
  <c r="AH67" i="1" s="1"/>
  <c r="R16" i="1"/>
  <c r="R74" i="1" s="1"/>
  <c r="R80" i="1" s="1"/>
  <c r="R83" i="1" s="1"/>
  <c r="R85" i="1" l="1"/>
  <c r="R87" i="1" s="1"/>
  <c r="R33" i="1" s="1"/>
  <c r="AH83" i="1"/>
  <c r="AQ65" i="1"/>
  <c r="AQ67" i="1" s="1"/>
  <c r="AQ80" i="1"/>
  <c r="R67" i="1"/>
  <c r="N65" i="1"/>
  <c r="N54" i="1"/>
  <c r="N16" i="1"/>
  <c r="AH85" i="1" l="1"/>
  <c r="AH87" i="1" s="1"/>
  <c r="AH33" i="1" s="1"/>
  <c r="R38" i="1"/>
  <c r="R40" i="1" s="1"/>
  <c r="R33" i="13"/>
  <c r="R38" i="13" s="1"/>
  <c r="R40" i="13" s="1"/>
  <c r="AQ83" i="1"/>
  <c r="N67" i="1"/>
  <c r="N29" i="1"/>
  <c r="N74" i="1" s="1"/>
  <c r="N80" i="1" s="1"/>
  <c r="D16" i="1"/>
  <c r="AM54" i="1"/>
  <c r="AS29" i="1"/>
  <c r="D34" i="4"/>
  <c r="I29" i="1"/>
  <c r="AF65" i="1"/>
  <c r="AT16" i="1"/>
  <c r="AT29" i="1"/>
  <c r="AT54" i="1"/>
  <c r="AT65" i="1"/>
  <c r="AS16" i="1"/>
  <c r="AS54" i="1"/>
  <c r="AS65" i="1"/>
  <c r="AR65" i="1"/>
  <c r="AR16" i="1"/>
  <c r="AR29" i="1"/>
  <c r="AO54" i="1"/>
  <c r="AO16" i="1"/>
  <c r="AO29" i="1"/>
  <c r="AN29" i="1"/>
  <c r="AN16" i="1"/>
  <c r="AN54" i="1"/>
  <c r="AN65" i="1"/>
  <c r="AM65" i="1"/>
  <c r="AM16" i="1"/>
  <c r="AM29" i="1"/>
  <c r="AL65" i="1"/>
  <c r="AL16" i="1"/>
  <c r="AL29" i="1"/>
  <c r="AG16" i="1"/>
  <c r="AG29" i="1"/>
  <c r="AG54" i="1"/>
  <c r="AF16" i="1"/>
  <c r="AF29" i="1"/>
  <c r="AF54" i="1"/>
  <c r="AD29" i="1"/>
  <c r="AD16" i="1"/>
  <c r="AD54" i="1"/>
  <c r="AB16" i="1"/>
  <c r="AB29" i="1"/>
  <c r="AB54" i="1"/>
  <c r="AB65" i="1"/>
  <c r="M16" i="1"/>
  <c r="M54" i="1"/>
  <c r="M65" i="1"/>
  <c r="L16" i="1"/>
  <c r="L54" i="1"/>
  <c r="L65" i="1"/>
  <c r="I16" i="1"/>
  <c r="I54" i="1"/>
  <c r="I65" i="1"/>
  <c r="H16" i="1"/>
  <c r="H54" i="1"/>
  <c r="H65" i="1"/>
  <c r="G16" i="1"/>
  <c r="G54" i="1"/>
  <c r="G65" i="1"/>
  <c r="F16" i="1"/>
  <c r="F29" i="1"/>
  <c r="F54" i="1"/>
  <c r="F65" i="1"/>
  <c r="D29" i="1"/>
  <c r="D54" i="1"/>
  <c r="D65" i="1"/>
  <c r="C16" i="1"/>
  <c r="C29" i="1"/>
  <c r="C54" i="1"/>
  <c r="C65" i="1"/>
  <c r="D16" i="4"/>
  <c r="D11" i="4"/>
  <c r="D59" i="4"/>
  <c r="D55" i="4"/>
  <c r="D50" i="4"/>
  <c r="D49" i="4"/>
  <c r="D47" i="4"/>
  <c r="D46" i="4"/>
  <c r="D44" i="4"/>
  <c r="D43" i="4"/>
  <c r="D41" i="4"/>
  <c r="D33" i="4"/>
  <c r="D24" i="4"/>
  <c r="D20" i="4"/>
  <c r="D18" i="4"/>
  <c r="D17" i="4"/>
  <c r="D12" i="4"/>
  <c r="D10" i="4"/>
  <c r="B16" i="1" l="1"/>
  <c r="AH33" i="13"/>
  <c r="AH38" i="13" s="1"/>
  <c r="AH40" i="13" s="1"/>
  <c r="AH38" i="1"/>
  <c r="AH40" i="1" s="1"/>
  <c r="D36" i="16"/>
  <c r="AQ85" i="1"/>
  <c r="AQ87" i="1" s="1"/>
  <c r="AQ33" i="1" s="1"/>
  <c r="AS74" i="1"/>
  <c r="AS80" i="1" s="1"/>
  <c r="AS83" i="1" s="1"/>
  <c r="F11" i="5"/>
  <c r="F16" i="5"/>
  <c r="H74" i="1"/>
  <c r="H80" i="1" s="1"/>
  <c r="F10" i="5"/>
  <c r="F33" i="5"/>
  <c r="F44" i="5"/>
  <c r="F24" i="5"/>
  <c r="F43" i="5"/>
  <c r="F46" i="5"/>
  <c r="F49" i="5"/>
  <c r="F55" i="5"/>
  <c r="F17" i="5"/>
  <c r="F41" i="5"/>
  <c r="F20" i="5"/>
  <c r="F47" i="5"/>
  <c r="F59" i="5"/>
  <c r="F12" i="5"/>
  <c r="F18" i="5"/>
  <c r="F34" i="5"/>
  <c r="F50" i="5"/>
  <c r="AL74" i="1"/>
  <c r="AL80" i="1" s="1"/>
  <c r="AL83" i="1" s="1"/>
  <c r="N83" i="1"/>
  <c r="D9" i="4"/>
  <c r="D22" i="4"/>
  <c r="H67" i="1"/>
  <c r="L67" i="1"/>
  <c r="AR74" i="1"/>
  <c r="AR80" i="1" s="1"/>
  <c r="AB67" i="1"/>
  <c r="AN67" i="1"/>
  <c r="D57" i="4"/>
  <c r="D60" i="4"/>
  <c r="AF67" i="1"/>
  <c r="AT67" i="1"/>
  <c r="D40" i="4"/>
  <c r="D74" i="1"/>
  <c r="F67" i="1"/>
  <c r="F74" i="1"/>
  <c r="F80" i="1" s="1"/>
  <c r="G67" i="1"/>
  <c r="M67" i="1"/>
  <c r="AD74" i="1"/>
  <c r="AD80" i="1" s="1"/>
  <c r="G74" i="1"/>
  <c r="G80" i="1" s="1"/>
  <c r="C67" i="1"/>
  <c r="D67" i="1"/>
  <c r="I67" i="1"/>
  <c r="AG74" i="1"/>
  <c r="L29" i="1"/>
  <c r="L74" i="1" s="1"/>
  <c r="L80" i="1" s="1"/>
  <c r="M29" i="1"/>
  <c r="C74" i="1"/>
  <c r="AM67" i="1"/>
  <c r="D19" i="4"/>
  <c r="F19" i="5" s="1"/>
  <c r="D21" i="4"/>
  <c r="D23" i="4"/>
  <c r="D25" i="4"/>
  <c r="AB74" i="1"/>
  <c r="AF74" i="1"/>
  <c r="AM74" i="1"/>
  <c r="AM80" i="1" s="1"/>
  <c r="AN74" i="1"/>
  <c r="AN80" i="1" s="1"/>
  <c r="AO74" i="1"/>
  <c r="AO80" i="1" s="1"/>
  <c r="AS67" i="1"/>
  <c r="AT74" i="1"/>
  <c r="AT80" i="1" s="1"/>
  <c r="I74" i="1"/>
  <c r="AQ33" i="13" l="1"/>
  <c r="AQ38" i="13" s="1"/>
  <c r="AQ40" i="13" s="1"/>
  <c r="AQ38" i="1"/>
  <c r="AQ40" i="1" s="1"/>
  <c r="B29" i="1"/>
  <c r="D80" i="1"/>
  <c r="N85" i="1"/>
  <c r="N87" i="1" s="1"/>
  <c r="N33" i="1" s="1"/>
  <c r="AL85" i="1"/>
  <c r="AL87" i="1" s="1"/>
  <c r="AL33" i="1" s="1"/>
  <c r="AL33" i="13" s="1"/>
  <c r="AL38" i="13" s="1"/>
  <c r="AL40" i="13" s="1"/>
  <c r="AS85" i="1"/>
  <c r="AS87" i="1" s="1"/>
  <c r="AS33" i="1" s="1"/>
  <c r="I80" i="1"/>
  <c r="I83" i="1" s="1"/>
  <c r="C80" i="1"/>
  <c r="C83" i="1" s="1"/>
  <c r="F40" i="5"/>
  <c r="F60" i="5"/>
  <c r="F22" i="5"/>
  <c r="F21" i="5"/>
  <c r="F57" i="5"/>
  <c r="F9" i="5"/>
  <c r="F23" i="5"/>
  <c r="F25" i="5"/>
  <c r="C21" i="7"/>
  <c r="C11" i="7"/>
  <c r="D13" i="4"/>
  <c r="D26" i="4"/>
  <c r="AN83" i="1"/>
  <c r="AT83" i="1"/>
  <c r="AO83" i="1"/>
  <c r="AM83" i="1"/>
  <c r="L83" i="1"/>
  <c r="G83" i="1"/>
  <c r="AD83" i="1"/>
  <c r="F83" i="1"/>
  <c r="D83" i="1"/>
  <c r="AR83" i="1"/>
  <c r="H83" i="1"/>
  <c r="H85" i="1" s="1"/>
  <c r="D27" i="4"/>
  <c r="AF80" i="1"/>
  <c r="D28" i="4"/>
  <c r="D29" i="4"/>
  <c r="M74" i="1"/>
  <c r="M80" i="1" s="1"/>
  <c r="D45" i="4"/>
  <c r="AG80" i="1"/>
  <c r="AO65" i="1"/>
  <c r="AO67" i="1" s="1"/>
  <c r="D58" i="4"/>
  <c r="B74" i="1" l="1"/>
  <c r="N33" i="13"/>
  <c r="N38" i="13" s="1"/>
  <c r="N40" i="13" s="1"/>
  <c r="N38" i="1"/>
  <c r="N40" i="1" s="1"/>
  <c r="AS33" i="13"/>
  <c r="AS38" i="13" s="1"/>
  <c r="AS40" i="13" s="1"/>
  <c r="AS38" i="1"/>
  <c r="AS40" i="1" s="1"/>
  <c r="L85" i="1"/>
  <c r="L87" i="1" s="1"/>
  <c r="L33" i="1" s="1"/>
  <c r="L33" i="13" s="1"/>
  <c r="L38" i="13" s="1"/>
  <c r="L40" i="13" s="1"/>
  <c r="AN85" i="1"/>
  <c r="AN87" i="1" s="1"/>
  <c r="AN33" i="1" s="1"/>
  <c r="AM85" i="1"/>
  <c r="AM87" i="1" s="1"/>
  <c r="AM33" i="1" s="1"/>
  <c r="AM33" i="13" s="1"/>
  <c r="AM38" i="13" s="1"/>
  <c r="AM40" i="13" s="1"/>
  <c r="AO85" i="1"/>
  <c r="AO87" i="1" s="1"/>
  <c r="AO33" i="1" s="1"/>
  <c r="AD85" i="1"/>
  <c r="AD87" i="1" s="1"/>
  <c r="AD33" i="1" s="1"/>
  <c r="AD33" i="13" s="1"/>
  <c r="AD38" i="13" s="1"/>
  <c r="AD40" i="13" s="1"/>
  <c r="AR85" i="1"/>
  <c r="AR87" i="1" s="1"/>
  <c r="AR33" i="1" s="1"/>
  <c r="AT85" i="1"/>
  <c r="AT87" i="1" s="1"/>
  <c r="AT33" i="1" s="1"/>
  <c r="AT33" i="13" s="1"/>
  <c r="AT38" i="13" s="1"/>
  <c r="AT40" i="13" s="1"/>
  <c r="F85" i="1"/>
  <c r="F87" i="1" s="1"/>
  <c r="F33" i="1" s="1"/>
  <c r="I85" i="1"/>
  <c r="I87" i="1" s="1"/>
  <c r="I33" i="1" s="1"/>
  <c r="G85" i="1"/>
  <c r="G87" i="1" s="1"/>
  <c r="G33" i="1" s="1"/>
  <c r="D85" i="1"/>
  <c r="D87" i="1" s="1"/>
  <c r="D33" i="1" s="1"/>
  <c r="C85" i="1"/>
  <c r="C87" i="1" s="1"/>
  <c r="C33" i="1" s="1"/>
  <c r="E68" i="12"/>
  <c r="F73" i="15" s="1"/>
  <c r="AL38" i="1"/>
  <c r="AL40" i="1" s="1"/>
  <c r="F26" i="5"/>
  <c r="F13" i="5"/>
  <c r="F45" i="5"/>
  <c r="F29" i="5"/>
  <c r="F27" i="5"/>
  <c r="F58" i="5"/>
  <c r="F28" i="5"/>
  <c r="D71" i="4"/>
  <c r="AF83" i="1"/>
  <c r="AG83" i="1"/>
  <c r="M83" i="1"/>
  <c r="D42" i="4"/>
  <c r="AD65" i="1"/>
  <c r="AR54" i="1"/>
  <c r="AR67" i="1" s="1"/>
  <c r="D27" i="10" l="1"/>
  <c r="D32" i="10" s="1"/>
  <c r="D34" i="10" s="1"/>
  <c r="AD38" i="1"/>
  <c r="AD40" i="1" s="1"/>
  <c r="AM38" i="1"/>
  <c r="AM40" i="1" s="1"/>
  <c r="AR38" i="1"/>
  <c r="AR40" i="1" s="1"/>
  <c r="AR33" i="13"/>
  <c r="AR38" i="13" s="1"/>
  <c r="AR40" i="13" s="1"/>
  <c r="AO33" i="13"/>
  <c r="AO38" i="13" s="1"/>
  <c r="AO40" i="13" s="1"/>
  <c r="AO38" i="1"/>
  <c r="AO40" i="1" s="1"/>
  <c r="AN33" i="13"/>
  <c r="AN38" i="13" s="1"/>
  <c r="AN40" i="13" s="1"/>
  <c r="AN38" i="1"/>
  <c r="AN40" i="1" s="1"/>
  <c r="M85" i="1"/>
  <c r="M87" i="1" s="1"/>
  <c r="M33" i="1" s="1"/>
  <c r="AT38" i="1"/>
  <c r="AT40" i="1" s="1"/>
  <c r="AG85" i="1"/>
  <c r="AG87" i="1" s="1"/>
  <c r="AG33" i="1" s="1"/>
  <c r="AG33" i="13" s="1"/>
  <c r="AG38" i="13" s="1"/>
  <c r="AG40" i="13" s="1"/>
  <c r="AF85" i="1"/>
  <c r="AF87" i="1" s="1"/>
  <c r="AF33" i="1" s="1"/>
  <c r="L38" i="1"/>
  <c r="L40" i="1" s="1"/>
  <c r="F33" i="13"/>
  <c r="F38" i="13" s="1"/>
  <c r="F40" i="13" s="1"/>
  <c r="F38" i="1"/>
  <c r="F40" i="1" s="1"/>
  <c r="I33" i="13"/>
  <c r="I38" i="13" s="1"/>
  <c r="I40" i="13" s="1"/>
  <c r="I38" i="1"/>
  <c r="I40" i="1" s="1"/>
  <c r="G33" i="13"/>
  <c r="G38" i="13" s="1"/>
  <c r="G40" i="13" s="1"/>
  <c r="G38" i="1"/>
  <c r="G40" i="1" s="1"/>
  <c r="D33" i="13"/>
  <c r="D38" i="13" s="1"/>
  <c r="D40" i="13" s="1"/>
  <c r="D38" i="1"/>
  <c r="D40" i="1" s="1"/>
  <c r="C33" i="13"/>
  <c r="C38" i="13" s="1"/>
  <c r="C40" i="13" s="1"/>
  <c r="D11" i="16" s="1" a="1"/>
  <c r="D68" i="12"/>
  <c r="E73" i="15" s="1"/>
  <c r="E79" i="12"/>
  <c r="C79" i="12" s="1"/>
  <c r="D42" i="16"/>
  <c r="F70" i="5"/>
  <c r="H87" i="1"/>
  <c r="F42" i="5"/>
  <c r="AD67" i="1"/>
  <c r="D56" i="16" l="1" a="1"/>
  <c r="D59" i="16" s="1"/>
  <c r="D11" i="16"/>
  <c r="D13" i="16"/>
  <c r="D12" i="16"/>
  <c r="AF33" i="13"/>
  <c r="AF38" i="13" s="1"/>
  <c r="AF40" i="13" s="1"/>
  <c r="AF38" i="1"/>
  <c r="AF40" i="1" s="1"/>
  <c r="M33" i="13"/>
  <c r="M38" i="13" s="1"/>
  <c r="M40" i="13" s="1"/>
  <c r="M38" i="1"/>
  <c r="M40" i="1" s="1"/>
  <c r="AG38" i="1"/>
  <c r="AG40" i="1" s="1"/>
  <c r="G80" i="10"/>
  <c r="G80" i="12"/>
  <c r="H83" i="15" s="1"/>
  <c r="G80" i="11"/>
  <c r="G32" i="11" s="1"/>
  <c r="G34" i="11" s="1"/>
  <c r="C48" i="10"/>
  <c r="H33" i="1"/>
  <c r="E27" i="10" s="1"/>
  <c r="E32" i="10" s="1"/>
  <c r="E34" i="10" s="1"/>
  <c r="C38" i="1"/>
  <c r="G32" i="10" l="1"/>
  <c r="G34" i="10" s="1"/>
  <c r="D60" i="16"/>
  <c r="D66" i="16"/>
  <c r="D61" i="16"/>
  <c r="D65" i="16"/>
  <c r="D63" i="16"/>
  <c r="D62" i="16"/>
  <c r="D58" i="16"/>
  <c r="D56" i="16"/>
  <c r="D57" i="16"/>
  <c r="D64" i="16"/>
  <c r="H33" i="13"/>
  <c r="H38" i="13" s="1"/>
  <c r="H40" i="13" s="1"/>
  <c r="D16" i="16" s="1" a="1"/>
  <c r="G27" i="12"/>
  <c r="H32" i="15" s="1"/>
  <c r="H51" i="4"/>
  <c r="H38" i="1"/>
  <c r="N48" i="5"/>
  <c r="C40" i="1"/>
  <c r="D68" i="16" l="1"/>
  <c r="D20" i="16"/>
  <c r="D16" i="16"/>
  <c r="D26" i="16"/>
  <c r="D17" i="16"/>
  <c r="D27" i="16"/>
  <c r="D22" i="16"/>
  <c r="D28" i="16"/>
  <c r="D23" i="16"/>
  <c r="D19" i="16"/>
  <c r="D18" i="16"/>
  <c r="D24" i="16"/>
  <c r="D21" i="16"/>
  <c r="D25" i="16"/>
  <c r="D14" i="16"/>
  <c r="H37" i="15"/>
  <c r="H39" i="15" s="1"/>
  <c r="G32" i="12"/>
  <c r="G34" i="12" s="1"/>
  <c r="C48" i="11"/>
  <c r="C61" i="11" s="1"/>
  <c r="H40" i="1"/>
  <c r="H64" i="4"/>
  <c r="N64" i="5" s="1"/>
  <c r="N51" i="5"/>
  <c r="D29" i="16" l="1"/>
  <c r="C48" i="12"/>
  <c r="D48" i="4" l="1"/>
  <c r="AL54" i="1"/>
  <c r="B54" i="1" s="1"/>
  <c r="AL67" i="1" l="1"/>
  <c r="F48" i="5"/>
  <c r="D51" i="4"/>
  <c r="F51" i="5" l="1"/>
  <c r="H71" i="12" l="1"/>
  <c r="C71" i="12" s="1"/>
  <c r="I76" i="15" l="1"/>
  <c r="N76" i="15" s="1"/>
  <c r="AG59" i="13" l="1"/>
  <c r="B59" i="13" s="1"/>
  <c r="D56" i="4"/>
  <c r="AG65" i="1"/>
  <c r="F56" i="5" l="1"/>
  <c r="H53" i="12"/>
  <c r="C53" i="12" s="1"/>
  <c r="H59" i="10"/>
  <c r="H61" i="10" s="1"/>
  <c r="AG67" i="1"/>
  <c r="AG65" i="13"/>
  <c r="AG67" i="13" l="1"/>
  <c r="I58" i="15"/>
  <c r="H59" i="12"/>
  <c r="H61" i="12" s="1"/>
  <c r="E44" i="16" l="1" a="1"/>
  <c r="I64" i="15"/>
  <c r="I66" i="15" s="1"/>
  <c r="N58" i="15"/>
  <c r="E44" i="16" l="1"/>
  <c r="E49" i="16"/>
  <c r="E52" i="16"/>
  <c r="E46" i="16"/>
  <c r="E53" i="16"/>
  <c r="E45" i="16"/>
  <c r="E50" i="16"/>
  <c r="E48" i="16"/>
  <c r="E47" i="16"/>
  <c r="E51" i="16"/>
  <c r="E54" i="16" l="1"/>
  <c r="H18" i="4"/>
  <c r="H16" i="4"/>
  <c r="N16" i="5" l="1"/>
  <c r="H26" i="4"/>
  <c r="N18" i="5"/>
  <c r="E13" i="12"/>
  <c r="C13" i="12" s="1"/>
  <c r="E23" i="11"/>
  <c r="E67" i="11" s="1"/>
  <c r="C67" i="11" s="1"/>
  <c r="E15" i="12"/>
  <c r="C15" i="12" s="1"/>
  <c r="E73" i="11" l="1"/>
  <c r="F18" i="15"/>
  <c r="E23" i="12"/>
  <c r="F20" i="15"/>
  <c r="N20" i="15" s="1"/>
  <c r="C23" i="11"/>
  <c r="N26" i="5"/>
  <c r="H71" i="4"/>
  <c r="N70" i="5" s="1"/>
  <c r="C23" i="12" l="1"/>
  <c r="F28" i="15"/>
  <c r="N18" i="15"/>
  <c r="E76" i="11"/>
  <c r="E78" i="11" s="1"/>
  <c r="E67" i="12"/>
  <c r="C67" i="12" s="1"/>
  <c r="F72" i="15" l="1"/>
  <c r="N72" i="15" s="1"/>
  <c r="E73" i="12"/>
  <c r="N28" i="15"/>
  <c r="E80" i="11" l="1"/>
  <c r="F78" i="15"/>
  <c r="E76" i="12"/>
  <c r="E78" i="12" l="1"/>
  <c r="F81" i="15"/>
  <c r="E32" i="11"/>
  <c r="E34" i="11" s="1"/>
  <c r="E80" i="12" l="1"/>
  <c r="F83" i="15" l="1"/>
  <c r="E27" i="12"/>
  <c r="F32" i="15" l="1"/>
  <c r="E32" i="12"/>
  <c r="E34" i="12" s="1"/>
  <c r="F37" i="15" l="1"/>
  <c r="F39" i="15" s="1"/>
  <c r="AI8" i="17" l="1"/>
  <c r="AI8" i="13"/>
  <c r="B44" i="16" s="1" a="1"/>
  <c r="B44" i="16" l="1"/>
  <c r="B45" i="16"/>
  <c r="B51" i="16"/>
  <c r="B52" i="16"/>
  <c r="B50" i="16"/>
  <c r="B49" i="16"/>
  <c r="B48" i="16"/>
  <c r="B47" i="16"/>
  <c r="B46" i="16"/>
  <c r="B53" i="16"/>
  <c r="BA65" i="1"/>
  <c r="BA57" i="13"/>
  <c r="B57" i="1"/>
  <c r="D54" i="4" s="1"/>
  <c r="J51" i="12" l="1"/>
  <c r="C51" i="12" s="1"/>
  <c r="J59" i="10"/>
  <c r="J61" i="10" s="1"/>
  <c r="C59" i="10"/>
  <c r="C61" i="10" s="1"/>
  <c r="F54" i="5"/>
  <c r="D62" i="4"/>
  <c r="BA65" i="13"/>
  <c r="B57" i="13"/>
  <c r="BA67" i="1"/>
  <c r="B65" i="1"/>
  <c r="F62" i="5" l="1"/>
  <c r="D64" i="4"/>
  <c r="F64" i="5" s="1"/>
  <c r="B67" i="1"/>
  <c r="BA67" i="13"/>
  <c r="B65" i="13"/>
  <c r="J59" i="12"/>
  <c r="J61" i="12" s="1"/>
  <c r="K56" i="15"/>
  <c r="C59" i="12"/>
  <c r="C61" i="12" s="1"/>
  <c r="K64" i="15" l="1"/>
  <c r="K66" i="15" s="1"/>
  <c r="N56" i="15"/>
  <c r="E73" i="16" a="1"/>
  <c r="B67" i="13"/>
  <c r="N64" i="15" l="1"/>
  <c r="N66" i="15" s="1"/>
  <c r="E73" i="16"/>
  <c r="E77" i="16"/>
  <c r="E79" i="16"/>
  <c r="E74" i="16"/>
  <c r="E76" i="16"/>
  <c r="E78" i="16"/>
  <c r="E80" i="16"/>
  <c r="E75" i="16"/>
  <c r="E81" i="16" l="1"/>
  <c r="E83" i="16" s="1"/>
  <c r="D26" i="3"/>
  <c r="D30" i="3" s="1"/>
  <c r="D32" i="3" s="1"/>
  <c r="D34" i="3" s="1"/>
  <c r="H9" i="5"/>
  <c r="P9" i="5"/>
  <c r="H10" i="5"/>
  <c r="H11" i="5"/>
  <c r="P11" i="5"/>
  <c r="H12" i="5"/>
  <c r="H16" i="5"/>
  <c r="H17" i="5"/>
  <c r="H18" i="5"/>
  <c r="H19" i="5"/>
  <c r="H20" i="5"/>
  <c r="H21" i="5"/>
  <c r="H22" i="5"/>
  <c r="H23" i="5"/>
  <c r="P23" i="5"/>
  <c r="H24" i="5"/>
  <c r="P24" i="5"/>
  <c r="H25" i="5"/>
  <c r="H27" i="5"/>
  <c r="H28" i="5"/>
  <c r="H29" i="5"/>
  <c r="H32" i="5"/>
  <c r="H33" i="5"/>
  <c r="H34" i="5"/>
  <c r="H40" i="5"/>
  <c r="P40" i="5"/>
  <c r="H41" i="5"/>
  <c r="P41" i="5"/>
  <c r="H42" i="5"/>
  <c r="P42" i="5"/>
  <c r="H43" i="5"/>
  <c r="P43" i="5"/>
  <c r="H44" i="5"/>
  <c r="H45" i="5"/>
  <c r="P45" i="5"/>
  <c r="H46" i="5"/>
  <c r="H47" i="5"/>
  <c r="H48" i="5"/>
  <c r="H49" i="5"/>
  <c r="P49" i="5"/>
  <c r="H50" i="5"/>
  <c r="P50" i="5"/>
  <c r="H54" i="5"/>
  <c r="H55" i="5"/>
  <c r="H56" i="5"/>
  <c r="H57" i="5"/>
  <c r="H58" i="5"/>
  <c r="H59" i="5"/>
  <c r="P59" i="5"/>
  <c r="H60" i="5"/>
  <c r="H70" i="5"/>
  <c r="P70" i="5"/>
  <c r="H72" i="5"/>
  <c r="H74" i="5"/>
  <c r="P75" i="5"/>
  <c r="P78" i="5"/>
  <c r="P31" i="5"/>
  <c r="P13" i="5"/>
  <c r="H51" i="5"/>
  <c r="H13" i="5"/>
  <c r="H26" i="5"/>
  <c r="F67" i="16" l="1"/>
  <c r="K64" i="10"/>
  <c r="K64" i="12"/>
  <c r="L69" i="15" s="1"/>
  <c r="K64" i="11"/>
  <c r="J71" i="13"/>
  <c r="J90" i="13" s="1"/>
  <c r="AV71" i="17"/>
  <c r="F71" i="1"/>
  <c r="G64" i="11"/>
  <c r="AD71" i="1"/>
  <c r="D64" i="11"/>
  <c r="Z71" i="1"/>
  <c r="BD71" i="13"/>
  <c r="BD90" i="13" s="1"/>
  <c r="AI71" i="1"/>
  <c r="K71" i="17"/>
  <c r="F17" i="16"/>
  <c r="P71" i="13"/>
  <c r="P90" i="13" s="1"/>
  <c r="Z71" i="13"/>
  <c r="Z90" i="13" s="1"/>
  <c r="F62" i="16"/>
  <c r="R71" i="17"/>
  <c r="AD71" i="13"/>
  <c r="AD90" i="13" s="1"/>
  <c r="AQ71" i="1"/>
  <c r="F12" i="16"/>
  <c r="W71" i="17"/>
  <c r="F13" i="16"/>
  <c r="AL71" i="17"/>
  <c r="F38" i="16"/>
  <c r="F19" i="16"/>
  <c r="F21" i="16"/>
  <c r="X71" i="13"/>
  <c r="X90" i="13" s="1"/>
  <c r="F57" i="16"/>
  <c r="AV71" i="13"/>
  <c r="AV90" i="13" s="1"/>
  <c r="L71" i="13"/>
  <c r="L90" i="13" s="1"/>
  <c r="BB71" i="1"/>
  <c r="AQ71" i="13"/>
  <c r="AQ90" i="13" s="1"/>
  <c r="F11" i="16"/>
  <c r="F65" i="16"/>
  <c r="G71" i="1"/>
  <c r="I64" i="10"/>
  <c r="BC71" i="17"/>
  <c r="F71" i="17"/>
  <c r="V71" i="1"/>
  <c r="AA71" i="13"/>
  <c r="AA90" i="13" s="1"/>
  <c r="AT71" i="1"/>
  <c r="C71" i="17"/>
  <c r="AC71" i="1"/>
  <c r="U71" i="17"/>
  <c r="F26" i="16"/>
  <c r="S71" i="17"/>
  <c r="AP71" i="17"/>
  <c r="AI71" i="13"/>
  <c r="AI90" i="13" s="1"/>
  <c r="AO71" i="1"/>
  <c r="AE71" i="17"/>
  <c r="J71" i="1"/>
  <c r="F33" i="16"/>
  <c r="Y71" i="1"/>
  <c r="O71" i="1"/>
  <c r="AM71" i="1"/>
  <c r="I64" i="12"/>
  <c r="J69" i="15" s="1"/>
  <c r="T71" i="1"/>
  <c r="E71" i="13"/>
  <c r="E90" i="13" s="1"/>
  <c r="BF71" i="1"/>
  <c r="F25" i="16"/>
  <c r="BB71" i="13"/>
  <c r="BB90" i="13" s="1"/>
  <c r="F64" i="16"/>
  <c r="AM71" i="13"/>
  <c r="AM90" i="13" s="1"/>
  <c r="BE71" i="1"/>
  <c r="AG71" i="17"/>
  <c r="AH71" i="17"/>
  <c r="AP71" i="13"/>
  <c r="AP90" i="13" s="1"/>
  <c r="BD71" i="17"/>
  <c r="U71" i="13"/>
  <c r="U90" i="13" s="1"/>
  <c r="AY71" i="13"/>
  <c r="AY90" i="13" s="1"/>
  <c r="BE71" i="17"/>
  <c r="I71" i="13"/>
  <c r="I90" i="13" s="1"/>
  <c r="F23" i="16"/>
  <c r="AV71" i="1"/>
  <c r="AA71" i="17"/>
  <c r="AJ71" i="1"/>
  <c r="M71" i="17"/>
  <c r="I64" i="11"/>
  <c r="AC71" i="13"/>
  <c r="AC90" i="13" s="1"/>
  <c r="AS71" i="1"/>
  <c r="D71" i="13"/>
  <c r="D90" i="13" s="1"/>
  <c r="AY71" i="17"/>
  <c r="F20" i="16"/>
  <c r="C71" i="1"/>
  <c r="F61" i="16"/>
  <c r="I71" i="1"/>
  <c r="AF71" i="1"/>
  <c r="AZ71" i="13"/>
  <c r="AZ90" i="13" s="1"/>
  <c r="AD71" i="17"/>
  <c r="AU71" i="1"/>
  <c r="E64" i="12"/>
  <c r="F69" i="15" s="1"/>
  <c r="AC71" i="17"/>
  <c r="AI71" i="17"/>
  <c r="D64" i="12"/>
  <c r="E69" i="15" s="1"/>
  <c r="F27" i="16"/>
  <c r="X71" i="17"/>
  <c r="AE71" i="13"/>
  <c r="AE90" i="13" s="1"/>
  <c r="J64" i="11"/>
  <c r="BC71" i="1"/>
  <c r="F59" i="16"/>
  <c r="AN71" i="13"/>
  <c r="AN90" i="13" s="1"/>
  <c r="AN71" i="17"/>
  <c r="N71" i="17"/>
  <c r="AX71" i="17"/>
  <c r="AY71" i="1"/>
  <c r="Q71" i="1"/>
  <c r="F22" i="16"/>
  <c r="F71" i="13"/>
  <c r="F90" i="13" s="1"/>
  <c r="G71" i="13"/>
  <c r="G90" i="13" s="1"/>
  <c r="G71" i="17"/>
  <c r="H71" i="17"/>
  <c r="Q71" i="13"/>
  <c r="Q90" i="13" s="1"/>
  <c r="F64" i="11"/>
  <c r="F56" i="16"/>
  <c r="P71" i="17"/>
  <c r="BE71" i="13"/>
  <c r="BE90" i="13" s="1"/>
  <c r="AU71" i="13"/>
  <c r="AU90" i="13" s="1"/>
  <c r="Y71" i="13"/>
  <c r="Y90" i="13" s="1"/>
  <c r="AR71" i="17"/>
  <c r="AK71" i="13"/>
  <c r="AK90" i="13" s="1"/>
  <c r="N71" i="13"/>
  <c r="N90" i="13" s="1"/>
  <c r="AT71" i="17"/>
  <c r="X71" i="1"/>
  <c r="AU71" i="17"/>
  <c r="AO71" i="13"/>
  <c r="AO90" i="13" s="1"/>
  <c r="Z71" i="17"/>
  <c r="E71" i="1"/>
  <c r="AF71" i="17"/>
  <c r="AK71" i="17"/>
  <c r="T71" i="13"/>
  <c r="T90" i="13" s="1"/>
  <c r="K71" i="1"/>
  <c r="AO71" i="17"/>
  <c r="BA71" i="17"/>
  <c r="AJ71" i="17"/>
  <c r="J71" i="17"/>
  <c r="W71" i="13"/>
  <c r="W90" i="13" s="1"/>
  <c r="AJ71" i="13"/>
  <c r="AJ90" i="13" s="1"/>
  <c r="R71" i="13"/>
  <c r="R90" i="13" s="1"/>
  <c r="P71" i="1"/>
  <c r="C71" i="13"/>
  <c r="C90" i="13" s="1"/>
  <c r="L71" i="1"/>
  <c r="G64" i="12"/>
  <c r="H69" i="15" s="1"/>
  <c r="F39" i="16"/>
  <c r="I71" i="17"/>
  <c r="F16" i="16"/>
  <c r="V71" i="17"/>
  <c r="H71" i="13"/>
  <c r="H90" i="13" s="1"/>
  <c r="F60" i="16"/>
  <c r="AL71" i="1"/>
  <c r="M71" i="1"/>
  <c r="AE71" i="1"/>
  <c r="AZ71" i="1"/>
  <c r="F64" i="12"/>
  <c r="G69" i="15" s="1"/>
  <c r="AH71" i="13"/>
  <c r="AH90" i="13" s="1"/>
  <c r="F32" i="16"/>
  <c r="F28" i="16"/>
  <c r="BF71" i="17"/>
  <c r="AH71" i="1"/>
  <c r="W71" i="1"/>
  <c r="H71" i="1"/>
  <c r="D71" i="1"/>
  <c r="S71" i="1"/>
  <c r="K71" i="13"/>
  <c r="K90" i="13" s="1"/>
  <c r="AG71" i="1"/>
  <c r="BD71" i="1"/>
  <c r="D64" i="10"/>
  <c r="AN71" i="1"/>
  <c r="BF71" i="13"/>
  <c r="BF90" i="13" s="1"/>
  <c r="E64" i="10"/>
  <c r="AW71" i="1"/>
  <c r="AZ71" i="17"/>
  <c r="F34" i="16"/>
  <c r="M71" i="13"/>
  <c r="M90" i="13" s="1"/>
  <c r="AK71" i="1"/>
  <c r="N71" i="1"/>
  <c r="AF71" i="13"/>
  <c r="AF90" i="13" s="1"/>
  <c r="F63" i="16"/>
  <c r="Q71" i="17"/>
  <c r="AS71" i="13"/>
  <c r="AR71" i="1"/>
  <c r="E71" i="17"/>
  <c r="Y71" i="17"/>
  <c r="V71" i="13"/>
  <c r="V90" i="13" s="1"/>
  <c r="S71" i="13"/>
  <c r="S90" i="13" s="1"/>
  <c r="AX71" i="13"/>
  <c r="AX90" i="13" s="1"/>
  <c r="E64" i="11"/>
  <c r="AW71" i="17"/>
  <c r="BB71" i="17"/>
  <c r="G64" i="10"/>
  <c r="F24" i="16"/>
  <c r="U71" i="1"/>
  <c r="F66" i="16"/>
  <c r="BC71" i="13"/>
  <c r="BC90" i="13" s="1"/>
  <c r="R71" i="1"/>
  <c r="AG71" i="13"/>
  <c r="AG90" i="13" s="1"/>
  <c r="F31" i="16"/>
  <c r="AW71" i="13"/>
  <c r="AW90" i="13" s="1"/>
  <c r="F70" i="16"/>
  <c r="F71" i="16" s="1"/>
  <c r="F18" i="16"/>
  <c r="AA71" i="1"/>
  <c r="O71" i="13"/>
  <c r="O90" i="13" s="1"/>
  <c r="T71" i="17"/>
  <c r="AM71" i="17"/>
  <c r="F41" i="16"/>
  <c r="AX71" i="1"/>
  <c r="AT71" i="13"/>
  <c r="AT90" i="13" s="1"/>
  <c r="L71" i="17"/>
  <c r="AS71" i="17"/>
  <c r="F58" i="16"/>
  <c r="AR71" i="13"/>
  <c r="AR90" i="13" s="1"/>
  <c r="D71" i="17"/>
  <c r="F40" i="16"/>
  <c r="O71" i="17"/>
  <c r="F35" i="16"/>
  <c r="AP71" i="1"/>
  <c r="F64" i="10"/>
  <c r="AL71" i="13"/>
  <c r="AL90" i="13" s="1"/>
  <c r="AQ71" i="17"/>
  <c r="BA71" i="1"/>
  <c r="J64" i="10"/>
  <c r="J64" i="12"/>
  <c r="K69" i="15" s="1"/>
  <c r="BA71" i="13"/>
  <c r="BA90" i="13" s="1"/>
  <c r="F74" i="16"/>
  <c r="F73" i="16"/>
  <c r="F78" i="16"/>
  <c r="F76" i="16"/>
  <c r="F79" i="16"/>
  <c r="F77" i="16"/>
  <c r="F80" i="16"/>
  <c r="F75" i="16"/>
  <c r="D78" i="5"/>
  <c r="P72" i="5"/>
  <c r="P74" i="5"/>
  <c r="P48" i="5"/>
  <c r="P32" i="5"/>
  <c r="P21" i="5"/>
  <c r="P10" i="5"/>
  <c r="P62" i="5"/>
  <c r="P58" i="5"/>
  <c r="P47" i="5"/>
  <c r="P27" i="5"/>
  <c r="P18" i="5"/>
  <c r="P55" i="5"/>
  <c r="P34" i="5"/>
  <c r="P12" i="5"/>
  <c r="P19" i="5"/>
  <c r="P60" i="5"/>
  <c r="P44" i="5"/>
  <c r="P29" i="5"/>
  <c r="P20" i="5"/>
  <c r="P57" i="5"/>
  <c r="P46" i="5"/>
  <c r="P25" i="5"/>
  <c r="P17" i="5"/>
  <c r="P54" i="5"/>
  <c r="P33" i="5"/>
  <c r="P22" i="5"/>
  <c r="P28" i="5"/>
  <c r="P56" i="5"/>
  <c r="P16" i="5"/>
  <c r="H78" i="5"/>
  <c r="H75" i="5"/>
  <c r="P51" i="5"/>
  <c r="P64" i="5"/>
  <c r="F68" i="16" l="1"/>
  <c r="F36" i="16"/>
  <c r="H36" i="16" s="1"/>
  <c r="H68" i="16"/>
  <c r="F81" i="16"/>
  <c r="H81" i="16" s="1"/>
  <c r="F14" i="16"/>
  <c r="H15" i="16" s="1"/>
  <c r="H71" i="16"/>
  <c r="F29" i="16"/>
  <c r="H29" i="16" s="1"/>
  <c r="F42" i="16"/>
  <c r="H42" i="16" s="1"/>
  <c r="C29" i="15"/>
  <c r="P29" i="15" s="1"/>
  <c r="R29" i="15" s="1"/>
  <c r="F27" i="4"/>
  <c r="B27" i="5"/>
  <c r="D27" i="5" s="1"/>
  <c r="B12" i="5"/>
  <c r="D12" i="5" s="1"/>
  <c r="C14" i="15"/>
  <c r="P14" i="15" s="1"/>
  <c r="R14" i="15" s="1"/>
  <c r="F12" i="4"/>
  <c r="B75" i="5"/>
  <c r="D75" i="5" s="1"/>
  <c r="F76" i="4"/>
  <c r="C77" i="15"/>
  <c r="P77" i="15" s="1"/>
  <c r="C47" i="15"/>
  <c r="P47" i="15" s="1"/>
  <c r="F45" i="4"/>
  <c r="B45" i="5"/>
  <c r="F60" i="4"/>
  <c r="C62" i="15"/>
  <c r="P62" i="15" s="1"/>
  <c r="R62" i="15" s="1"/>
  <c r="B60" i="5"/>
  <c r="D60" i="5" s="1"/>
  <c r="C31" i="15"/>
  <c r="P31" i="15" s="1"/>
  <c r="R31" i="15" s="1"/>
  <c r="F29" i="4"/>
  <c r="B29" i="5"/>
  <c r="D29" i="5" s="1"/>
  <c r="B28" i="5"/>
  <c r="D28" i="5" s="1"/>
  <c r="C30" i="15"/>
  <c r="P30" i="15" s="1"/>
  <c r="R30" i="15" s="1"/>
  <c r="F28" i="4"/>
  <c r="F43" i="4"/>
  <c r="B43" i="5"/>
  <c r="D43" i="5" s="1"/>
  <c r="C45" i="15"/>
  <c r="P45" i="15" s="1"/>
  <c r="F42" i="4"/>
  <c r="B42" i="5"/>
  <c r="D42" i="5" s="1"/>
  <c r="C44" i="15"/>
  <c r="P44" i="15" s="1"/>
  <c r="R44" i="15" s="1"/>
  <c r="C32" i="15"/>
  <c r="B30" i="5"/>
  <c r="D30" i="5" s="1"/>
  <c r="B74" i="5"/>
  <c r="D74" i="5" s="1"/>
  <c r="F75" i="4"/>
  <c r="C76" i="15"/>
  <c r="P76" i="15" s="1"/>
  <c r="R76" i="15" s="1"/>
  <c r="F16" i="4"/>
  <c r="B26" i="4"/>
  <c r="B16" i="5"/>
  <c r="D16" i="5" s="1"/>
  <c r="C18" i="15"/>
  <c r="F46" i="4"/>
  <c r="C48" i="15"/>
  <c r="P48" i="15" s="1"/>
  <c r="R48" i="15" s="1"/>
  <c r="B46" i="5"/>
  <c r="D46" i="5" s="1"/>
  <c r="C20" i="15"/>
  <c r="P20" i="15" s="1"/>
  <c r="R20" i="15" s="1"/>
  <c r="B18" i="5"/>
  <c r="D18" i="5" s="1"/>
  <c r="F18" i="4"/>
  <c r="B56" i="5"/>
  <c r="D56" i="5" s="1"/>
  <c r="C58" i="15"/>
  <c r="P58" i="15" s="1"/>
  <c r="R58" i="15" s="1"/>
  <c r="F56" i="4"/>
  <c r="F21" i="4"/>
  <c r="B21" i="5"/>
  <c r="D21" i="5" s="1"/>
  <c r="C23" i="15"/>
  <c r="P23" i="15" s="1"/>
  <c r="R23" i="15" s="1"/>
  <c r="B33" i="5"/>
  <c r="D33" i="5" s="1"/>
  <c r="C35" i="15"/>
  <c r="P35" i="15" s="1"/>
  <c r="F33" i="4"/>
  <c r="F59" i="4"/>
  <c r="C61" i="15"/>
  <c r="P61" i="15" s="1"/>
  <c r="R61" i="15" s="1"/>
  <c r="B59" i="5"/>
  <c r="D59" i="5" s="1"/>
  <c r="F50" i="4"/>
  <c r="B50" i="5"/>
  <c r="D50" i="5" s="1"/>
  <c r="C52" i="15"/>
  <c r="P52" i="15" s="1"/>
  <c r="B58" i="5"/>
  <c r="D58" i="5" s="1"/>
  <c r="C60" i="15"/>
  <c r="P60" i="15" s="1"/>
  <c r="R60" i="15" s="1"/>
  <c r="F58" i="4"/>
  <c r="C36" i="15"/>
  <c r="P36" i="15" s="1"/>
  <c r="R36" i="15" s="1"/>
  <c r="F34" i="4"/>
  <c r="B34" i="5"/>
  <c r="D34" i="5" s="1"/>
  <c r="F25" i="4"/>
  <c r="B25" i="5"/>
  <c r="D25" i="5" s="1"/>
  <c r="C27" i="15"/>
  <c r="P27" i="15" s="1"/>
  <c r="C22" i="15"/>
  <c r="P22" i="15" s="1"/>
  <c r="R22" i="15" s="1"/>
  <c r="F20" i="4"/>
  <c r="B20" i="5"/>
  <c r="D20" i="5" s="1"/>
  <c r="B47" i="5"/>
  <c r="D47" i="5" s="1"/>
  <c r="F47" i="4"/>
  <c r="C49" i="15"/>
  <c r="P49" i="15" s="1"/>
  <c r="R49" i="15" s="1"/>
  <c r="B19" i="5"/>
  <c r="D19" i="5" s="1"/>
  <c r="F19" i="4"/>
  <c r="C21" i="15"/>
  <c r="P21" i="15" s="1"/>
  <c r="R21" i="15" s="1"/>
  <c r="C24" i="15"/>
  <c r="P24" i="15" s="1"/>
  <c r="B22" i="5"/>
  <c r="D22" i="5" s="1"/>
  <c r="F22" i="4"/>
  <c r="F40" i="4"/>
  <c r="B51" i="4"/>
  <c r="B40" i="5"/>
  <c r="D40" i="5" s="1"/>
  <c r="C42" i="15"/>
  <c r="B72" i="5"/>
  <c r="D72" i="5" s="1"/>
  <c r="F73" i="4"/>
  <c r="C74" i="15"/>
  <c r="P74" i="15" s="1"/>
  <c r="B49" i="5"/>
  <c r="D49" i="5" s="1"/>
  <c r="C51" i="15"/>
  <c r="P51" i="15" s="1"/>
  <c r="R51" i="15" s="1"/>
  <c r="F49" i="4"/>
  <c r="B10" i="5"/>
  <c r="D10" i="5" s="1"/>
  <c r="C12" i="15"/>
  <c r="P12" i="15" s="1"/>
  <c r="R12" i="15" s="1"/>
  <c r="F10" i="4"/>
  <c r="F44" i="4"/>
  <c r="B44" i="5"/>
  <c r="D44" i="5" s="1"/>
  <c r="C46" i="15"/>
  <c r="P46" i="15" s="1"/>
  <c r="C14" i="7"/>
  <c r="C75" i="15"/>
  <c r="C6" i="7"/>
  <c r="B73" i="5"/>
  <c r="D73" i="5" s="1"/>
  <c r="B13" i="4"/>
  <c r="C11" i="15"/>
  <c r="F9" i="4"/>
  <c r="B9" i="5"/>
  <c r="D9" i="5" s="1"/>
  <c r="B62" i="4"/>
  <c r="B62" i="5" s="1"/>
  <c r="D62" i="5" s="1"/>
  <c r="C56" i="15"/>
  <c r="B54" i="5"/>
  <c r="D54" i="5" s="1"/>
  <c r="F54" i="4"/>
  <c r="B23" i="5"/>
  <c r="D23" i="5" s="1"/>
  <c r="F23" i="4"/>
  <c r="C25" i="15"/>
  <c r="P25" i="15" s="1"/>
  <c r="R25" i="15" s="1"/>
  <c r="C33" i="15"/>
  <c r="P33" i="15" s="1"/>
  <c r="B31" i="5"/>
  <c r="D31" i="5" s="1"/>
  <c r="B57" i="5"/>
  <c r="D57" i="5" s="1"/>
  <c r="C59" i="15"/>
  <c r="P59" i="15" s="1"/>
  <c r="F57" i="4"/>
  <c r="B41" i="5"/>
  <c r="D41" i="5" s="1"/>
  <c r="F41" i="4"/>
  <c r="C43" i="15"/>
  <c r="P43" i="15" s="1"/>
  <c r="R43" i="15" s="1"/>
  <c r="C26" i="15"/>
  <c r="P26" i="15" s="1"/>
  <c r="R26" i="15" s="1"/>
  <c r="F24" i="4"/>
  <c r="B24" i="5"/>
  <c r="D24" i="5" s="1"/>
  <c r="B32" i="5"/>
  <c r="D32" i="5" s="1"/>
  <c r="C34" i="15"/>
  <c r="P34" i="15" s="1"/>
  <c r="R34" i="15" s="1"/>
  <c r="F32" i="4"/>
  <c r="B11" i="5"/>
  <c r="D11" i="5" s="1"/>
  <c r="C13" i="15"/>
  <c r="P13" i="15" s="1"/>
  <c r="R13" i="15" s="1"/>
  <c r="F11" i="4"/>
  <c r="D45" i="5"/>
  <c r="B17" i="5"/>
  <c r="D17" i="5" s="1"/>
  <c r="F17" i="4"/>
  <c r="C19" i="15"/>
  <c r="P19" i="15" s="1"/>
  <c r="R19" i="15" s="1"/>
  <c r="B55" i="5"/>
  <c r="D55" i="5" s="1"/>
  <c r="C57" i="15"/>
  <c r="P57" i="15" s="1"/>
  <c r="R57" i="15" s="1"/>
  <c r="F55" i="4"/>
  <c r="F48" i="4"/>
  <c r="B48" i="5"/>
  <c r="D48" i="5" s="1"/>
  <c r="C50" i="15"/>
  <c r="P50" i="15" s="1"/>
  <c r="R50" i="15" s="1"/>
  <c r="O81" i="5"/>
  <c r="P26" i="5"/>
  <c r="H31" i="5"/>
  <c r="L78" i="5"/>
  <c r="G81" i="5"/>
  <c r="G82" i="5" s="1"/>
  <c r="R52" i="15"/>
  <c r="R47" i="15"/>
  <c r="R35" i="15"/>
  <c r="H64" i="5"/>
  <c r="H62" i="5"/>
  <c r="R59" i="15"/>
  <c r="J48" i="4" l="1"/>
  <c r="J48" i="5"/>
  <c r="L48" i="5" s="1"/>
  <c r="J17" i="4"/>
  <c r="J17" i="5"/>
  <c r="L17" i="5" s="1"/>
  <c r="P42" i="15"/>
  <c r="C53" i="15"/>
  <c r="J25" i="4"/>
  <c r="J25" i="5"/>
  <c r="L25" i="5" s="1"/>
  <c r="J50" i="4"/>
  <c r="J50" i="5"/>
  <c r="L50" i="5" s="1"/>
  <c r="J18" i="4"/>
  <c r="J18" i="5"/>
  <c r="L18" i="5" s="1"/>
  <c r="C81" i="5"/>
  <c r="C82" i="5" s="1"/>
  <c r="J32" i="5"/>
  <c r="L32" i="5" s="1"/>
  <c r="J32" i="4"/>
  <c r="J28" i="5"/>
  <c r="L28" i="5" s="1"/>
  <c r="J28" i="4"/>
  <c r="J27" i="5"/>
  <c r="L27" i="5" s="1"/>
  <c r="J27" i="4"/>
  <c r="J55" i="4"/>
  <c r="J55" i="5"/>
  <c r="L55" i="5" s="1"/>
  <c r="J9" i="4"/>
  <c r="P9" i="4" s="1"/>
  <c r="F13" i="4"/>
  <c r="J9" i="5"/>
  <c r="L9" i="5" s="1"/>
  <c r="J44" i="4"/>
  <c r="J44" i="5"/>
  <c r="L44" i="5" s="1"/>
  <c r="B64" i="4"/>
  <c r="B51" i="5"/>
  <c r="D51" i="5" s="1"/>
  <c r="J19" i="4"/>
  <c r="J19" i="5"/>
  <c r="L19" i="5" s="1"/>
  <c r="J75" i="4"/>
  <c r="J74" i="5"/>
  <c r="L74" i="5" s="1"/>
  <c r="J76" i="4"/>
  <c r="J75" i="5"/>
  <c r="L75" i="5" s="1"/>
  <c r="J11" i="5"/>
  <c r="L11" i="5" s="1"/>
  <c r="J11" i="4"/>
  <c r="J41" i="4"/>
  <c r="J41" i="5"/>
  <c r="L41" i="5" s="1"/>
  <c r="J23" i="4"/>
  <c r="J23" i="5"/>
  <c r="L23" i="5" s="1"/>
  <c r="C15" i="15"/>
  <c r="P11" i="15"/>
  <c r="J10" i="5"/>
  <c r="L10" i="5" s="1"/>
  <c r="J10" i="4"/>
  <c r="J40" i="5"/>
  <c r="L40" i="5" s="1"/>
  <c r="J40" i="4"/>
  <c r="F51" i="4"/>
  <c r="J20" i="4"/>
  <c r="J20" i="5"/>
  <c r="L20" i="5" s="1"/>
  <c r="J34" i="5"/>
  <c r="L34" i="5" s="1"/>
  <c r="J34" i="4"/>
  <c r="J59" i="4"/>
  <c r="J59" i="5"/>
  <c r="L59" i="5" s="1"/>
  <c r="J21" i="5"/>
  <c r="L21" i="5" s="1"/>
  <c r="J21" i="4"/>
  <c r="J42" i="5"/>
  <c r="L42" i="5" s="1"/>
  <c r="J42" i="4"/>
  <c r="J60" i="5"/>
  <c r="L60" i="5" s="1"/>
  <c r="J60" i="4"/>
  <c r="B71" i="4"/>
  <c r="B13" i="5"/>
  <c r="D13" i="5" s="1"/>
  <c r="J56" i="4"/>
  <c r="J56" i="5"/>
  <c r="L56" i="5" s="1"/>
  <c r="P18" i="15"/>
  <c r="C28" i="15"/>
  <c r="C37" i="15" s="1"/>
  <c r="J12" i="5"/>
  <c r="L12" i="5" s="1"/>
  <c r="J12" i="4"/>
  <c r="J24" i="4"/>
  <c r="J24" i="5"/>
  <c r="L24" i="5" s="1"/>
  <c r="J57" i="4"/>
  <c r="J57" i="5"/>
  <c r="L57" i="5" s="1"/>
  <c r="F62" i="4"/>
  <c r="J62" i="5" s="1"/>
  <c r="L62" i="5" s="1"/>
  <c r="J54" i="4"/>
  <c r="J54" i="5"/>
  <c r="L54" i="5" s="1"/>
  <c r="J47" i="4"/>
  <c r="J47" i="5"/>
  <c r="L47" i="5" s="1"/>
  <c r="J33" i="4"/>
  <c r="J33" i="5"/>
  <c r="L33" i="5" s="1"/>
  <c r="J46" i="5"/>
  <c r="L46" i="5" s="1"/>
  <c r="J46" i="4"/>
  <c r="J49" i="4"/>
  <c r="J49" i="5"/>
  <c r="L49" i="5" s="1"/>
  <c r="J73" i="4"/>
  <c r="J72" i="5"/>
  <c r="L72" i="5" s="1"/>
  <c r="J22" i="5"/>
  <c r="L22" i="5" s="1"/>
  <c r="J22" i="4"/>
  <c r="B35" i="4"/>
  <c r="B35" i="5" s="1"/>
  <c r="B26" i="5"/>
  <c r="D26" i="5" s="1"/>
  <c r="J45" i="4"/>
  <c r="J45" i="5"/>
  <c r="L45" i="5" s="1"/>
  <c r="C64" i="15"/>
  <c r="P56" i="15"/>
  <c r="P64" i="15" s="1"/>
  <c r="R64" i="15" s="1"/>
  <c r="B83" i="5"/>
  <c r="D83" i="5" s="1"/>
  <c r="C83" i="15"/>
  <c r="J58" i="5"/>
  <c r="L58" i="5" s="1"/>
  <c r="J58" i="4"/>
  <c r="F26" i="4"/>
  <c r="J16" i="4"/>
  <c r="J16" i="5"/>
  <c r="L16" i="5" s="1"/>
  <c r="J43" i="4"/>
  <c r="J43" i="5"/>
  <c r="L43" i="5" s="1"/>
  <c r="J29" i="5"/>
  <c r="L29" i="5" s="1"/>
  <c r="J29" i="4"/>
  <c r="O82" i="5"/>
  <c r="P82" i="5" s="1"/>
  <c r="L31" i="5"/>
  <c r="R74" i="15"/>
  <c r="R77" i="15"/>
  <c r="T78" i="5"/>
  <c r="R80" i="15"/>
  <c r="R27" i="15"/>
  <c r="R46" i="15"/>
  <c r="R56" i="15"/>
  <c r="R45" i="15"/>
  <c r="N49" i="4" l="1"/>
  <c r="R49" i="5"/>
  <c r="T49" i="5" s="1"/>
  <c r="R59" i="5"/>
  <c r="T59" i="5" s="1"/>
  <c r="N59" i="4"/>
  <c r="R10" i="5"/>
  <c r="T10" i="5" s="1"/>
  <c r="N10" i="4"/>
  <c r="R11" i="5"/>
  <c r="T11" i="5" s="1"/>
  <c r="N11" i="4"/>
  <c r="N19" i="4"/>
  <c r="R19" i="5"/>
  <c r="T19" i="5" s="1"/>
  <c r="R9" i="5"/>
  <c r="T9" i="5" s="1"/>
  <c r="J13" i="4"/>
  <c r="R27" i="5"/>
  <c r="T27" i="5" s="1"/>
  <c r="N27" i="4"/>
  <c r="C66" i="15"/>
  <c r="N43" i="4"/>
  <c r="R43" i="5"/>
  <c r="T43" i="5" s="1"/>
  <c r="R24" i="5"/>
  <c r="T24" i="5" s="1"/>
  <c r="N24" i="4"/>
  <c r="P28" i="15"/>
  <c r="R18" i="15"/>
  <c r="R60" i="5"/>
  <c r="T60" i="5" s="1"/>
  <c r="N60" i="4"/>
  <c r="N34" i="4"/>
  <c r="R34" i="5"/>
  <c r="T34" i="5" s="1"/>
  <c r="P53" i="15"/>
  <c r="P66" i="15" s="1"/>
  <c r="R42" i="15"/>
  <c r="R47" i="5"/>
  <c r="T47" i="5" s="1"/>
  <c r="N47" i="4"/>
  <c r="P15" i="15"/>
  <c r="R11" i="15"/>
  <c r="E8" i="16"/>
  <c r="E85" i="16" s="1"/>
  <c r="B64" i="5"/>
  <c r="D64" i="5" s="1"/>
  <c r="R55" i="5"/>
  <c r="T55" i="5" s="1"/>
  <c r="N55" i="4"/>
  <c r="N28" i="4"/>
  <c r="R28" i="5"/>
  <c r="T28" i="5" s="1"/>
  <c r="R16" i="5"/>
  <c r="T16" i="5" s="1"/>
  <c r="J26" i="4"/>
  <c r="N16" i="4"/>
  <c r="R22" i="5"/>
  <c r="R56" i="5"/>
  <c r="T56" i="5" s="1"/>
  <c r="N56" i="4"/>
  <c r="N42" i="4"/>
  <c r="R42" i="5"/>
  <c r="T42" i="5" s="1"/>
  <c r="C39" i="15"/>
  <c r="R18" i="5"/>
  <c r="T18" i="5" s="1"/>
  <c r="N18" i="4"/>
  <c r="J26" i="5"/>
  <c r="L26" i="5" s="1"/>
  <c r="D35" i="5"/>
  <c r="R46" i="5"/>
  <c r="T46" i="5" s="1"/>
  <c r="N46" i="4"/>
  <c r="J62" i="4"/>
  <c r="R54" i="5"/>
  <c r="T54" i="5" s="1"/>
  <c r="N54" i="4"/>
  <c r="N20" i="4"/>
  <c r="R20" i="5"/>
  <c r="T20" i="5" s="1"/>
  <c r="N76" i="4"/>
  <c r="R75" i="5"/>
  <c r="T75" i="5" s="1"/>
  <c r="R32" i="5"/>
  <c r="T32" i="5" s="1"/>
  <c r="N32" i="4"/>
  <c r="R17" i="5"/>
  <c r="T17" i="5" s="1"/>
  <c r="N17" i="4"/>
  <c r="N58" i="4"/>
  <c r="R58" i="5"/>
  <c r="T58" i="5" s="1"/>
  <c r="B37" i="4"/>
  <c r="R21" i="5"/>
  <c r="T21" i="5" s="1"/>
  <c r="N21" i="4"/>
  <c r="J51" i="5"/>
  <c r="L51" i="5" s="1"/>
  <c r="F64" i="4"/>
  <c r="R23" i="5"/>
  <c r="T23" i="5" s="1"/>
  <c r="N23" i="4"/>
  <c r="R44" i="5"/>
  <c r="T44" i="5" s="1"/>
  <c r="N44" i="4"/>
  <c r="R50" i="5"/>
  <c r="T50" i="5" s="1"/>
  <c r="N50" i="4"/>
  <c r="R29" i="5"/>
  <c r="T29" i="5" s="1"/>
  <c r="N73" i="4"/>
  <c r="R72" i="5"/>
  <c r="T72" i="5" s="1"/>
  <c r="N12" i="4"/>
  <c r="R12" i="5"/>
  <c r="T12" i="5" s="1"/>
  <c r="R40" i="5"/>
  <c r="T40" i="5" s="1"/>
  <c r="N40" i="4"/>
  <c r="J51" i="4"/>
  <c r="R74" i="5"/>
  <c r="T74" i="5" s="1"/>
  <c r="N75" i="4"/>
  <c r="N48" i="4"/>
  <c r="R48" i="5"/>
  <c r="T48" i="5" s="1"/>
  <c r="R45" i="5"/>
  <c r="T45" i="5" s="1"/>
  <c r="N45" i="4"/>
  <c r="N33" i="4"/>
  <c r="R33" i="5"/>
  <c r="T33" i="5" s="1"/>
  <c r="R57" i="5"/>
  <c r="T57" i="5" s="1"/>
  <c r="N57" i="4"/>
  <c r="B77" i="4"/>
  <c r="C72" i="15"/>
  <c r="B70" i="5"/>
  <c r="D70" i="5" s="1"/>
  <c r="N41" i="4"/>
  <c r="R41" i="5"/>
  <c r="T41" i="5" s="1"/>
  <c r="F71" i="4"/>
  <c r="J13" i="5"/>
  <c r="L13" i="5" s="1"/>
  <c r="R25" i="5"/>
  <c r="T25" i="5" s="1"/>
  <c r="N25" i="4"/>
  <c r="K81" i="5"/>
  <c r="R62" i="5" l="1"/>
  <c r="T62" i="5" s="1"/>
  <c r="R13" i="5"/>
  <c r="T13" i="5" s="1"/>
  <c r="J71" i="4"/>
  <c r="J64" i="5"/>
  <c r="L64" i="5" s="1"/>
  <c r="C10" i="7"/>
  <c r="C12" i="7" s="1"/>
  <c r="R26" i="5"/>
  <c r="C78" i="15"/>
  <c r="B80" i="4"/>
  <c r="B76" i="5"/>
  <c r="D76" i="5" s="1"/>
  <c r="P72" i="15"/>
  <c r="R15" i="15"/>
  <c r="J70" i="5"/>
  <c r="L70" i="5" s="1"/>
  <c r="R51" i="5"/>
  <c r="T51" i="5" s="1"/>
  <c r="J64" i="4"/>
  <c r="D8" i="16"/>
  <c r="F8" i="16" s="1"/>
  <c r="B66" i="4"/>
  <c r="B67" i="4" s="1"/>
  <c r="H70" i="13" s="1"/>
  <c r="B37" i="5"/>
  <c r="D37" i="5" s="1"/>
  <c r="B68" i="4"/>
  <c r="C69" i="15" s="1"/>
  <c r="R53" i="15"/>
  <c r="N51" i="4"/>
  <c r="N62" i="4"/>
  <c r="K82" i="5"/>
  <c r="R66" i="15"/>
  <c r="R24" i="15"/>
  <c r="T22" i="5"/>
  <c r="K63" i="12" l="1"/>
  <c r="L68" i="15" s="1"/>
  <c r="K63" i="10"/>
  <c r="W70" i="17"/>
  <c r="AU70" i="17"/>
  <c r="S70" i="13"/>
  <c r="AK70" i="13"/>
  <c r="K70" i="17"/>
  <c r="J63" i="10"/>
  <c r="X70" i="17"/>
  <c r="C70" i="13"/>
  <c r="AO70" i="1"/>
  <c r="AW70" i="1"/>
  <c r="M70" i="17"/>
  <c r="N70" i="17"/>
  <c r="BC70" i="1"/>
  <c r="E70" i="13"/>
  <c r="AE70" i="13"/>
  <c r="AG70" i="1"/>
  <c r="X70" i="1"/>
  <c r="AD70" i="1"/>
  <c r="I63" i="12"/>
  <c r="J68" i="15" s="1"/>
  <c r="U70" i="17"/>
  <c r="R70" i="1"/>
  <c r="V70" i="1"/>
  <c r="AO70" i="13"/>
  <c r="BE70" i="17"/>
  <c r="F63" i="12"/>
  <c r="G68" i="15" s="1"/>
  <c r="M70" i="13"/>
  <c r="AQ70" i="17"/>
  <c r="AA70" i="1"/>
  <c r="Y70" i="1"/>
  <c r="BD70" i="17"/>
  <c r="J70" i="13"/>
  <c r="BB70" i="1"/>
  <c r="J70" i="1"/>
  <c r="V70" i="13"/>
  <c r="M70" i="1"/>
  <c r="AK70" i="1"/>
  <c r="AE70" i="17"/>
  <c r="D70" i="13"/>
  <c r="AA70" i="17"/>
  <c r="E63" i="10"/>
  <c r="AR70" i="17"/>
  <c r="X70" i="13"/>
  <c r="AY70" i="17"/>
  <c r="H70" i="17"/>
  <c r="T70" i="17"/>
  <c r="AW70" i="17"/>
  <c r="BF70" i="17"/>
  <c r="Z70" i="17"/>
  <c r="AG70" i="17"/>
  <c r="AS70" i="13"/>
  <c r="G70" i="13"/>
  <c r="AL70" i="17"/>
  <c r="AM70" i="1"/>
  <c r="AD70" i="17"/>
  <c r="AC70" i="1"/>
  <c r="AT70" i="17"/>
  <c r="BD70" i="1"/>
  <c r="BE70" i="1"/>
  <c r="N70" i="1"/>
  <c r="BE70" i="13"/>
  <c r="AW70" i="13"/>
  <c r="F63" i="10"/>
  <c r="G63" i="10"/>
  <c r="AR70" i="13"/>
  <c r="E63" i="12"/>
  <c r="F68" i="15" s="1"/>
  <c r="Q70" i="1"/>
  <c r="Y70" i="13"/>
  <c r="AN70" i="1"/>
  <c r="D63" i="12"/>
  <c r="E68" i="15" s="1"/>
  <c r="O70" i="13"/>
  <c r="AP70" i="13"/>
  <c r="AA70" i="13"/>
  <c r="AX70" i="1"/>
  <c r="BF70" i="1"/>
  <c r="F70" i="17"/>
  <c r="AF70" i="17"/>
  <c r="AZ70" i="17"/>
  <c r="L70" i="17"/>
  <c r="D63" i="10"/>
  <c r="AC70" i="13"/>
  <c r="AS70" i="1"/>
  <c r="AE70" i="1"/>
  <c r="AN70" i="17"/>
  <c r="T70" i="13"/>
  <c r="AY70" i="13"/>
  <c r="BF70" i="13"/>
  <c r="BA70" i="1"/>
  <c r="P70" i="17"/>
  <c r="AZ70" i="13"/>
  <c r="AV70" i="17"/>
  <c r="AI70" i="13"/>
  <c r="AP70" i="1"/>
  <c r="AO70" i="17"/>
  <c r="AX70" i="13"/>
  <c r="U70" i="13"/>
  <c r="AT70" i="13"/>
  <c r="AF70" i="13"/>
  <c r="T70" i="1"/>
  <c r="F70" i="13"/>
  <c r="U70" i="1"/>
  <c r="I70" i="13"/>
  <c r="D70" i="1"/>
  <c r="AG70" i="13"/>
  <c r="AI70" i="1"/>
  <c r="K70" i="13"/>
  <c r="BA70" i="13"/>
  <c r="BC70" i="17"/>
  <c r="E70" i="17"/>
  <c r="BD70" i="13"/>
  <c r="C70" i="1"/>
  <c r="G70" i="17"/>
  <c r="BB70" i="17"/>
  <c r="AJ70" i="13"/>
  <c r="AX70" i="17"/>
  <c r="AP70" i="17"/>
  <c r="I63" i="10"/>
  <c r="Z70" i="1"/>
  <c r="AI70" i="17"/>
  <c r="H70" i="1"/>
  <c r="AH70" i="13"/>
  <c r="AZ70" i="1"/>
  <c r="P70" i="1"/>
  <c r="R70" i="13"/>
  <c r="AY70" i="1"/>
  <c r="Q70" i="17"/>
  <c r="J63" i="12"/>
  <c r="K68" i="15" s="1"/>
  <c r="Y70" i="17"/>
  <c r="C70" i="17"/>
  <c r="AL70" i="13"/>
  <c r="AN70" i="13"/>
  <c r="AM70" i="13"/>
  <c r="AL70" i="1"/>
  <c r="V70" i="17"/>
  <c r="AJ70" i="17"/>
  <c r="AH70" i="1"/>
  <c r="AD70" i="13"/>
  <c r="AQ70" i="1"/>
  <c r="AV70" i="13"/>
  <c r="AU70" i="13"/>
  <c r="I70" i="1"/>
  <c r="I70" i="17"/>
  <c r="Q70" i="13"/>
  <c r="R70" i="17"/>
  <c r="G63" i="12"/>
  <c r="H68" i="15" s="1"/>
  <c r="F70" i="1"/>
  <c r="P70" i="13"/>
  <c r="AS70" i="17"/>
  <c r="BC70" i="13"/>
  <c r="D70" i="17"/>
  <c r="E70" i="1"/>
  <c r="BA70" i="17"/>
  <c r="AJ70" i="1"/>
  <c r="AT70" i="1"/>
  <c r="J70" i="17"/>
  <c r="K70" i="1"/>
  <c r="N70" i="13"/>
  <c r="L70" i="13"/>
  <c r="AM70" i="17"/>
  <c r="BB70" i="13"/>
  <c r="AV70" i="1"/>
  <c r="L70" i="1"/>
  <c r="AU70" i="1"/>
  <c r="AQ70" i="13"/>
  <c r="AK70" i="17"/>
  <c r="N64" i="4"/>
  <c r="S70" i="1"/>
  <c r="C68" i="15"/>
  <c r="B67" i="5"/>
  <c r="D67" i="5" s="1"/>
  <c r="B82" i="4"/>
  <c r="B79" i="5"/>
  <c r="D79" i="5" s="1"/>
  <c r="C81" i="15"/>
  <c r="R64" i="5"/>
  <c r="T64" i="5" s="1"/>
  <c r="C20" i="7"/>
  <c r="C22" i="7" s="1"/>
  <c r="S70" i="17"/>
  <c r="AF70" i="1"/>
  <c r="Z70" i="13"/>
  <c r="AR70" i="1"/>
  <c r="W70" i="13"/>
  <c r="R70" i="5"/>
  <c r="T70" i="5" s="1"/>
  <c r="O70" i="1"/>
  <c r="AH70" i="17"/>
  <c r="W70" i="1"/>
  <c r="AC70" i="17"/>
  <c r="O70" i="17"/>
  <c r="G70" i="1"/>
  <c r="C16" i="7"/>
  <c r="AB77" i="1" s="1"/>
  <c r="C24" i="7"/>
  <c r="S81" i="5"/>
  <c r="T31" i="5"/>
  <c r="R33" i="15"/>
  <c r="W13" i="5"/>
  <c r="T26" i="5"/>
  <c r="R28" i="15"/>
  <c r="R72" i="15"/>
  <c r="B81" i="5" l="1"/>
  <c r="B83" i="4"/>
  <c r="C26" i="7"/>
  <c r="AB77" i="17" s="1"/>
  <c r="B77" i="1"/>
  <c r="D74" i="4" s="1"/>
  <c r="AB80" i="1"/>
  <c r="H70" i="10"/>
  <c r="C70" i="10" s="1"/>
  <c r="S82" i="5"/>
  <c r="W26" i="5"/>
  <c r="X31" i="5"/>
  <c r="D77" i="4" l="1"/>
  <c r="F73" i="5"/>
  <c r="H73" i="5" s="1"/>
  <c r="F74" i="4"/>
  <c r="B77" i="17"/>
  <c r="H74" i="4" s="1"/>
  <c r="AB80" i="17"/>
  <c r="H70" i="11"/>
  <c r="C70" i="11" s="1"/>
  <c r="F83" i="4"/>
  <c r="B82" i="5"/>
  <c r="AB77" i="13"/>
  <c r="H73" i="10"/>
  <c r="C73" i="10" s="1"/>
  <c r="AB83" i="1"/>
  <c r="B80" i="1"/>
  <c r="J82" i="5" l="1"/>
  <c r="L82" i="5" s="1"/>
  <c r="J83" i="4"/>
  <c r="B83" i="1"/>
  <c r="AB85" i="1"/>
  <c r="H76" i="10"/>
  <c r="C76" i="10" s="1"/>
  <c r="H73" i="11"/>
  <c r="C73" i="11" s="1"/>
  <c r="B80" i="17"/>
  <c r="AB83" i="17"/>
  <c r="H70" i="12"/>
  <c r="C70" i="12" s="1"/>
  <c r="N73" i="5"/>
  <c r="P73" i="5" s="1"/>
  <c r="H77" i="4"/>
  <c r="B77" i="13"/>
  <c r="AB80" i="13"/>
  <c r="J74" i="4"/>
  <c r="J73" i="5"/>
  <c r="L73" i="5" s="1"/>
  <c r="F77" i="4"/>
  <c r="D80" i="4"/>
  <c r="F76" i="5"/>
  <c r="H76" i="5" s="1"/>
  <c r="W81" i="5"/>
  <c r="B80" i="13" l="1"/>
  <c r="AB83" i="13"/>
  <c r="H76" i="11"/>
  <c r="C76" i="11" s="1"/>
  <c r="F79" i="5"/>
  <c r="H79" i="5" s="1"/>
  <c r="D82" i="4"/>
  <c r="N76" i="5"/>
  <c r="P76" i="5" s="1"/>
  <c r="H80" i="4"/>
  <c r="H78" i="10"/>
  <c r="C78" i="10" s="1"/>
  <c r="H73" i="12"/>
  <c r="C73" i="12" s="1"/>
  <c r="I75" i="15"/>
  <c r="N75" i="15" s="1"/>
  <c r="P75" i="15" s="1"/>
  <c r="R75" i="15" s="1"/>
  <c r="AB87" i="1"/>
  <c r="B85" i="1"/>
  <c r="J76" i="5"/>
  <c r="L76" i="5" s="1"/>
  <c r="F80" i="4"/>
  <c r="B83" i="17"/>
  <c r="AB85" i="17"/>
  <c r="R82" i="5"/>
  <c r="T82" i="5" s="1"/>
  <c r="N83" i="4"/>
  <c r="R73" i="5"/>
  <c r="T73" i="5" s="1"/>
  <c r="N74" i="4"/>
  <c r="J77" i="4"/>
  <c r="W82" i="5"/>
  <c r="X82" i="5" s="1"/>
  <c r="D84" i="4" l="1"/>
  <c r="F81" i="5"/>
  <c r="B85" i="17"/>
  <c r="AB87" i="17"/>
  <c r="I78" i="15"/>
  <c r="N78" i="15" s="1"/>
  <c r="P78" i="15" s="1"/>
  <c r="R78" i="15" s="1"/>
  <c r="H76" i="12"/>
  <c r="C76" i="12" s="1"/>
  <c r="H78" i="11"/>
  <c r="C78" i="11" s="1"/>
  <c r="F82" i="4"/>
  <c r="J79" i="5"/>
  <c r="L79" i="5" s="1"/>
  <c r="R76" i="5"/>
  <c r="T76" i="5" s="1"/>
  <c r="J80" i="4"/>
  <c r="H80" i="10"/>
  <c r="B83" i="13"/>
  <c r="AB85" i="13"/>
  <c r="N79" i="5"/>
  <c r="P79" i="5" s="1"/>
  <c r="H82" i="4"/>
  <c r="B87" i="1"/>
  <c r="AB33" i="1"/>
  <c r="C80" i="10" l="1"/>
  <c r="C27" i="10" s="1"/>
  <c r="C32" i="10" s="1"/>
  <c r="C34" i="10" s="1"/>
  <c r="H80" i="11"/>
  <c r="H78" i="12"/>
  <c r="C78" i="12" s="1"/>
  <c r="I81" i="15"/>
  <c r="N81" i="15" s="1"/>
  <c r="P81" i="15" s="1"/>
  <c r="R81" i="15" s="1"/>
  <c r="B33" i="1"/>
  <c r="H27" i="10"/>
  <c r="H32" i="10" s="1"/>
  <c r="H34" i="10" s="1"/>
  <c r="AB38" i="1"/>
  <c r="J82" i="4"/>
  <c r="R79" i="5"/>
  <c r="T79" i="5" s="1"/>
  <c r="B87" i="17"/>
  <c r="AB33" i="17"/>
  <c r="H84" i="4"/>
  <c r="N81" i="5"/>
  <c r="P81" i="5" s="1"/>
  <c r="F84" i="4"/>
  <c r="J81" i="5"/>
  <c r="L81" i="5" s="1"/>
  <c r="B85" i="13"/>
  <c r="AB87" i="13"/>
  <c r="AB93" i="13" s="1"/>
  <c r="F83" i="5"/>
  <c r="H83" i="5" s="1"/>
  <c r="D30" i="4"/>
  <c r="C64" i="10" l="1"/>
  <c r="C63" i="10"/>
  <c r="C80" i="11"/>
  <c r="C27" i="11" s="1"/>
  <c r="C32" i="11" s="1"/>
  <c r="C34" i="11" s="1"/>
  <c r="C64" i="11" s="1"/>
  <c r="D35" i="4"/>
  <c r="F30" i="5"/>
  <c r="H30" i="5" s="1"/>
  <c r="B33" i="17"/>
  <c r="H27" i="11"/>
  <c r="H32" i="11" s="1"/>
  <c r="H34" i="11" s="1"/>
  <c r="AB38" i="17"/>
  <c r="B87" i="13"/>
  <c r="R81" i="5"/>
  <c r="T81" i="5" s="1"/>
  <c r="J84" i="4"/>
  <c r="AB33" i="13"/>
  <c r="H80" i="12"/>
  <c r="C80" i="12" s="1"/>
  <c r="H30" i="4"/>
  <c r="N83" i="5"/>
  <c r="P83" i="5" s="1"/>
  <c r="J83" i="5"/>
  <c r="L83" i="5" s="1"/>
  <c r="F30" i="4"/>
  <c r="B38" i="1"/>
  <c r="AB40" i="1"/>
  <c r="H64" i="10"/>
  <c r="H63" i="10"/>
  <c r="N30" i="5" l="1"/>
  <c r="P30" i="5" s="1"/>
  <c r="H35" i="4"/>
  <c r="B38" i="17"/>
  <c r="AB40" i="17"/>
  <c r="H27" i="12"/>
  <c r="I83" i="15"/>
  <c r="N83" i="15" s="1"/>
  <c r="P83" i="15" s="1"/>
  <c r="R83" i="15" s="1"/>
  <c r="C27" i="12"/>
  <c r="C32" i="12" s="1"/>
  <c r="C34" i="12" s="1"/>
  <c r="H64" i="11"/>
  <c r="AB71" i="1"/>
  <c r="B71" i="1" s="1"/>
  <c r="B40" i="1"/>
  <c r="B70" i="1" s="1"/>
  <c r="AB70" i="1"/>
  <c r="AB38" i="13"/>
  <c r="B33" i="13"/>
  <c r="J30" i="4"/>
  <c r="R83" i="5"/>
  <c r="T83" i="5" s="1"/>
  <c r="J30" i="5"/>
  <c r="L30" i="5" s="1"/>
  <c r="F35" i="4"/>
  <c r="D37" i="4"/>
  <c r="F35" i="5"/>
  <c r="H35" i="5" s="1"/>
  <c r="C63" i="12" l="1"/>
  <c r="C64" i="12"/>
  <c r="B38" i="13"/>
  <c r="AB40" i="13"/>
  <c r="I32" i="15"/>
  <c r="H32" i="12"/>
  <c r="H34" i="12" s="1"/>
  <c r="AB71" i="17"/>
  <c r="B71" i="17" s="1"/>
  <c r="B40" i="17"/>
  <c r="B70" i="17" s="1"/>
  <c r="AB70" i="17"/>
  <c r="F37" i="5"/>
  <c r="H37" i="5" s="1"/>
  <c r="D68" i="4"/>
  <c r="R30" i="5"/>
  <c r="T30" i="5" s="1"/>
  <c r="J35" i="4"/>
  <c r="J35" i="5"/>
  <c r="L35" i="5" s="1"/>
  <c r="F37" i="4"/>
  <c r="H37" i="4"/>
  <c r="N35" i="5"/>
  <c r="P35" i="5" s="1"/>
  <c r="J37" i="5" l="1"/>
  <c r="L37" i="5" s="1"/>
  <c r="F66" i="4"/>
  <c r="F68" i="4"/>
  <c r="N37" i="5"/>
  <c r="P37" i="5" s="1"/>
  <c r="H68" i="4"/>
  <c r="H64" i="12"/>
  <c r="I69" i="15" s="1"/>
  <c r="H63" i="12"/>
  <c r="I68" i="15" s="1"/>
  <c r="R35" i="5"/>
  <c r="T35" i="5" s="1"/>
  <c r="J37" i="4"/>
  <c r="N32" i="15"/>
  <c r="I37" i="15"/>
  <c r="I39" i="15" s="1"/>
  <c r="B40" i="13"/>
  <c r="B70" i="13" s="1"/>
  <c r="D44" i="16" a="1"/>
  <c r="AB70" i="13"/>
  <c r="AB71" i="13"/>
  <c r="AB90" i="13" s="1"/>
  <c r="L9" i="4" l="1"/>
  <c r="B71" i="13"/>
  <c r="N37" i="15"/>
  <c r="N39" i="15" s="1"/>
  <c r="N69" i="15" s="1"/>
  <c r="P32" i="15"/>
  <c r="F67" i="4"/>
  <c r="K63" i="11" s="1"/>
  <c r="D66" i="4"/>
  <c r="D45" i="16"/>
  <c r="F45" i="16" s="1"/>
  <c r="D51" i="16"/>
  <c r="F51" i="16" s="1"/>
  <c r="D47" i="16"/>
  <c r="F47" i="16" s="1"/>
  <c r="D52" i="16"/>
  <c r="F52" i="16" s="1"/>
  <c r="D50" i="16"/>
  <c r="F50" i="16" s="1"/>
  <c r="D49" i="16"/>
  <c r="F49" i="16" s="1"/>
  <c r="D44" i="16"/>
  <c r="D48" i="16"/>
  <c r="F48" i="16" s="1"/>
  <c r="D53" i="16"/>
  <c r="F53" i="16" s="1"/>
  <c r="D46" i="16"/>
  <c r="F46" i="16" s="1"/>
  <c r="R37" i="5"/>
  <c r="T37" i="5" s="1"/>
  <c r="J66" i="4"/>
  <c r="J68" i="4"/>
  <c r="D54" i="16" l="1"/>
  <c r="F44" i="16"/>
  <c r="F54" i="16" s="1"/>
  <c r="D67" i="4"/>
  <c r="F67" i="5" s="1"/>
  <c r="H67" i="5" s="1"/>
  <c r="J67" i="5"/>
  <c r="L67" i="5" s="1"/>
  <c r="D63" i="11"/>
  <c r="C63" i="11"/>
  <c r="E63" i="11"/>
  <c r="H63" i="11"/>
  <c r="G63" i="11"/>
  <c r="I63" i="11"/>
  <c r="F63" i="11"/>
  <c r="J63" i="11"/>
  <c r="R32" i="15"/>
  <c r="P37" i="15"/>
  <c r="J67" i="4"/>
  <c r="H67" i="4" s="1"/>
  <c r="H66" i="4"/>
  <c r="L22" i="4"/>
  <c r="L13" i="4"/>
  <c r="L29" i="4"/>
  <c r="V9" i="5"/>
  <c r="X9" i="5" s="1"/>
  <c r="N9" i="4"/>
  <c r="N13" i="4" s="1"/>
  <c r="D83" i="16" l="1"/>
  <c r="D85" i="16" s="1"/>
  <c r="P68" i="15"/>
  <c r="N67" i="5"/>
  <c r="P67" i="5" s="1"/>
  <c r="R67" i="5"/>
  <c r="T67" i="5" s="1"/>
  <c r="P39" i="15"/>
  <c r="R37" i="15"/>
  <c r="V13" i="5"/>
  <c r="X13" i="5" s="1"/>
  <c r="F83" i="16"/>
  <c r="F85" i="16" s="1"/>
  <c r="H54" i="16"/>
  <c r="V29" i="5"/>
  <c r="X29" i="5" s="1"/>
  <c r="N29" i="4"/>
  <c r="V22" i="5"/>
  <c r="X22" i="5" s="1"/>
  <c r="L26" i="4"/>
  <c r="N22" i="4"/>
  <c r="N26" i="4" s="1"/>
  <c r="N71" i="4" l="1"/>
  <c r="N77" i="4" s="1"/>
  <c r="N80" i="4" s="1"/>
  <c r="N82" i="4" s="1"/>
  <c r="N84" i="4" s="1"/>
  <c r="N30" i="4" s="1"/>
  <c r="N35" i="4" s="1"/>
  <c r="N37" i="4" s="1"/>
  <c r="N66" i="4" s="1"/>
  <c r="L66" i="4" s="1"/>
  <c r="V26" i="5"/>
  <c r="X26" i="5" s="1"/>
  <c r="H85" i="16"/>
  <c r="H83" i="16"/>
  <c r="L71" i="4"/>
  <c r="P69" i="15"/>
  <c r="R69" i="15" s="1"/>
  <c r="R39" i="15"/>
  <c r="N67" i="4" l="1"/>
  <c r="L67" i="4" s="1"/>
  <c r="L77" i="4"/>
  <c r="V70" i="5"/>
  <c r="X70" i="5" s="1"/>
  <c r="V76" i="5" l="1"/>
  <c r="X76" i="5" s="1"/>
  <c r="L80" i="4"/>
  <c r="L82" i="4" l="1"/>
  <c r="V79" i="5"/>
  <c r="X79" i="5" s="1"/>
  <c r="V81" i="5" l="1"/>
  <c r="X81" i="5" s="1"/>
  <c r="L84" i="4"/>
  <c r="L30" i="4" l="1"/>
  <c r="V83" i="5"/>
  <c r="X83" i="5" s="1"/>
  <c r="V30" i="5" l="1"/>
  <c r="X30" i="5" s="1"/>
  <c r="L35" i="4"/>
  <c r="V35" i="5" l="1"/>
  <c r="X35" i="5" s="1"/>
  <c r="L37" i="4"/>
  <c r="V37" i="5" s="1"/>
  <c r="X37" i="5" s="1"/>
</calcChain>
</file>

<file path=xl/sharedStrings.xml><?xml version="1.0" encoding="utf-8"?>
<sst xmlns="http://schemas.openxmlformats.org/spreadsheetml/2006/main" count="1024" uniqueCount="354">
  <si>
    <t>3.1</t>
  </si>
  <si>
    <t>4.1</t>
  </si>
  <si>
    <t>3.2</t>
  </si>
  <si>
    <t>3.3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</si>
  <si>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</si>
  <si>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</si>
  <si>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</si>
  <si>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</si>
  <si>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</si>
  <si>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</si>
  <si>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</si>
  <si>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</si>
  <si>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</si>
  <si>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</si>
  <si>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</si>
  <si>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</si>
  <si>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</si>
  <si>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</si>
  <si>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</si>
  <si>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</si>
  <si>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</si>
  <si>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</si>
  <si>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</si>
  <si>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</si>
  <si>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</si>
  <si>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</si>
  <si>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</si>
  <si>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</si>
  <si>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</si>
  <si>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</si>
  <si>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</si>
  <si>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</si>
  <si>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</si>
  <si>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</si>
  <si>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</si>
  <si>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</si>
  <si>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</si>
  <si>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</si>
  <si>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</si>
  <si>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</si>
  <si>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</si>
  <si>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</si>
  <si>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</si>
  <si>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</si>
  <si>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</si>
  <si>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</si>
  <si>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</si>
  <si>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</si>
  <si>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</si>
  <si>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</si>
  <si>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</si>
  <si>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</si>
  <si>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</si>
  <si>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</si>
  <si>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</si>
  <si>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</si>
  <si>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</si>
  <si>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</si>
  <si>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</si>
  <si>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</si>
  <si>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</si>
  <si>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</si>
  <si>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</si>
  <si>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</si>
  <si>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</si>
  <si>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</si>
  <si>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</si>
  <si>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</si>
  <si>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</si>
  <si>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</si>
  <si>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</si>
  <si>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</si>
  <si>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</si>
  <si>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</si>
  <si>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</si>
  <si>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</si>
  <si>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</si>
  <si>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</si>
  <si>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</si>
  <si>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</si>
  <si>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</si>
  <si>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</si>
  <si>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</si>
  <si>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</si>
  <si>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</si>
  <si>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</si>
  <si>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</si>
  <si>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</si>
  <si>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</si>
  <si>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</si>
  <si>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</si>
  <si>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</si>
  <si>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</si>
  <si>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</si>
  <si>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</si>
  <si>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</si>
  <si>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</si>
  <si>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</si>
  <si>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</si>
  <si>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</si>
  <si>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</si>
  <si>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</si>
  <si>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</si>
  <si>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</si>
  <si>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</si>
  <si>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</si>
  <si>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</si>
  <si>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</si>
  <si>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Customer Advances for Construction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</si>
  <si>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</si>
  <si>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</si>
  <si>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</si>
  <si>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</si>
  <si>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</si>
  <si>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</si>
  <si>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</si>
  <si>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</si>
  <si>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</si>
  <si>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</si>
  <si>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</si>
  <si>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</si>
  <si>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</si>
  <si>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</si>
  <si>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</si>
  <si>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</si>
  <si>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</si>
  <si>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</si>
  <si>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</si>
  <si>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</si>
  <si>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</si>
  <si>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</si>
  <si>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</si>
  <si>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</si>
  <si>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</si>
  <si>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</si>
  <si>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</si>
  <si>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</si>
  <si>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</si>
  <si>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</si>
  <si>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</si>
  <si>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</si>
  <si>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</si>
  <si>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</si>
  <si>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</si>
  <si>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</si>
  <si>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</si>
  <si>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</si>
  <si>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</si>
  <si>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</si>
  <si>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</si>
  <si>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</si>
  <si>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</si>
  <si>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</si>
  <si>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</si>
  <si>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</si>
  <si>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</si>
  <si>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</si>
  <si>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</si>
  <si>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</si>
  <si>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</si>
  <si>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</si>
  <si>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</si>
  <si>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</si>
  <si>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</si>
  <si>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</si>
  <si>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</si>
  <si>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</si>
  <si>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</si>
  <si>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</si>
  <si>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</si>
  <si>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</si>
  <si>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</si>
  <si>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</si>
  <si>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</si>
  <si>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</si>
  <si>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</si>
  <si>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</si>
  <si>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Insurance Expense</t>
  </si>
  <si>
    <t>WASHINGTON SUMMARY OF ADJUSTMENTS - TOTAL</t>
  </si>
  <si>
    <t>WASHINGTON SUMMARY OF ADJUSTMENTS - RESTATING</t>
  </si>
  <si>
    <t>Total Adjusted Results</t>
  </si>
  <si>
    <t>8.10</t>
  </si>
  <si>
    <t>Revenue Requirement Adjustment Summary</t>
  </si>
  <si>
    <t>Summary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</si>
  <si>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</si>
  <si>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</si>
  <si>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</si>
  <si>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</si>
  <si>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</si>
  <si>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</si>
  <si>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</si>
  <si>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</si>
  <si>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</si>
  <si>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</si>
  <si>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</si>
  <si>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</si>
  <si>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</si>
  <si>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</si>
  <si>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</si>
  <si>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</si>
  <si>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</si>
  <si>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</si>
  <si>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</si>
  <si>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</si>
  <si>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</si>
  <si>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</si>
  <si>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</si>
  <si>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</si>
  <si>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</si>
  <si>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</si>
  <si>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</si>
  <si>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</si>
  <si>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</si>
  <si>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</si>
  <si>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</si>
  <si>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</si>
  <si>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</si>
  <si>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</si>
  <si>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</si>
  <si>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</si>
  <si>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</si>
  <si>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Advertising</t>
  </si>
  <si>
    <t>Tab 6 - Depreciation &amp; Amortization</t>
  </si>
  <si>
    <t>6.2</t>
  </si>
  <si>
    <t>8.11</t>
  </si>
  <si>
    <t>Tab 4 - Operations &amp; Maintenance</t>
  </si>
  <si>
    <t>Check</t>
  </si>
  <si>
    <t>6.3</t>
  </si>
  <si>
    <t>Tab 9</t>
  </si>
  <si>
    <t>Investor Supplied Working Capital</t>
  </si>
  <si>
    <t>WUTC Public Utility Tax</t>
  </si>
  <si>
    <t>Rate Base Adjustments
(Tab 8)</t>
  </si>
  <si>
    <t>6.4</t>
  </si>
  <si>
    <t>Check to RAM</t>
  </si>
  <si>
    <t>Total Pro Forma Adjustments</t>
  </si>
  <si>
    <t>Tab 5 - Net Power Cost</t>
  </si>
  <si>
    <t>Revenue Normalizing</t>
  </si>
  <si>
    <t>General Wage Increase (Annualizing)</t>
  </si>
  <si>
    <t>Revenue-Sensitive/ Uncollectible Expense</t>
  </si>
  <si>
    <t>7.9</t>
  </si>
  <si>
    <t>Total Restating Adjustments</t>
  </si>
  <si>
    <t>Page 1.0, Line 66, Column (1)</t>
  </si>
  <si>
    <t>Page 1.0, Line 57, Column (3)</t>
  </si>
  <si>
    <t>Page 1.0, Line 66, Column (3)</t>
  </si>
  <si>
    <t>Page 1.0, Line 57, Column (5)</t>
  </si>
  <si>
    <t>Page 1.0, Line 66, Column (5)</t>
  </si>
  <si>
    <t>Miscellaneous Expense &amp; Revenue</t>
  </si>
  <si>
    <t>Federal Income Tax @ 21.00%</t>
  </si>
  <si>
    <t>Memberships &amp; Subscriptions</t>
  </si>
  <si>
    <t>4.11</t>
  </si>
  <si>
    <t>4.12</t>
  </si>
  <si>
    <t>4.13</t>
  </si>
  <si>
    <t>5.3</t>
  </si>
  <si>
    <t>5.4</t>
  </si>
  <si>
    <t>7.10</t>
  </si>
  <si>
    <t>Wyoming Wind Generation Tax</t>
  </si>
  <si>
    <t>Miscellaneous Rate Base</t>
  </si>
  <si>
    <t>9.1</t>
  </si>
  <si>
    <t>Other Adjustments
(Tab 9)</t>
  </si>
  <si>
    <t>Check to "Check Sheet"</t>
  </si>
  <si>
    <t>Tab 4 - O&amp;M</t>
  </si>
  <si>
    <t>Tab 6 - Depr.</t>
  </si>
  <si>
    <t>Tab 9 - Other</t>
  </si>
  <si>
    <t>Environmental Remediation</t>
  </si>
  <si>
    <t>Washington 2023 General Rate Case</t>
  </si>
  <si>
    <t>POSSIBLE</t>
  </si>
  <si>
    <t>Wheeling Revenue - 
Year 1</t>
  </si>
  <si>
    <t>Pension Related Non-Service Expense</t>
  </si>
  <si>
    <t>Legal 
Expenses</t>
  </si>
  <si>
    <t>Payment Services Fees</t>
  </si>
  <si>
    <t>Pryor Mountain REC Revenues</t>
  </si>
  <si>
    <t>Pro Forma Depreciation &amp; Amortization Reserves - Year 1</t>
  </si>
  <si>
    <t>End-of-Period Reserves - Historical</t>
  </si>
  <si>
    <t>Decommissioning &amp; Other Plant Closure Costs - Year 1</t>
  </si>
  <si>
    <t>Property Tax Expense - Year 1</t>
  </si>
  <si>
    <t>Interest True Up - Year 1</t>
  </si>
  <si>
    <t>Production Tax Credit - Year 1</t>
  </si>
  <si>
    <t>PowerTax ADIT Balance - Year 1</t>
  </si>
  <si>
    <t>Permanent Schedule M Adjustment - Year 1</t>
  </si>
  <si>
    <t>Remove Deferred State Tax Expense &amp; Balance - Year 1</t>
  </si>
  <si>
    <t>End-of-Period Plant Balances - Historical</t>
  </si>
  <si>
    <t>Pro Forma Major Plant Additions - Year 1</t>
  </si>
  <si>
    <t>Labor Day Wildfire Restoration Capital Removal</t>
  </si>
  <si>
    <t>WIJAM Transmission Reallocation</t>
  </si>
  <si>
    <t>Klamath Hydroelectric Assets Transfer - Year 1</t>
  </si>
  <si>
    <t>10.1</t>
  </si>
  <si>
    <t>Removal of Coal-Fired Generation Assets</t>
  </si>
  <si>
    <t>10.2</t>
  </si>
  <si>
    <t>10.3</t>
  </si>
  <si>
    <t>Tab 10 - Thermal Generation</t>
  </si>
  <si>
    <t>10.4</t>
  </si>
  <si>
    <t>Jim Bridger Mine Rate Base - Year 1</t>
  </si>
  <si>
    <t>10.5</t>
  </si>
  <si>
    <t>Existing Coal-Fired Generation Assets - Year 1</t>
  </si>
  <si>
    <t>10.6</t>
  </si>
  <si>
    <t>10.7</t>
  </si>
  <si>
    <t>10.8</t>
  </si>
  <si>
    <t>Energy &amp; Other Tax Credits</t>
  </si>
  <si>
    <t>5.5</t>
  </si>
  <si>
    <t>AURORA Access Fees</t>
  </si>
  <si>
    <t>Incremental O&amp;M Expenses</t>
  </si>
  <si>
    <t>Tab 9 - Production Factor - Subtotal</t>
  </si>
  <si>
    <t>Tab 10 - Thermal Generation - Subtotal</t>
  </si>
  <si>
    <t>Tab 10</t>
  </si>
  <si>
    <t>12 Months Ended June 2022</t>
  </si>
  <si>
    <t>Washington Allocated Actual Results June 2022</t>
  </si>
  <si>
    <t>8.12</t>
  </si>
  <si>
    <t>Major Transmission Capital Addtions - Year 1</t>
  </si>
  <si>
    <t>General Wage Increase
(Pro Forma) - Year 1</t>
  </si>
  <si>
    <t>Net Power Costs (Restating)</t>
  </si>
  <si>
    <t>WRAP Fees</t>
  </si>
  <si>
    <t>Pro Forma Depreciation &amp; Amortization Expense - 
Year 1</t>
  </si>
  <si>
    <t>Washington Public Utility Tax Adjustment</t>
  </si>
  <si>
    <t>Removal of TCJA Deferred Balances Adjustment</t>
  </si>
  <si>
    <t>Washington Low Income Tax Credit</t>
  </si>
  <si>
    <t>Regulatory Assets/ Liabilities Amortization - Year 1</t>
  </si>
  <si>
    <t>Production Factor - Year 1</t>
  </si>
  <si>
    <t>Net Power Costs (Pro Forma) - 
Year 1</t>
  </si>
  <si>
    <t>Jim Bridger SCRs Removal</t>
  </si>
  <si>
    <t>Colstrip Unit 3 Removal</t>
  </si>
  <si>
    <t>Fly Ash Revenues - Year 1</t>
  </si>
  <si>
    <t>Pro Forma JB Units 3, 4 and Colstrip 4 Additions - 
Year 1</t>
  </si>
  <si>
    <t>Pro Forma JB Units 1 &amp; 2 Additions - Year 1</t>
  </si>
  <si>
    <t>Thermal Adjustments (Tab 10)</t>
  </si>
  <si>
    <t>Thermal Adjustments (Tab 10</t>
  </si>
  <si>
    <t>Thermal  Adjustment</t>
  </si>
  <si>
    <t>Other Adjustment</t>
  </si>
  <si>
    <t>Tabs 3-10</t>
  </si>
  <si>
    <t>Exhibit No. SLC-4</t>
  </si>
  <si>
    <t>(SLC-4) Page 1.0</t>
  </si>
  <si>
    <t>(SLC-4), Page 3.0 Total</t>
  </si>
  <si>
    <t>(SLC-4), Page 4.0 Total</t>
  </si>
  <si>
    <t>(SLC-4), Page 4.0.1 Total</t>
  </si>
  <si>
    <t>(SLC-4), Page 5.0 Total</t>
  </si>
  <si>
    <t>(SLC-4), Page 6.0 Total</t>
  </si>
  <si>
    <t>(SLC-4), Page 6.0/6.0.1 Total</t>
  </si>
  <si>
    <t>(SLC-4), Page 6.0.1 Total</t>
  </si>
  <si>
    <t>(SLC-4), Page 7.0 Total</t>
  </si>
  <si>
    <t>(SLC-4), Page 7.0.1 Total</t>
  </si>
  <si>
    <t>(SLC-4), Page 8.0/8.0.1 Total</t>
  </si>
  <si>
    <t>(SLC-4), Page 8.0.1 Total</t>
  </si>
  <si>
    <t>(SLC-4), Page 8.0.2 Total</t>
  </si>
  <si>
    <t>(SLC-4), Page 9.0 Total</t>
  </si>
  <si>
    <t>(SLC-4), Page 10.0 Total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</si>
  <si>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</si>
  <si>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</si>
  <si>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t>Summary of Total Adjustments - Rate Year 1</t>
  </si>
  <si>
    <t>Summary of Pro Forma Adjustments - Rate Year 1</t>
  </si>
  <si>
    <t>Summary of Restating Adjustments - Rate Year 1</t>
  </si>
  <si>
    <t>Tab 10 - Thermal</t>
  </si>
  <si>
    <t>Page 7.1 - Exhibit No.SLC-4</t>
  </si>
  <si>
    <t>Rate Year 1 Pro Forma Results of Operations</t>
  </si>
  <si>
    <t>(SLC-4), Page 10.0.1 Total</t>
  </si>
  <si>
    <t>Confidential Wind Capital Additions -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</si>
</sst>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0000000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00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4" fillId="0" borderId="0" xfId="6" quotePrefix="1" applyFont="1"/>
    <xf numFmtId="0" fontId="9" fillId="0" borderId="0" xfId="6" applyFont="1"/>
    <xf numFmtId="0" fontId="9" fillId="0" borderId="2" xfId="6" applyFont="1" applyBorder="1" applyAlignment="1">
      <alignment horizontal="centerContinuous"/>
    </xf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Fill="1" applyBorder="1"/>
    <xf numFmtId="164" fontId="2" fillId="0" borderId="11" xfId="0" applyNumberFormat="1" applyFont="1" applyFill="1" applyBorder="1"/>
    <xf numFmtId="164" fontId="2" fillId="0" borderId="24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Fill="1" applyBorder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0" xfId="3" applyNumberFormat="1" applyFont="1" applyBorder="1"/>
    <xf numFmtId="164" fontId="2" fillId="0" borderId="5" xfId="3" applyNumberFormat="1" applyFont="1" applyBorder="1"/>
    <xf numFmtId="0" fontId="17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164" fontId="17" fillId="0" borderId="0" xfId="1" applyNumberFormat="1" applyFont="1" applyFill="1"/>
    <xf numFmtId="0" fontId="3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9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0" fontId="3" fillId="0" borderId="0" xfId="0" applyFont="1" applyFill="1" applyProtection="1">
      <protection locked="0"/>
    </xf>
    <xf numFmtId="0" fontId="14" fillId="0" borderId="0" xfId="6" applyFont="1" applyBorder="1"/>
    <xf numFmtId="0" fontId="3" fillId="0" borderId="0" xfId="6" applyFont="1" applyBorder="1"/>
    <xf numFmtId="0" fontId="14" fillId="0" borderId="0" xfId="6" applyFont="1" applyBorder="1" applyAlignment="1">
      <alignment horizontal="center"/>
    </xf>
    <xf numFmtId="17" fontId="16" fillId="0" borderId="0" xfId="6" applyNumberFormat="1" applyFont="1" applyBorder="1" applyAlignment="1">
      <alignment horizontal="center" wrapText="1"/>
    </xf>
    <xf numFmtId="164" fontId="14" fillId="0" borderId="0" xfId="6" applyNumberFormat="1" applyFont="1" applyBorder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5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28" xfId="1" quotePrefix="1" applyNumberFormat="1" applyFont="1" applyFill="1" applyBorder="1" applyAlignment="1" applyProtection="1">
      <alignment horizontal="center"/>
      <protection locked="0"/>
    </xf>
    <xf numFmtId="164" fontId="2" fillId="0" borderId="29" xfId="1" quotePrefix="1" applyNumberFormat="1" applyFont="1" applyFill="1" applyBorder="1" applyAlignment="1" applyProtection="1">
      <alignment horizontal="center"/>
      <protection locked="0"/>
    </xf>
    <xf numFmtId="0" fontId="18" fillId="0" borderId="0" xfId="6" applyFont="1" applyBorder="1"/>
    <xf numFmtId="164" fontId="18" fillId="0" borderId="0" xfId="6" applyNumberFormat="1" applyFont="1" applyBorder="1"/>
    <xf numFmtId="165" fontId="3" fillId="0" borderId="0" xfId="2" applyNumberFormat="1" applyFont="1" applyFill="1"/>
    <xf numFmtId="166" fontId="17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0" xfId="1" applyNumberFormat="1" applyFont="1" applyFill="1" applyBorder="1" applyAlignment="1">
      <alignment vertical="center"/>
    </xf>
    <xf numFmtId="164" fontId="2" fillId="0" borderId="18" xfId="1" applyNumberFormat="1" applyFont="1" applyFill="1" applyBorder="1"/>
    <xf numFmtId="164" fontId="4" fillId="0" borderId="31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 applyProtection="1">
      <alignment horizontal="center" wrapText="1"/>
      <protection locked="0"/>
    </xf>
    <xf numFmtId="164" fontId="2" fillId="0" borderId="24" xfId="1" applyNumberFormat="1" applyFont="1" applyFill="1" applyBorder="1" applyAlignment="1" applyProtection="1">
      <alignment horizontal="left"/>
      <protection locked="0"/>
    </xf>
    <xf numFmtId="164" fontId="2" fillId="0" borderId="32" xfId="1" applyNumberFormat="1" applyFont="1" applyFill="1" applyBorder="1" applyAlignment="1" applyProtection="1">
      <alignment horizontal="left"/>
      <protection locked="0"/>
    </xf>
    <xf numFmtId="164" fontId="2" fillId="0" borderId="32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7" xfId="1" applyNumberFormat="1" applyFont="1" applyFill="1" applyBorder="1" applyProtection="1">
      <protection locked="0"/>
    </xf>
    <xf numFmtId="164" fontId="2" fillId="0" borderId="33" xfId="1" quotePrefix="1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64" fontId="13" fillId="0" borderId="0" xfId="1" applyNumberFormat="1" applyFont="1" applyFill="1"/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164" fontId="4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3" fillId="0" borderId="0" xfId="0" applyNumberFormat="1" applyFont="1"/>
    <xf numFmtId="0" fontId="3" fillId="0" borderId="0" xfId="6" applyFont="1" applyBorder="1" applyAlignment="1">
      <alignment horizontal="left"/>
    </xf>
    <xf numFmtId="17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43" fontId="2" fillId="0" borderId="0" xfId="0" applyNumberFormat="1" applyFont="1"/>
    <xf numFmtId="164" fontId="2" fillId="0" borderId="0" xfId="0" applyNumberFormat="1" applyFont="1"/>
    <xf numFmtId="164" fontId="2" fillId="0" borderId="0" xfId="2" applyNumberFormat="1" applyFont="1" applyBorder="1" applyAlignment="1">
      <alignment vertical="center"/>
    </xf>
    <xf numFmtId="0" fontId="2" fillId="0" borderId="0" xfId="0" applyFont="1" applyFill="1"/>
    <xf numFmtId="164" fontId="4" fillId="0" borderId="0" xfId="1" applyNumberFormat="1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vertical="center"/>
    </xf>
    <xf numFmtId="165" fontId="2" fillId="0" borderId="0" xfId="5" applyNumberFormat="1" applyFont="1" applyFill="1"/>
    <xf numFmtId="164" fontId="9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Fill="1"/>
    <xf numFmtId="164" fontId="4" fillId="0" borderId="21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2" fillId="0" borderId="0" xfId="6" applyFont="1" applyAlignment="1">
      <alignment horizontal="left" wrapText="1"/>
    </xf>
    <xf numFmtId="0" fontId="13" fillId="0" borderId="0" xfId="6" applyFont="1" applyAlignment="1"/>
    <xf numFmtId="0" fontId="12" fillId="0" borderId="0" xfId="6" applyFont="1" applyAlignment="1">
      <alignment wrapText="1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RAM2023GR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1RemovalofCoalFiredGenerationAsse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2JimBridgerSCRsRemov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3ColstripUnit3Remov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4JimBridgerMineRateBaseYear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5ExistingCoalFiredGenerationAssetsYear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6ProFormaJBUnits34andColstrip4AdditonsYe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7ProFormaJBUnits12AdditionsYear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8FlyAshRevenuesYear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9-1ProductionFactorAdjYear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9WIJAMTransmissionReallocat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7InvestorSuppliedWorkingCapit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6CustomerServiceDeposit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5MiscRateBas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4ProFormaMajorPlantAdditionsYea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3CustomerAdvancesforConstruc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2RegulatoryAssetLiabilitesAmortizationYear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2PropertyTaxExpenseYear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EndofPeriodPlantBalancesHistoric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2MajorTransmissionCapitalAdditionsYear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1ConfWindGenerationCapitalAdditonsYear1%20(R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0KlamathHydroelectricAssetsTransferYear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9WALowIncomeTaxCredi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8RemovalofTCJADeferredBalancesAdjYear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7WashingtonPublicUtilityTaxAdj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6RemoveDeferredStateTaxExpenseBalanceYear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5PermanentScheduleMAdjYear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4PowerTaxADITAdjustmentYear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3ProductionTaxCreditYear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10WYWindGeneration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4DecommissioningOtherPlantClosureCostsYear1%20(R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3EndofPeriodPlantReservesHistoric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1-6-2ProFormaDepreciationandAmortizationYear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5AuroraAccessFe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4WRAPFee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3-1-3-2WARevenueAdj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3-3WheelingRevenueYear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0RemoveNon-RecurringEntrie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3PryorMountainRECRevenuesYear1%20(R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2NetPowerCostsProFormaYea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1NetPowerCostsRestating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9LegalExp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8RevenueSensitiveUncollectibleExp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7MembershipsSubscription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6Advertising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5InsuranceExp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4PensionRelatedNon-ServiceExp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2-4-3GeneralWageIncreaseYear1%20(R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MiscExpenseRevenue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3IncrementalOMExpense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2PaymentServicesFee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1EnvironmentalRemed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>
            <v>405024315.90073663</v>
          </cell>
        </row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4.7699999999999999E-2</v>
          </cell>
        </row>
        <row r="8">
          <cell r="G8">
            <v>6.7500000000000004E-2</v>
          </cell>
        </row>
        <row r="9">
          <cell r="G9">
            <v>0.10299999999999999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373551615.56999999</v>
          </cell>
          <cell r="D11">
            <v>31472700.330736585</v>
          </cell>
          <cell r="E11">
            <v>405024315.90073657</v>
          </cell>
          <cell r="H11">
            <v>0</v>
          </cell>
          <cell r="I11">
            <v>405024315.90073657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1285828.8120363725</v>
          </cell>
          <cell r="D13">
            <v>0</v>
          </cell>
          <cell r="E13">
            <v>1285828.8120363725</v>
          </cell>
          <cell r="H13">
            <v>19148484.22576125</v>
          </cell>
          <cell r="I13">
            <v>20434313.037797622</v>
          </cell>
        </row>
        <row r="14">
          <cell r="C14">
            <v>20011924.237952776</v>
          </cell>
          <cell r="D14">
            <v>-21606.74304644515</v>
          </cell>
          <cell r="E14">
            <v>19990317.494906332</v>
          </cell>
          <cell r="H14">
            <v>664041.95894274942</v>
          </cell>
          <cell r="I14">
            <v>20654359.453849081</v>
          </cell>
        </row>
        <row r="15">
          <cell r="C15">
            <v>394849368.61998916</v>
          </cell>
          <cell r="D15">
            <v>31451093.587690141</v>
          </cell>
          <cell r="E15">
            <v>426300462.20767927</v>
          </cell>
          <cell r="H15">
            <v>19812526.184703998</v>
          </cell>
          <cell r="I15">
            <v>446112988.39238328</v>
          </cell>
        </row>
        <row r="18">
          <cell r="C18">
            <v>59399957.533967733</v>
          </cell>
          <cell r="D18">
            <v>1095325.7945093364</v>
          </cell>
          <cell r="E18">
            <v>60495283.32847707</v>
          </cell>
          <cell r="H18">
            <v>-1663761.8632297679</v>
          </cell>
          <cell r="I18">
            <v>58831521.465247303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1451885.6553336573</v>
          </cell>
          <cell r="D20">
            <v>1776039.1875827373</v>
          </cell>
          <cell r="E20">
            <v>3227924.8429163946</v>
          </cell>
          <cell r="H20">
            <v>216688.95872025812</v>
          </cell>
          <cell r="I20">
            <v>3444613.8016366526</v>
          </cell>
        </row>
        <row r="21">
          <cell r="C21">
            <v>124223582.91229668</v>
          </cell>
          <cell r="D21">
            <v>-7171811.8867383823</v>
          </cell>
          <cell r="E21">
            <v>117051771.02555829</v>
          </cell>
          <cell r="H21">
            <v>59052667.089417547</v>
          </cell>
          <cell r="I21">
            <v>176104438.11497584</v>
          </cell>
        </row>
        <row r="22">
          <cell r="C22">
            <v>18668674.704801075</v>
          </cell>
          <cell r="D22">
            <v>37087.187348888576</v>
          </cell>
          <cell r="E22">
            <v>18705761.892149962</v>
          </cell>
          <cell r="H22">
            <v>1276344.0453904101</v>
          </cell>
          <cell r="I22">
            <v>19982105.937540371</v>
          </cell>
        </row>
        <row r="23">
          <cell r="C23">
            <v>14095287.65784201</v>
          </cell>
          <cell r="D23">
            <v>149316.59718380499</v>
          </cell>
          <cell r="E23">
            <v>14244604.255025815</v>
          </cell>
          <cell r="H23">
            <v>4346285.8129516905</v>
          </cell>
          <cell r="I23">
            <v>18590890.067977507</v>
          </cell>
        </row>
        <row r="24">
          <cell r="C24">
            <v>6726004.9395781606</v>
          </cell>
          <cell r="D24">
            <v>-197738.65332847723</v>
          </cell>
          <cell r="E24">
            <v>6528266.2862496832</v>
          </cell>
          <cell r="H24">
            <v>225350.65996252824</v>
          </cell>
          <cell r="I24">
            <v>6753616.9462122116</v>
          </cell>
        </row>
        <row r="25">
          <cell r="C25">
            <v>664976.96386129013</v>
          </cell>
          <cell r="D25">
            <v>21803.306990815341</v>
          </cell>
          <cell r="E25">
            <v>686780.27085210546</v>
          </cell>
          <cell r="H25">
            <v>22913.064438068475</v>
          </cell>
          <cell r="I25">
            <v>709693.33529017388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17574535.448868852</v>
          </cell>
          <cell r="D27">
            <v>1397511.8869547788</v>
          </cell>
          <cell r="E27">
            <v>18972047.335823633</v>
          </cell>
          <cell r="H27">
            <v>-3774965.298066901</v>
          </cell>
          <cell r="I27">
            <v>15197082.037756732</v>
          </cell>
        </row>
        <row r="28">
          <cell r="C28">
            <v>242804905.81654945</v>
          </cell>
          <cell r="D28">
            <v>-2892466.5794964992</v>
          </cell>
          <cell r="E28">
            <v>239912439.23705295</v>
          </cell>
          <cell r="H28">
            <v>59701522.469583839</v>
          </cell>
          <cell r="I28">
            <v>299613961.70663685</v>
          </cell>
        </row>
        <row r="29">
          <cell r="C29">
            <v>67617924.859086528</v>
          </cell>
          <cell r="D29">
            <v>0</v>
          </cell>
          <cell r="E29">
            <v>67617924.859086528</v>
          </cell>
          <cell r="H29">
            <v>-11998389.233632291</v>
          </cell>
          <cell r="I29">
            <v>55619535.62545424</v>
          </cell>
        </row>
        <row r="30">
          <cell r="C30">
            <v>4068762.4448733251</v>
          </cell>
          <cell r="D30">
            <v>3700582.6343244445</v>
          </cell>
          <cell r="E30">
            <v>7769345.07919777</v>
          </cell>
          <cell r="H30">
            <v>7703313.6481057769</v>
          </cell>
          <cell r="I30">
            <v>15472658.727303546</v>
          </cell>
        </row>
        <row r="31">
          <cell r="C31">
            <v>26622826.535992358</v>
          </cell>
          <cell r="D31">
            <v>1214411.2456543308</v>
          </cell>
          <cell r="E31">
            <v>27837237.781646688</v>
          </cell>
          <cell r="H31">
            <v>1060921.9023400173</v>
          </cell>
          <cell r="I31">
            <v>28898159.683986705</v>
          </cell>
        </row>
        <row r="32">
          <cell r="C32">
            <v>-11584544.100133309</v>
          </cell>
          <cell r="D32">
            <v>18175763.888751026</v>
          </cell>
          <cell r="E32">
            <v>6591219.7886177171</v>
          </cell>
          <cell r="H32">
            <v>-20783660.484868456</v>
          </cell>
          <cell r="I32">
            <v>-14192440.696250739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-2401026.3881861214</v>
          </cell>
          <cell r="D34">
            <v>511979.77277357085</v>
          </cell>
          <cell r="E34">
            <v>-1889046.6154125505</v>
          </cell>
          <cell r="H34">
            <v>-822707.89689576149</v>
          </cell>
          <cell r="I34">
            <v>-2711754.5123083121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-180134.20441316953</v>
          </cell>
          <cell r="D36">
            <v>81875.040256100925</v>
          </cell>
          <cell r="E36">
            <v>-98259.164157068604</v>
          </cell>
          <cell r="H36">
            <v>0</v>
          </cell>
          <cell r="I36">
            <v>-98259.164157068604</v>
          </cell>
        </row>
        <row r="37">
          <cell r="C37">
            <v>326948714.96376914</v>
          </cell>
          <cell r="D37">
            <v>20792146.002262976</v>
          </cell>
          <cell r="E37">
            <v>347740860.96603203</v>
          </cell>
          <cell r="H37">
            <v>34861000.404633127</v>
          </cell>
          <cell r="I37">
            <v>382601861.37066525</v>
          </cell>
        </row>
        <row r="39">
          <cell r="C39">
            <v>67900653.656220019</v>
          </cell>
          <cell r="D39">
            <v>10658947.585427165</v>
          </cell>
          <cell r="E39">
            <v>78559601.241647243</v>
          </cell>
          <cell r="H39">
            <v>-15048474.219929129</v>
          </cell>
          <cell r="I39">
            <v>63511127.021718025</v>
          </cell>
        </row>
        <row r="42">
          <cell r="C42">
            <v>2263546946.4584427</v>
          </cell>
          <cell r="D42">
            <v>-337397047.28478056</v>
          </cell>
          <cell r="E42">
            <v>1926149899.1736622</v>
          </cell>
          <cell r="H42">
            <v>482391789.56799567</v>
          </cell>
          <cell r="I42">
            <v>2408541688.7416577</v>
          </cell>
        </row>
        <row r="43">
          <cell r="C43">
            <v>467184.71621561563</v>
          </cell>
          <cell r="D43">
            <v>0</v>
          </cell>
          <cell r="E43">
            <v>467184.71621561563</v>
          </cell>
          <cell r="H43">
            <v>0</v>
          </cell>
          <cell r="I43">
            <v>467184.71621561563</v>
          </cell>
        </row>
        <row r="44">
          <cell r="C44">
            <v>9959813.7233746387</v>
          </cell>
          <cell r="D44">
            <v>-9959813.7233746424</v>
          </cell>
          <cell r="E44">
            <v>0</v>
          </cell>
          <cell r="H44">
            <v>392246.6085648014</v>
          </cell>
          <cell r="I44">
            <v>392246.6085648014</v>
          </cell>
        </row>
        <row r="45">
          <cell r="C45">
            <v>115844.19848648913</v>
          </cell>
          <cell r="D45">
            <v>0</v>
          </cell>
          <cell r="E45">
            <v>115844.19848648913</v>
          </cell>
          <cell r="H45">
            <v>0</v>
          </cell>
          <cell r="I45">
            <v>115844.19848648913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3284761.1438008379</v>
          </cell>
          <cell r="D47">
            <v>-3284761.1438008333</v>
          </cell>
          <cell r="E47">
            <v>4.6566128730773926E-9</v>
          </cell>
          <cell r="H47">
            <v>0</v>
          </cell>
          <cell r="I47">
            <v>4.6566128730773926E-9</v>
          </cell>
        </row>
        <row r="48">
          <cell r="C48">
            <v>9196314.682773713</v>
          </cell>
          <cell r="D48">
            <v>-9196314.6827737149</v>
          </cell>
          <cell r="E48">
            <v>0</v>
          </cell>
          <cell r="H48">
            <v>0</v>
          </cell>
          <cell r="I48">
            <v>0</v>
          </cell>
        </row>
        <row r="49">
          <cell r="C49">
            <v>12260466.638808388</v>
          </cell>
          <cell r="D49">
            <v>-12260466.638721503</v>
          </cell>
          <cell r="E49">
            <v>8.6884945631027222E-5</v>
          </cell>
          <cell r="H49">
            <v>0</v>
          </cell>
          <cell r="I49">
            <v>8.6884945631027222E-5</v>
          </cell>
        </row>
        <row r="50">
          <cell r="C50">
            <v>2747159.4147250163</v>
          </cell>
          <cell r="D50">
            <v>27126509.002465546</v>
          </cell>
          <cell r="E50">
            <v>29873668.417190563</v>
          </cell>
          <cell r="H50">
            <v>0</v>
          </cell>
          <cell r="I50">
            <v>29873668.417190563</v>
          </cell>
        </row>
        <row r="51">
          <cell r="C51">
            <v>3311.89</v>
          </cell>
          <cell r="D51">
            <v>0</v>
          </cell>
          <cell r="E51">
            <v>3311.89</v>
          </cell>
          <cell r="H51">
            <v>0</v>
          </cell>
          <cell r="I51">
            <v>3311.89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</row>
        <row r="53">
          <cell r="C53">
            <v>2301581802.8666267</v>
          </cell>
          <cell r="D53">
            <v>-344971894.47098577</v>
          </cell>
          <cell r="E53">
            <v>1956609908.3956418</v>
          </cell>
          <cell r="H53">
            <v>482784036.17656046</v>
          </cell>
          <cell r="I53">
            <v>2439393944.5722017</v>
          </cell>
        </row>
        <row r="56">
          <cell r="C56">
            <v>-750094987.07093287</v>
          </cell>
          <cell r="D56">
            <v>142190073.21610385</v>
          </cell>
          <cell r="E56">
            <v>-607904913.85482907</v>
          </cell>
          <cell r="H56">
            <v>-397596192.47010535</v>
          </cell>
          <cell r="I56">
            <v>-1005501106.3249345</v>
          </cell>
        </row>
        <row r="57">
          <cell r="C57">
            <v>-55896700.377980158</v>
          </cell>
          <cell r="D57">
            <v>-1545676.0641232661</v>
          </cell>
          <cell r="E57">
            <v>-57442376.442103423</v>
          </cell>
          <cell r="H57">
            <v>-7490520.9057901539</v>
          </cell>
          <cell r="I57">
            <v>-64932897.347893581</v>
          </cell>
        </row>
        <row r="58">
          <cell r="C58">
            <v>-161876853.08065826</v>
          </cell>
          <cell r="D58">
            <v>-2150455.7059734222</v>
          </cell>
          <cell r="E58">
            <v>-164027308.78663167</v>
          </cell>
          <cell r="H58">
            <v>-928599.56466116011</v>
          </cell>
          <cell r="I58">
            <v>-164955908.35129285</v>
          </cell>
        </row>
        <row r="59">
          <cell r="C59">
            <v>-14943.338687945423</v>
          </cell>
          <cell r="D59">
            <v>0</v>
          </cell>
          <cell r="E59">
            <v>-14943.338687945423</v>
          </cell>
          <cell r="H59">
            <v>0</v>
          </cell>
          <cell r="I59">
            <v>-14943.338687945423</v>
          </cell>
        </row>
        <row r="60">
          <cell r="C60">
            <v>-6092041.5722579714</v>
          </cell>
          <cell r="D60">
            <v>-1733115.077035418</v>
          </cell>
          <cell r="E60">
            <v>-7825156.6492933892</v>
          </cell>
          <cell r="H60">
            <v>0</v>
          </cell>
          <cell r="I60">
            <v>-7825156.6492933892</v>
          </cell>
        </row>
        <row r="61">
          <cell r="C61">
            <v>0</v>
          </cell>
          <cell r="D61">
            <v>-408390.63249999989</v>
          </cell>
          <cell r="E61">
            <v>-408390.63249999989</v>
          </cell>
          <cell r="H61">
            <v>0</v>
          </cell>
          <cell r="I61">
            <v>-408390.63249999989</v>
          </cell>
        </row>
        <row r="62">
          <cell r="C62">
            <v>-177208730.2009342</v>
          </cell>
          <cell r="D62">
            <v>45480887.370662242</v>
          </cell>
          <cell r="E62">
            <v>-131727842.83027196</v>
          </cell>
          <cell r="H62">
            <v>36396647.603050716</v>
          </cell>
          <cell r="I62">
            <v>-95331195.227221251</v>
          </cell>
        </row>
        <row r="64">
          <cell r="C64">
            <v>-1151184255.6414514</v>
          </cell>
          <cell r="D64">
            <v>181833323.10713398</v>
          </cell>
          <cell r="E64">
            <v>-969350932.53431749</v>
          </cell>
          <cell r="H64">
            <v>-369618665.33750594</v>
          </cell>
          <cell r="I64">
            <v>-1338969597.8718233</v>
          </cell>
        </row>
        <row r="66">
          <cell r="C66">
            <v>1150397547.2251754</v>
          </cell>
          <cell r="D66">
            <v>-163138571.36385179</v>
          </cell>
          <cell r="E66">
            <v>987258975.86132431</v>
          </cell>
          <cell r="H66">
            <v>113165370.83905452</v>
          </cell>
          <cell r="I66">
            <v>1100424346.7003784</v>
          </cell>
        </row>
        <row r="69">
          <cell r="C69">
            <v>6.9782431408979315E-2</v>
          </cell>
          <cell r="D69">
            <v>4.0081540639769347E-2</v>
          </cell>
          <cell r="E69">
            <v>0.10986397204874866</v>
          </cell>
          <cell r="H69">
            <v>-4.2633752711694561E-2</v>
          </cell>
          <cell r="I69">
            <v>6.723021933705399E-2</v>
          </cell>
        </row>
        <row r="72">
          <cell r="C72">
            <v>53915083.167900674</v>
          </cell>
          <cell r="D72">
            <v>29346691.246951763</v>
          </cell>
          <cell r="E72">
            <v>83261774.414852411</v>
          </cell>
          <cell r="H72">
            <v>-36654842.601693325</v>
          </cell>
          <cell r="I72">
            <v>46606931.813158996</v>
          </cell>
        </row>
        <row r="74">
          <cell r="C74">
            <v>-3636274.7351071914</v>
          </cell>
          <cell r="D74">
            <v>0</v>
          </cell>
          <cell r="E74">
            <v>-3636274.7351071914</v>
          </cell>
          <cell r="H74">
            <v>0</v>
          </cell>
          <cell r="I74">
            <v>-3636274.7351071914</v>
          </cell>
        </row>
        <row r="75">
          <cell r="C75">
            <v>27945749.878154576</v>
          </cell>
          <cell r="D75">
            <v>-5002404.1441638805</v>
          </cell>
          <cell r="E75">
            <v>22943345.733990695</v>
          </cell>
          <cell r="H75">
            <v>2629899.8456919454</v>
          </cell>
          <cell r="I75">
            <v>25573245.579682641</v>
          </cell>
        </row>
        <row r="76">
          <cell r="C76">
            <v>75168482.555254906</v>
          </cell>
          <cell r="D76">
            <v>1370029.8969781273</v>
          </cell>
          <cell r="E76">
            <v>76538512.452233031</v>
          </cell>
          <cell r="H76">
            <v>25893346.085418552</v>
          </cell>
          <cell r="I76">
            <v>102431858.53765158</v>
          </cell>
        </row>
        <row r="77">
          <cell r="C77">
            <v>107655465.02100359</v>
          </cell>
          <cell r="D77">
            <v>1328870.096516567</v>
          </cell>
          <cell r="E77">
            <v>108984335.11752015</v>
          </cell>
          <cell r="H77">
            <v>4659710.6852754895</v>
          </cell>
          <cell r="I77">
            <v>113644045.80279565</v>
          </cell>
        </row>
        <row r="78">
          <cell r="C78">
            <v>-2881374.4408953935</v>
          </cell>
          <cell r="D78">
            <v>34390255.191577204</v>
          </cell>
          <cell r="E78">
            <v>31508880.75068181</v>
          </cell>
          <cell r="H78">
            <v>-18051107.047242202</v>
          </cell>
          <cell r="I78">
            <v>13457773.703439608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-2881374.4408953935</v>
          </cell>
          <cell r="D81">
            <v>34390255.191577204</v>
          </cell>
          <cell r="E81">
            <v>31508880.75068181</v>
          </cell>
          <cell r="H81">
            <v>-18051107.047242202</v>
          </cell>
          <cell r="I81">
            <v>13457773.703439608</v>
          </cell>
        </row>
        <row r="83">
          <cell r="C83">
            <v>-11584544.100133309</v>
          </cell>
          <cell r="D83">
            <v>18175763.888751026</v>
          </cell>
          <cell r="E83">
            <v>6591219.7886177171</v>
          </cell>
          <cell r="H83">
            <v>-20783660.484868456</v>
          </cell>
          <cell r="I83">
            <v>-14192440.696250739</v>
          </cell>
        </row>
        <row r="100">
          <cell r="H100">
            <v>26763219.025179867</v>
          </cell>
        </row>
        <row r="113">
          <cell r="H113">
            <v>149761.74503758849</v>
          </cell>
        </row>
        <row r="120">
          <cell r="H120">
            <v>1143699.4018220364</v>
          </cell>
        </row>
        <row r="121">
          <cell r="H121">
            <v>5348649.1544472501</v>
          </cell>
        </row>
        <row r="122">
          <cell r="H122">
            <v>0</v>
          </cell>
        </row>
        <row r="126">
          <cell r="H126">
            <v>6642110.3013068754</v>
          </cell>
        </row>
        <row r="128">
          <cell r="H128">
            <v>20121108.723872989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25469757.878320239</v>
          </cell>
        </row>
        <row r="166">
          <cell r="H166">
            <v>25469757.878320239</v>
          </cell>
        </row>
        <row r="169">
          <cell r="H169">
            <v>25469757.878320239</v>
          </cell>
        </row>
        <row r="171">
          <cell r="H171">
            <v>5348649.1544472501</v>
          </cell>
        </row>
        <row r="417">
          <cell r="D417">
            <v>2354318.8408495733</v>
          </cell>
          <cell r="E417">
            <v>-35425310.915125199</v>
          </cell>
          <cell r="F417">
            <v>-1474272.2730061105</v>
          </cell>
        </row>
        <row r="434">
          <cell r="D434">
            <v>-470512.70644908928</v>
          </cell>
          <cell r="E434">
            <v>7079779.7759037716</v>
          </cell>
          <cell r="F434">
            <v>294634.62007747515</v>
          </cell>
        </row>
        <row r="532">
          <cell r="D532">
            <v>181616.00089971483</v>
          </cell>
          <cell r="E532">
            <v>395166.1642443426</v>
          </cell>
          <cell r="F532">
            <v>1898834.9649058476</v>
          </cell>
          <cell r="G532">
            <v>-640422.81784610986</v>
          </cell>
          <cell r="H532">
            <v>-3964780.145652093</v>
          </cell>
          <cell r="I532">
            <v>17765.535247093241</v>
          </cell>
          <cell r="J532">
            <v>-806.82416228418128</v>
          </cell>
          <cell r="K532">
            <v>573240.05517457903</v>
          </cell>
          <cell r="L532">
            <v>-661236.31633057399</v>
          </cell>
          <cell r="M532">
            <v>2108651.5787843093</v>
          </cell>
          <cell r="N532">
            <v>1523408.828877409</v>
          </cell>
          <cell r="O532">
            <v>76895.244218030886</v>
          </cell>
          <cell r="P532">
            <v>4339931.3070619255</v>
          </cell>
        </row>
        <row r="549">
          <cell r="D549">
            <v>-36296.118705378431</v>
          </cell>
          <cell r="E549">
            <v>-78974.308071466003</v>
          </cell>
          <cell r="F549">
            <v>-379483.85024842789</v>
          </cell>
          <cell r="G549">
            <v>127989.06760980138</v>
          </cell>
          <cell r="H549">
            <v>741722.40704898059</v>
          </cell>
          <cell r="I549">
            <v>-3550.4579607450942</v>
          </cell>
          <cell r="J549">
            <v>161.2445237399792</v>
          </cell>
          <cell r="K549">
            <v>-114562.53296086572</v>
          </cell>
          <cell r="L549">
            <v>132148.66372426198</v>
          </cell>
          <cell r="M549">
            <v>-421415.88644549379</v>
          </cell>
          <cell r="N549">
            <v>-516298.53014673828</v>
          </cell>
          <cell r="O549">
            <v>-15367.582691999994</v>
          </cell>
          <cell r="P549">
            <v>-867339.11722507898</v>
          </cell>
        </row>
        <row r="646">
          <cell r="D646">
            <v>-7504506.8645582162</v>
          </cell>
          <cell r="E646">
            <v>39013567.702149116</v>
          </cell>
          <cell r="F646">
            <v>-279271.06967049779</v>
          </cell>
          <cell r="G646">
            <v>119937.30113702388</v>
          </cell>
          <cell r="H646">
            <v>39694.394934957832</v>
          </cell>
        </row>
        <row r="663">
          <cell r="D663">
            <v>1499782.3464450042</v>
          </cell>
          <cell r="E663">
            <v>-7796896.0742585408</v>
          </cell>
          <cell r="F663">
            <v>55812.570729027168</v>
          </cell>
          <cell r="G663">
            <v>-23969.57590579219</v>
          </cell>
          <cell r="H663">
            <v>-7932.96</v>
          </cell>
        </row>
        <row r="760">
          <cell r="D760">
            <v>-17044204.636650134</v>
          </cell>
          <cell r="E760">
            <v>647134.50457155984</v>
          </cell>
          <cell r="F760">
            <v>-8108010.9711432531</v>
          </cell>
          <cell r="G760">
            <v>-757201.97499408317</v>
          </cell>
          <cell r="H760">
            <v>-244691.23287487906</v>
          </cell>
          <cell r="I760">
            <v>-233381.17674665339</v>
          </cell>
          <cell r="J760">
            <v>-2192388.253508233</v>
          </cell>
          <cell r="K760">
            <v>-149735.69489414713</v>
          </cell>
          <cell r="L760">
            <v>4915137.9494531043</v>
          </cell>
        </row>
        <row r="777">
          <cell r="D777">
            <v>3406299.3990943348</v>
          </cell>
          <cell r="E777">
            <v>-129330.40414894675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-820080.22513484117</v>
          </cell>
        </row>
        <row r="875">
          <cell r="D875">
            <v>662693.06839284173</v>
          </cell>
          <cell r="E875">
            <v>886660.16449198383</v>
          </cell>
          <cell r="F875">
            <v>-8015091.6165836416</v>
          </cell>
          <cell r="G875">
            <v>-8541709.0910351854</v>
          </cell>
          <cell r="H875">
            <v>31364.919588835917</v>
          </cell>
          <cell r="I875">
            <v>401739.1180097278</v>
          </cell>
          <cell r="J875">
            <v>3012423.7822883134</v>
          </cell>
          <cell r="K875">
            <v>1356058.0857120056</v>
          </cell>
          <cell r="L875">
            <v>15316728.461425625</v>
          </cell>
          <cell r="M875">
            <v>-17518.661381713708</v>
          </cell>
          <cell r="N875">
            <v>244333.36787762164</v>
          </cell>
        </row>
        <row r="895">
          <cell r="D895">
            <v>498225.90267910634</v>
          </cell>
          <cell r="E895">
            <v>-177199.81952197</v>
          </cell>
          <cell r="F895">
            <v>-6025906.1791799143</v>
          </cell>
          <cell r="G895">
            <v>-771360.64577702084</v>
          </cell>
          <cell r="H895">
            <v>167699.16418233831</v>
          </cell>
          <cell r="I895">
            <v>302035.50370207359</v>
          </cell>
          <cell r="J895">
            <v>0</v>
          </cell>
          <cell r="K895">
            <v>-271009.40999999997</v>
          </cell>
          <cell r="L895">
            <v>0</v>
          </cell>
          <cell r="M895">
            <v>3501.12</v>
          </cell>
          <cell r="N895">
            <v>-48830.240068263585</v>
          </cell>
        </row>
        <row r="990">
          <cell r="F990">
            <v>313598.32964150788</v>
          </cell>
          <cell r="G990">
            <v>3634906.4128339645</v>
          </cell>
          <cell r="H990">
            <v>1240751.9514112405</v>
          </cell>
          <cell r="I990">
            <v>152714.48705758012</v>
          </cell>
          <cell r="J990">
            <v>28133.831083925204</v>
          </cell>
          <cell r="K990">
            <v>25909.16002836296</v>
          </cell>
          <cell r="L990">
            <v>-2363362.0874256194</v>
          </cell>
          <cell r="M990">
            <v>9123363.6790960338</v>
          </cell>
          <cell r="N990">
            <v>-175197.18264304192</v>
          </cell>
          <cell r="O990">
            <v>12620717.607873872</v>
          </cell>
          <cell r="P990">
            <v>711820.86687548761</v>
          </cell>
          <cell r="Q990">
            <v>-2778778.6210550414</v>
          </cell>
          <cell r="R990">
            <v>23828.939365615832</v>
          </cell>
          <cell r="S990">
            <v>-38827.795709079284</v>
          </cell>
          <cell r="T990">
            <v>3019870.1813020171</v>
          </cell>
          <cell r="U990">
            <v>-1677649.2627521113</v>
          </cell>
          <cell r="V990">
            <v>-629486.14118551731</v>
          </cell>
          <cell r="W990">
            <v>-197943.39585631085</v>
          </cell>
          <cell r="X990">
            <v>474640.50010582193</v>
          </cell>
          <cell r="Y990">
            <v>4486193.2892742585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2508555.5122575355</v>
          </cell>
          <cell r="N1007">
            <v>0</v>
          </cell>
          <cell r="O1007">
            <v>0</v>
          </cell>
          <cell r="P1007">
            <v>468935.98046481365</v>
          </cell>
          <cell r="Q1007">
            <v>0</v>
          </cell>
          <cell r="R1007">
            <v>0</v>
          </cell>
          <cell r="S1007">
            <v>-490.75529999999992</v>
          </cell>
          <cell r="T1007">
            <v>0</v>
          </cell>
          <cell r="U1007">
            <v>0</v>
          </cell>
          <cell r="V1007">
            <v>0</v>
          </cell>
          <cell r="W1007">
            <v>53268.406500602963</v>
          </cell>
          <cell r="X1007">
            <v>-48059.733869845513</v>
          </cell>
          <cell r="Y1007">
            <v>-135837.46091221337</v>
          </cell>
        </row>
        <row r="1108">
          <cell r="D1108">
            <v>24105.992581361952</v>
          </cell>
          <cell r="E1108">
            <v>1096452.8268885782</v>
          </cell>
        </row>
        <row r="1128">
          <cell r="D1128">
            <v>-4874.1817009101806</v>
          </cell>
          <cell r="E1128">
            <v>-260469.36202093997</v>
          </cell>
        </row>
        <row r="1225">
          <cell r="D1225">
            <v>-14627949.885392481</v>
          </cell>
          <cell r="E1225">
            <v>-1870059.2254980134</v>
          </cell>
          <cell r="F1225">
            <v>-2229634.1694367481</v>
          </cell>
          <cell r="G1225">
            <v>526858.59154629079</v>
          </cell>
          <cell r="H1225">
            <v>3042227.4006808605</v>
          </cell>
          <cell r="I1225">
            <v>435795.50069784233</v>
          </cell>
          <cell r="J1225">
            <v>458410.0100422668</v>
          </cell>
          <cell r="K1225">
            <v>1072669.1945137752</v>
          </cell>
        </row>
        <row r="1242">
          <cell r="D1242">
            <v>0</v>
          </cell>
          <cell r="E1242">
            <v>0</v>
          </cell>
          <cell r="F1242">
            <v>-198407.34058301197</v>
          </cell>
          <cell r="G1242">
            <v>0</v>
          </cell>
          <cell r="H1242">
            <v>-9.7788870334625241E-11</v>
          </cell>
          <cell r="I1242">
            <v>-61331.519915041776</v>
          </cell>
          <cell r="J1242">
            <v>-48287.412867807005</v>
          </cell>
          <cell r="K1242">
            <v>-214373.88898995286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"/>
      <sheetName val="10.1.1"/>
    </sheetNames>
    <sheetDataSet>
      <sheetData sheetId="0">
        <row r="11">
          <cell r="I11">
            <v>-25205567.382944509</v>
          </cell>
        </row>
        <row r="14">
          <cell r="I14">
            <v>-436598.22588595841</v>
          </cell>
        </row>
        <row r="20">
          <cell r="I20">
            <v>-271620006.88963485</v>
          </cell>
        </row>
        <row r="23">
          <cell r="I23">
            <v>-1152452.3815938497</v>
          </cell>
        </row>
        <row r="28">
          <cell r="I28">
            <v>16366242.914442576</v>
          </cell>
        </row>
        <row r="29">
          <cell r="I29">
            <v>140866.6733815273</v>
          </cell>
        </row>
        <row r="30">
          <cell r="I30"/>
        </row>
        <row r="31">
          <cell r="I31">
            <v>136953503.01995531</v>
          </cell>
        </row>
        <row r="32">
          <cell r="I32">
            <v>248942.76128265905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"/>
      <sheetName val="10.2.1"/>
      <sheetName val="10.2.2"/>
    </sheetNames>
    <sheetDataSet>
      <sheetData sheetId="0">
        <row r="10">
          <cell r="I10">
            <v>-49457131.536262572</v>
          </cell>
        </row>
        <row r="13">
          <cell r="I13">
            <v>24936776.53120013</v>
          </cell>
        </row>
        <row r="16">
          <cell r="I16">
            <v>418474.67101061583</v>
          </cell>
        </row>
        <row r="20">
          <cell r="I20">
            <v>418474.67101061583</v>
          </cell>
        </row>
        <row r="21">
          <cell r="I21">
            <v>-102888.69346269607</v>
          </cell>
        </row>
        <row r="22">
          <cell r="I22">
            <v>1868593.104248808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3"/>
      <sheetName val="10.3.1"/>
      <sheetName val="10.3.2"/>
      <sheetName val="10.3.3"/>
    </sheetNames>
    <sheetDataSet>
      <sheetData sheetId="0">
        <row r="10">
          <cell r="I10">
            <v>-76109.754345669193</v>
          </cell>
        </row>
        <row r="11">
          <cell r="I11">
            <v>2238035.2736037271</v>
          </cell>
        </row>
        <row r="12">
          <cell r="I12">
            <v>573609.27845505753</v>
          </cell>
        </row>
        <row r="14">
          <cell r="I14">
            <v>2845.0286539924186</v>
          </cell>
        </row>
        <row r="15">
          <cell r="I15">
            <v>-140088.7553103391</v>
          </cell>
        </row>
        <row r="16">
          <cell r="I16">
            <v>-16274.445274550035</v>
          </cell>
        </row>
        <row r="17">
          <cell r="I17">
            <v>-53777.228193746574</v>
          </cell>
        </row>
        <row r="18">
          <cell r="I18">
            <v>11598.58825715937</v>
          </cell>
        </row>
        <row r="19">
          <cell r="I19">
            <v>-400000.11417728866</v>
          </cell>
        </row>
        <row r="20">
          <cell r="I20">
            <v>-41147.056854117662</v>
          </cell>
        </row>
        <row r="21">
          <cell r="I21">
            <v>-6361.990179755453</v>
          </cell>
        </row>
        <row r="22">
          <cell r="I22">
            <v>-345386.51775730698</v>
          </cell>
        </row>
        <row r="23">
          <cell r="I23">
            <v>-206351.13527985523</v>
          </cell>
        </row>
        <row r="24">
          <cell r="I24">
            <v>-6988.8977305654416</v>
          </cell>
        </row>
        <row r="25">
          <cell r="I25">
            <v>-11517.468000903444</v>
          </cell>
        </row>
        <row r="26">
          <cell r="I26">
            <v>-3678.6674916762613</v>
          </cell>
        </row>
        <row r="29">
          <cell r="I29">
            <v>-29244710.019220922</v>
          </cell>
        </row>
        <row r="31">
          <cell r="I31">
            <v>18475234.877319884</v>
          </cell>
        </row>
        <row r="33">
          <cell r="I33">
            <v>792539.80698841682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4"/>
      <sheetName val="10.4.1 "/>
      <sheetName val="10.4.2"/>
    </sheetNames>
    <sheetDataSet>
      <sheetData sheetId="0">
        <row r="10">
          <cell r="I10">
            <v>61773192.175209239</v>
          </cell>
        </row>
        <row r="11">
          <cell r="I11">
            <v>129569.39203243601</v>
          </cell>
        </row>
        <row r="12">
          <cell r="I12">
            <v>-54551707.838455066</v>
          </cell>
        </row>
        <row r="16">
          <cell r="I16">
            <v>-22822838.593218904</v>
          </cell>
        </row>
        <row r="17">
          <cell r="I17">
            <v>-129569.39203243601</v>
          </cell>
        </row>
        <row r="18">
          <cell r="I18">
            <v>22095065.621611867</v>
          </cell>
        </row>
        <row r="22">
          <cell r="I22">
            <v>1121905.8126643249</v>
          </cell>
        </row>
        <row r="24">
          <cell r="I24">
            <v>-2282754.036882143</v>
          </cell>
        </row>
        <row r="28">
          <cell r="I28">
            <v>-120983.847556519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5"/>
      <sheetName val="10.5.1"/>
      <sheetName val="10.5.2"/>
    </sheetNames>
    <sheetDataSet>
      <sheetData sheetId="0">
        <row r="10">
          <cell r="I10">
            <v>271620006.88963479</v>
          </cell>
        </row>
        <row r="11">
          <cell r="I11">
            <v>25205567.382944513</v>
          </cell>
        </row>
        <row r="12">
          <cell r="I12">
            <v>3201215.0492628315</v>
          </cell>
        </row>
        <row r="13">
          <cell r="I13">
            <v>436598.22588595841</v>
          </cell>
        </row>
        <row r="16">
          <cell r="I16">
            <v>2380374.5121890185</v>
          </cell>
        </row>
        <row r="17">
          <cell r="I17">
            <v>572166.37959284044</v>
          </cell>
        </row>
        <row r="22">
          <cell r="I22">
            <v>-284163229.30864358</v>
          </cell>
        </row>
        <row r="23">
          <cell r="I23">
            <v>-27045780.391573384</v>
          </cell>
        </row>
        <row r="24">
          <cell r="I24">
            <v>-3120428.0041774609</v>
          </cell>
        </row>
        <row r="25">
          <cell r="I25">
            <v>-421155.5043787277</v>
          </cell>
        </row>
        <row r="32">
          <cell r="I32">
            <v>-585253.23569027905</v>
          </cell>
        </row>
        <row r="33">
          <cell r="I33">
            <v>13711279.204010196</v>
          </cell>
        </row>
        <row r="36">
          <cell r="I36">
            <v>-140676.2096248235</v>
          </cell>
        </row>
        <row r="37">
          <cell r="I37">
            <v>1143246.6672808561</v>
          </cell>
        </row>
        <row r="41">
          <cell r="I41">
            <v>206068.53398415996</v>
          </cell>
        </row>
        <row r="45">
          <cell r="I45">
            <v>23926.491468828837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6"/>
      <sheetName val="10.6.1"/>
      <sheetName val="10.6.2"/>
      <sheetName val="10.6.3"/>
      <sheetName val="10.6.4"/>
      <sheetName val="10.6.5"/>
      <sheetName val="10.6.6"/>
    </sheetNames>
    <sheetDataSet>
      <sheetData sheetId="0">
        <row r="10">
          <cell r="I10">
            <v>2788375.1637930614</v>
          </cell>
        </row>
        <row r="11">
          <cell r="I11">
            <v>41006.796901208247</v>
          </cell>
        </row>
        <row r="12">
          <cell r="I12">
            <v>974557.50837129378</v>
          </cell>
        </row>
        <row r="15">
          <cell r="I15">
            <v>23593.450389796959</v>
          </cell>
        </row>
        <row r="16">
          <cell r="I16">
            <v>803.98671293633686</v>
          </cell>
        </row>
        <row r="17">
          <cell r="I17">
            <v>22122.455440028367</v>
          </cell>
        </row>
        <row r="20">
          <cell r="I20">
            <v>-21697.640734047774</v>
          </cell>
        </row>
        <row r="21">
          <cell r="I21">
            <v>-1122.9413001404919</v>
          </cell>
        </row>
        <row r="22">
          <cell r="I22">
            <v>-31738.383371459837</v>
          </cell>
        </row>
        <row r="30">
          <cell r="I30">
            <v>200752.96416109716</v>
          </cell>
        </row>
        <row r="31">
          <cell r="I31">
            <v>-5800.4958893095236</v>
          </cell>
        </row>
        <row r="32">
          <cell r="I32">
            <v>49358.292737450975</v>
          </cell>
        </row>
        <row r="33">
          <cell r="I33">
            <v>-15689.618867339133</v>
          </cell>
        </row>
        <row r="36">
          <cell r="I36">
            <v>10478.658323649484</v>
          </cell>
        </row>
        <row r="37">
          <cell r="I37">
            <v>-197.69380762892004</v>
          </cell>
        </row>
        <row r="38">
          <cell r="I38">
            <v>2576.4467642221921</v>
          </cell>
        </row>
        <row r="39">
          <cell r="I39">
            <v>-5079.534054985671</v>
          </cell>
        </row>
        <row r="42">
          <cell r="I42">
            <v>80823.079586192878</v>
          </cell>
        </row>
        <row r="43">
          <cell r="I43">
            <v>-5439.2392677454663</v>
          </cell>
        </row>
        <row r="44">
          <cell r="I44">
            <v>19871.552114144171</v>
          </cell>
        </row>
        <row r="45">
          <cell r="I45">
            <v>-16999.007898136959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7"/>
      <sheetName val="10.7.1"/>
      <sheetName val="10.7.2"/>
    </sheetNames>
    <sheetDataSet>
      <sheetData sheetId="0">
        <row r="10">
          <cell r="I10">
            <v>4092535.5975975292</v>
          </cell>
        </row>
        <row r="14">
          <cell r="I14">
            <v>36782.493716064644</v>
          </cell>
        </row>
        <row r="18">
          <cell r="I18">
            <v>-14379.074326651749</v>
          </cell>
        </row>
        <row r="29">
          <cell r="I29">
            <v>36782.493696145204</v>
          </cell>
        </row>
        <row r="30">
          <cell r="I30">
            <v>229940.06125535205</v>
          </cell>
        </row>
        <row r="31">
          <cell r="I31">
            <v>-9043.3835498771896</v>
          </cell>
        </row>
        <row r="32">
          <cell r="I32">
            <v>56534.666606312443</v>
          </cell>
        </row>
        <row r="33">
          <cell r="I33">
            <v>-16900.604253980859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8"/>
      <sheetName val="230172-PAC-SLC-10-8FlyAshRevenu"/>
    </sheetNames>
    <sheetDataSet>
      <sheetData sheetId="0">
        <row r="10">
          <cell r="I10">
            <v>-1020828.0428092993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 - 9.1.1"/>
      <sheetName val="9.1.2"/>
      <sheetName val="9.1.3"/>
    </sheetNames>
    <sheetDataSet>
      <sheetData sheetId="0">
        <row r="17">
          <cell r="I17">
            <v>192349.41342615057</v>
          </cell>
        </row>
        <row r="27">
          <cell r="I27">
            <v>-195149.93985409159</v>
          </cell>
        </row>
        <row r="38">
          <cell r="I38">
            <v>23210.389051953243</v>
          </cell>
        </row>
        <row r="72">
          <cell r="I72">
            <v>573.4824085146538</v>
          </cell>
        </row>
        <row r="73">
          <cell r="I73">
            <v>710.80682274696301</v>
          </cell>
        </row>
        <row r="77">
          <cell r="I77">
            <v>110156.92612526193</v>
          </cell>
        </row>
        <row r="78">
          <cell r="I78">
            <v>539801.62786351144</v>
          </cell>
        </row>
        <row r="79">
          <cell r="I79">
            <v>72376.057689283043</v>
          </cell>
        </row>
        <row r="80">
          <cell r="I80">
            <v>212943.29145472497</v>
          </cell>
        </row>
        <row r="81">
          <cell r="I81">
            <v>361763.01298309863</v>
          </cell>
        </row>
        <row r="85">
          <cell r="I85">
            <v>-5532.8879920264008</v>
          </cell>
        </row>
        <row r="88">
          <cell r="I88">
            <v>-32660.411491154693</v>
          </cell>
        </row>
        <row r="91">
          <cell r="I91">
            <v>1260.2852436666144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9"/>
      <sheetName val="8.9.1"/>
    </sheetNames>
    <sheetDataSet>
      <sheetData sheetId="0">
        <row r="14">
          <cell r="I14">
            <v>-10948499.351675939</v>
          </cell>
        </row>
        <row r="20">
          <cell r="I20">
            <v>3287281.0118927527</v>
          </cell>
        </row>
        <row r="36">
          <cell r="I36">
            <v>1434109.5152292964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7"/>
      <sheetName val="8.7.1"/>
    </sheetNames>
    <sheetDataSet>
      <sheetData sheetId="0">
        <row r="11">
          <cell r="I11">
            <v>29873668.417190563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6"/>
      <sheetName val="8.6.1"/>
    </sheetNames>
    <sheetDataSet>
      <sheetData sheetId="0">
        <row r="11">
          <cell r="I11">
            <v>2336.9299999999998</v>
          </cell>
        </row>
        <row r="15">
          <cell r="I15">
            <v>-408390.63249999989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5 - 8.5.1"/>
      <sheetName val="8.5.2 - 8.5.3"/>
    </sheetNames>
    <sheetDataSet>
      <sheetData sheetId="0">
        <row r="18">
          <cell r="I18">
            <v>-2747159.4147250163</v>
          </cell>
        </row>
        <row r="23">
          <cell r="I23">
            <v>-9196314.6827737149</v>
          </cell>
        </row>
        <row r="38">
          <cell r="I38">
            <v>-12260466.638721503</v>
          </cell>
        </row>
        <row r="53">
          <cell r="I53">
            <v>-3284761.1438008333</v>
          </cell>
        </row>
        <row r="79">
          <cell r="I79">
            <v>-9300171.1500413101</v>
          </cell>
        </row>
        <row r="95">
          <cell r="I95">
            <v>-659642.57333333301</v>
          </cell>
        </row>
        <row r="102">
          <cell r="I102">
            <v>10195538.370662238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4"/>
      <sheetName val="8.4.1"/>
      <sheetName val="8.4.2 &amp; 8.4.3"/>
      <sheetName val="8.4.4-8.4.31"/>
      <sheetName val="8.4.32"/>
      <sheetName val="8.4.33"/>
      <sheetName val="8.4.34 -8.4.35"/>
      <sheetName val="8.4.36"/>
      <sheetName val="8.4.37-39"/>
      <sheetName val="8.4.40-43"/>
      <sheetName val="8.4.44-45"/>
      <sheetName val="8.4.46"/>
    </sheetNames>
    <sheetDataSet>
      <sheetData sheetId="0"/>
      <sheetData sheetId="1">
        <row r="28">
          <cell r="J28">
            <v>132654631.34508099</v>
          </cell>
        </row>
        <row r="33">
          <cell r="J33">
            <v>-364644.74643903616</v>
          </cell>
        </row>
        <row r="37">
          <cell r="J37">
            <v>-2597673.2248429107</v>
          </cell>
        </row>
        <row r="41">
          <cell r="J41">
            <v>89653.694497237331</v>
          </cell>
        </row>
        <row r="45">
          <cell r="J45">
            <v>-638679.71221352764</v>
          </cell>
        </row>
        <row r="49">
          <cell r="J49">
            <v>289567.51462348219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3"/>
      <sheetName val="8.3.1"/>
    </sheetNames>
    <sheetDataSet>
      <sheetData sheetId="0">
        <row r="21">
          <cell r="I21">
            <v>-1733115.077035418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"/>
      <sheetName val="8.2.1"/>
      <sheetName val="8.2.2"/>
      <sheetName val="8.2.3"/>
      <sheetName val="8.2.4"/>
      <sheetName val="8.2.5"/>
      <sheetName val="8.2.6"/>
      <sheetName val="8.2.7"/>
    </sheetNames>
    <sheetDataSet>
      <sheetData sheetId="0">
        <row r="10">
          <cell r="I10">
            <v>34836222.479999982</v>
          </cell>
        </row>
        <row r="11">
          <cell r="I11">
            <v>49361.323333333014</v>
          </cell>
        </row>
        <row r="14">
          <cell r="I14">
            <v>826092.83000000054</v>
          </cell>
        </row>
        <row r="15">
          <cell r="I15">
            <v>5273956.0282760151</v>
          </cell>
        </row>
        <row r="16">
          <cell r="I16">
            <v>911208.99240238813</v>
          </cell>
        </row>
        <row r="21">
          <cell r="I21">
            <v>17418111</v>
          </cell>
        </row>
        <row r="22">
          <cell r="I22">
            <v>-4282521.2791259997</v>
          </cell>
        </row>
        <row r="23">
          <cell r="I23">
            <v>-8564968.0000000019</v>
          </cell>
        </row>
        <row r="25">
          <cell r="I25">
            <v>-1538649.2900000005</v>
          </cell>
        </row>
        <row r="26">
          <cell r="I26">
            <v>-378301.54633514007</v>
          </cell>
        </row>
        <row r="27">
          <cell r="I27">
            <v>-3027.069870389998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"/>
      <sheetName val="7.2.1"/>
    </sheetNames>
    <sheetDataSet>
      <sheetData sheetId="0">
        <row r="10">
          <cell r="I10">
            <v>843808.66439033335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  <sheetName val="8.1.1"/>
      <sheetName val="8.1.2"/>
      <sheetName val="8.1.3"/>
      <sheetName val="8.1.4"/>
      <sheetName val="8.1.5"/>
      <sheetName val="8.1.6"/>
      <sheetName val="8.1.7 - 8.1.12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I34">
            <v>30000111.714042757</v>
          </cell>
        </row>
      </sheetData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2"/>
      <sheetName val="8.12.1"/>
      <sheetName val="8.12.2"/>
    </sheetNames>
    <sheetDataSet>
      <sheetData sheetId="0">
        <row r="10">
          <cell r="I10">
            <v>37741371.808252543</v>
          </cell>
        </row>
        <row r="13">
          <cell r="I13">
            <v>646845.05196292081</v>
          </cell>
        </row>
        <row r="16">
          <cell r="I16">
            <v>-86079.075470098556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1"/>
      <sheetName val="8.11.1"/>
      <sheetName val="8.11.2_REDACTED"/>
    </sheetNames>
    <sheetDataSet>
      <sheetData sheetId="0">
        <row r="10">
          <cell r="I10">
            <v>2321668.5741803152</v>
          </cell>
        </row>
        <row r="13">
          <cell r="I13">
            <v>97710.70532217549</v>
          </cell>
        </row>
        <row r="16">
          <cell r="I16">
            <v>-5246.4809077935133</v>
          </cell>
        </row>
        <row r="20">
          <cell r="I20">
            <v>131145.17024851745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0"/>
      <sheetName val="8.10.1"/>
      <sheetName val="8.10.2"/>
      <sheetName val="8.10.3"/>
    </sheetNames>
    <sheetDataSet>
      <sheetData sheetId="0">
        <row r="10">
          <cell r="I10">
            <v>-253659.07857429984</v>
          </cell>
        </row>
        <row r="15">
          <cell r="I15">
            <v>-36177.676704446698</v>
          </cell>
        </row>
        <row r="16">
          <cell r="I16">
            <v>-390568.30355809012</v>
          </cell>
        </row>
        <row r="17">
          <cell r="I17">
            <v>90668.783574979927</v>
          </cell>
        </row>
        <row r="18">
          <cell r="I18">
            <v>342885.28523146838</v>
          </cell>
        </row>
        <row r="22">
          <cell r="I22">
            <v>76196.730051437393</v>
          </cell>
        </row>
        <row r="23">
          <cell r="I23">
            <v>-18734.185230826712</v>
          </cell>
        </row>
        <row r="24">
          <cell r="I24">
            <v>-84303.833538720195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9"/>
      <sheetName val="7.9.1"/>
      <sheetName val="7.9.2"/>
      <sheetName val="7.9.3"/>
    </sheetNames>
    <sheetDataSet>
      <sheetData sheetId="0">
        <row r="10">
          <cell r="I10">
            <v>-16672</v>
          </cell>
        </row>
      </sheetData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8"/>
      <sheetName val="7.8.1"/>
    </sheetNames>
    <sheetDataSet>
      <sheetData sheetId="0">
        <row r="12">
          <cell r="I12">
            <v>35285349</v>
          </cell>
        </row>
        <row r="14">
          <cell r="I14">
            <v>18039048</v>
          </cell>
        </row>
        <row r="17">
          <cell r="I17">
            <v>-8675413</v>
          </cell>
        </row>
        <row r="18">
          <cell r="I18">
            <v>-4435058</v>
          </cell>
        </row>
        <row r="19">
          <cell r="I19">
            <v>102031.44473771306</v>
          </cell>
        </row>
        <row r="21">
          <cell r="I21">
            <v>8451410.0260689482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7"/>
      <sheetName val="230172-PAC-SLC-7-7WashingtonPub"/>
    </sheetNames>
    <sheetDataSet>
      <sheetData sheetId="0">
        <row r="10">
          <cell r="I10">
            <v>1290521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  <sheetName val="7.6.1"/>
      <sheetName val="7.6.2 - 7.6.3"/>
    </sheetNames>
    <sheetDataSet>
      <sheetData sheetId="0">
        <row r="11">
          <cell r="I11">
            <v>123664</v>
          </cell>
        </row>
        <row r="13">
          <cell r="I13">
            <v>-3491695</v>
          </cell>
        </row>
        <row r="14">
          <cell r="I14"/>
        </row>
        <row r="15">
          <cell r="I15">
            <v>31532420</v>
          </cell>
        </row>
        <row r="16">
          <cell r="I16"/>
        </row>
        <row r="17">
          <cell r="I17">
            <v>132123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5"/>
      <sheetName val="230172-PAC-SLC-7-5PermanentSche"/>
    </sheetNames>
    <sheetDataSet>
      <sheetData sheetId="0">
        <row r="11">
          <cell r="I11">
            <v>18664.478910923921</v>
          </cell>
        </row>
        <row r="12">
          <cell r="I12">
            <v>-20064.577834337346</v>
          </cell>
        </row>
        <row r="16">
          <cell r="I16">
            <v>1508.2297375291973</v>
          </cell>
        </row>
        <row r="17">
          <cell r="I17">
            <v>-1348558.8975122722</v>
          </cell>
        </row>
        <row r="19">
          <cell r="I19">
            <v>-882.97494829811808</v>
          </cell>
        </row>
        <row r="20">
          <cell r="I20">
            <v>20331.859191592452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4"/>
      <sheetName val="7.4.1"/>
      <sheetName val="7.4.2"/>
    </sheetNames>
    <sheetDataSet>
      <sheetData sheetId="0">
        <row r="19">
          <cell r="I19">
            <v>-33477787.545946203</v>
          </cell>
        </row>
        <row r="21">
          <cell r="I21">
            <v>-801241.05308415799</v>
          </cell>
        </row>
        <row r="22">
          <cell r="I22">
            <v>-514493.32591457001</v>
          </cell>
        </row>
        <row r="23">
          <cell r="I23">
            <v>-1506965.2336329233</v>
          </cell>
        </row>
        <row r="24">
          <cell r="I24">
            <v>9169664.0148253962</v>
          </cell>
        </row>
        <row r="25">
          <cell r="I25">
            <v>-248654.64528870353</v>
          </cell>
        </row>
        <row r="26">
          <cell r="I26">
            <v>-183093.87319552718</v>
          </cell>
        </row>
        <row r="27">
          <cell r="I27">
            <v>-2125226.3955744738</v>
          </cell>
        </row>
        <row r="28">
          <cell r="I28">
            <v>-680908.29217730614</v>
          </cell>
        </row>
        <row r="29">
          <cell r="I29">
            <v>-2581601.5281676729</v>
          </cell>
        </row>
        <row r="30">
          <cell r="I30">
            <v>18092772.924916849</v>
          </cell>
        </row>
        <row r="31">
          <cell r="I31">
            <v>-3116674.8930163542</v>
          </cell>
        </row>
        <row r="33">
          <cell r="I33">
            <v>196997.94338568673</v>
          </cell>
        </row>
        <row r="34">
          <cell r="I34">
            <v>126496.3985632852</v>
          </cell>
        </row>
        <row r="35">
          <cell r="I35">
            <v>370511.52942701784</v>
          </cell>
        </row>
        <row r="36">
          <cell r="I36">
            <v>-2254508.6310153073</v>
          </cell>
        </row>
        <row r="37">
          <cell r="I37">
            <v>61135.718740847966</v>
          </cell>
        </row>
        <row r="38">
          <cell r="I38">
            <v>45016.581523047156</v>
          </cell>
        </row>
        <row r="39">
          <cell r="I39">
            <v>-522520.87980762124</v>
          </cell>
        </row>
        <row r="40">
          <cell r="I40">
            <v>-167412.19188894369</v>
          </cell>
        </row>
        <row r="41">
          <cell r="I41">
            <v>-634728.01644423336</v>
          </cell>
        </row>
        <row r="42">
          <cell r="I42">
            <v>4448397.6835238477</v>
          </cell>
        </row>
        <row r="43">
          <cell r="I43">
            <v>-766284.36556076829</v>
          </cell>
        </row>
        <row r="44">
          <cell r="I44">
            <v>-4009257</v>
          </cell>
        </row>
      </sheetData>
      <sheetData sheetId="1">
        <row r="10">
          <cell r="I10">
            <v>-256201.655637294</v>
          </cell>
        </row>
        <row r="11">
          <cell r="I11">
            <v>0</v>
          </cell>
        </row>
        <row r="12">
          <cell r="I12">
            <v>70225.849303931871</v>
          </cell>
        </row>
        <row r="14">
          <cell r="I14">
            <v>39855.871667046791</v>
          </cell>
        </row>
        <row r="15">
          <cell r="I15">
            <v>0</v>
          </cell>
        </row>
        <row r="16">
          <cell r="I16">
            <v>-7128.5830812373779</v>
          </cell>
        </row>
        <row r="18">
          <cell r="I18">
            <v>62991.251149801996</v>
          </cell>
        </row>
        <row r="19">
          <cell r="I19">
            <v>0</v>
          </cell>
        </row>
        <row r="20">
          <cell r="I20">
            <v>-17266.071842299345</v>
          </cell>
        </row>
        <row r="21">
          <cell r="I21"/>
        </row>
        <row r="22">
          <cell r="I22">
            <v>9799.2153127850197</v>
          </cell>
        </row>
        <row r="23">
          <cell r="I23">
            <v>0</v>
          </cell>
        </row>
        <row r="24">
          <cell r="I24">
            <v>-1752.6486891586319</v>
          </cell>
        </row>
        <row r="26">
          <cell r="I26">
            <v>425267.12742025551</v>
          </cell>
        </row>
        <row r="27">
          <cell r="I27">
            <v>0</v>
          </cell>
        </row>
        <row r="28">
          <cell r="I28">
            <v>-134588.70342030685</v>
          </cell>
        </row>
        <row r="30">
          <cell r="I30">
            <v>-306028.52656283416</v>
          </cell>
        </row>
        <row r="31">
          <cell r="I31">
            <v>-1323299.0699693311</v>
          </cell>
        </row>
        <row r="32">
          <cell r="I32">
            <v>75242.025621822235</v>
          </cell>
        </row>
        <row r="33">
          <cell r="I33">
            <v>-325354.27830940485</v>
          </cell>
        </row>
        <row r="34">
          <cell r="I34">
            <v>396454.68678154983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"/>
      <sheetName val="7.3.1"/>
    </sheetNames>
    <sheetDataSet>
      <sheetData sheetId="0">
        <row r="11">
          <cell r="I11">
            <v>10953810.298519813</v>
          </cell>
        </row>
        <row r="14">
          <cell r="I14">
            <v>-16979716.477699727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0"/>
      <sheetName val="7.10.1"/>
    </sheetNames>
    <sheetDataSet>
      <sheetData sheetId="0">
        <row r="10">
          <cell r="I10">
            <v>232524.95270601709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"/>
      <sheetName val="6.4.1"/>
      <sheetName val="6.4.2"/>
      <sheetName val="6.4.3"/>
      <sheetName val="6.4.4_REDACTED"/>
    </sheetNames>
    <sheetDataSet>
      <sheetData sheetId="0">
        <row r="11">
          <cell r="I11">
            <v>2344846.8325303458</v>
          </cell>
        </row>
        <row r="12">
          <cell r="I12">
            <v>1355735.8017940987</v>
          </cell>
        </row>
        <row r="13">
          <cell r="I13">
            <v>2233092.2074194313</v>
          </cell>
        </row>
        <row r="16">
          <cell r="I16">
            <v>-6873921.5338562131</v>
          </cell>
        </row>
        <row r="17">
          <cell r="I17">
            <v>-3389339.4212793428</v>
          </cell>
        </row>
        <row r="18">
          <cell r="I18">
            <v>-6215361.9218137115</v>
          </cell>
        </row>
        <row r="22">
          <cell r="I22">
            <v>2344846.8325303458</v>
          </cell>
        </row>
        <row r="23">
          <cell r="I23">
            <v>-576518.1113269059</v>
          </cell>
        </row>
        <row r="24">
          <cell r="I24">
            <v>2017811.4542611723</v>
          </cell>
        </row>
        <row r="28">
          <cell r="I28">
            <v>833326</v>
          </cell>
        </row>
        <row r="30">
          <cell r="I30">
            <v>-316315.91999999993</v>
          </cell>
        </row>
        <row r="31">
          <cell r="I31">
            <v>77772</v>
          </cell>
        </row>
        <row r="32">
          <cell r="I32">
            <v>1528150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3"/>
      <sheetName val="6.3.1"/>
      <sheetName val="6.3.2"/>
      <sheetName val="6.3.3"/>
      <sheetName val="6.3.4 - 6.3.6"/>
    </sheetNames>
    <sheetDataSet>
      <sheetData sheetId="0"/>
      <sheetData sheetId="1"/>
      <sheetData sheetId="2">
        <row r="45">
          <cell r="I45">
            <v>0</v>
          </cell>
        </row>
        <row r="46">
          <cell r="I46">
            <v>-3836.0180973383972</v>
          </cell>
        </row>
        <row r="47">
          <cell r="I47">
            <v>-48148.807500000112</v>
          </cell>
        </row>
        <row r="48">
          <cell r="I48">
            <v>0</v>
          </cell>
        </row>
        <row r="49">
          <cell r="I49">
            <v>-12450.578850694672</v>
          </cell>
        </row>
        <row r="50">
          <cell r="I50">
            <v>0</v>
          </cell>
        </row>
        <row r="51">
          <cell r="I51">
            <v>0</v>
          </cell>
        </row>
      </sheetData>
      <sheetData sheetId="3">
        <row r="11">
          <cell r="I11">
            <v>0</v>
          </cell>
        </row>
        <row r="12">
          <cell r="I12">
            <v>-57235.076429539273</v>
          </cell>
        </row>
        <row r="13">
          <cell r="I13">
            <v>-35092.005474117686</v>
          </cell>
        </row>
        <row r="14">
          <cell r="I14">
            <v>-282618.36639745202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-285208.53290477861</v>
          </cell>
        </row>
        <row r="18">
          <cell r="I18">
            <v>-107601.06432577987</v>
          </cell>
        </row>
        <row r="19">
          <cell r="I19">
            <v>-13431.098690547222</v>
          </cell>
        </row>
        <row r="20">
          <cell r="I20">
            <v>-698480.38503635174</v>
          </cell>
        </row>
        <row r="21">
          <cell r="I21">
            <v>0</v>
          </cell>
        </row>
        <row r="22">
          <cell r="I22">
            <v>-1574.1304166667014</v>
          </cell>
        </row>
        <row r="23">
          <cell r="I23">
            <v>0</v>
          </cell>
        </row>
        <row r="24">
          <cell r="I24">
            <v>0</v>
          </cell>
        </row>
        <row r="32">
          <cell r="I32">
            <v>-27898421.393283397</v>
          </cell>
        </row>
      </sheetData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  <sheetName val="6.1.1"/>
      <sheetName val="6.1.2 - 6.1.3"/>
      <sheetName val="6.1.4 - 6.1-21"/>
      <sheetName val="6.2"/>
      <sheetName val="6.2.1"/>
      <sheetName val="6.2.2-6.2.3"/>
      <sheetName val="6.2.4-6.2.17"/>
      <sheetName val="6.2.18"/>
    </sheetNames>
    <sheetDataSet>
      <sheetData sheetId="0">
        <row r="52">
          <cell r="J52">
            <v>-16220473.329020642</v>
          </cell>
        </row>
      </sheetData>
      <sheetData sheetId="1">
        <row r="38">
          <cell r="J38">
            <v>615859.06737593689</v>
          </cell>
        </row>
      </sheetData>
      <sheetData sheetId="2"/>
      <sheetData sheetId="3"/>
      <sheetData sheetId="4">
        <row r="50">
          <cell r="J50">
            <v>-80207431.688485801</v>
          </cell>
        </row>
      </sheetData>
      <sheetData sheetId="5">
        <row r="38">
          <cell r="J38">
            <v>-7490520.9057901539</v>
          </cell>
        </row>
      </sheetData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5"/>
      <sheetName val="5.5.1"/>
    </sheetNames>
    <sheetDataSet>
      <sheetData sheetId="0">
        <row r="11">
          <cell r="I11">
            <v>16976</v>
          </cell>
        </row>
        <row r="12">
          <cell r="I12">
            <v>20800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4"/>
      <sheetName val="5.4.1"/>
    </sheetNames>
    <sheetDataSet>
      <sheetData sheetId="0">
        <row r="11">
          <cell r="I11">
            <v>114140.83764662949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1.1"/>
      <sheetName val="3.1.2"/>
      <sheetName val="3.1.3 - 3.1.4"/>
      <sheetName val="3.1.5 - 3.1.6"/>
      <sheetName val="3.2"/>
    </sheetNames>
    <sheetDataSet>
      <sheetData sheetId="0">
        <row r="15">
          <cell r="I15">
            <v>-2240536.6973766158</v>
          </cell>
        </row>
      </sheetData>
      <sheetData sheetId="1"/>
      <sheetData sheetId="2"/>
      <sheetData sheetId="3"/>
      <sheetData sheetId="4"/>
      <sheetData sheetId="5">
        <row r="15">
          <cell r="I15">
            <v>-1844833.588758857</v>
          </cell>
        </row>
        <row r="22">
          <cell r="I22">
            <v>35558070.616872057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"/>
      <sheetName val="3.3.1 - 3.3.2"/>
    </sheetNames>
    <sheetDataSet>
      <sheetData sheetId="0">
        <row r="11">
          <cell r="I11">
            <v>-21587.792771058183</v>
          </cell>
        </row>
        <row r="12">
          <cell r="I12">
            <v>-18.950275386967089</v>
          </cell>
        </row>
        <row r="13">
          <cell r="I13">
            <v>1424628.7434153743</v>
          </cell>
        </row>
      </sheetData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0"/>
      <sheetName val="4.10.1"/>
    </sheetNames>
    <sheetDataSet>
      <sheetData sheetId="0">
        <row r="11">
          <cell r="I11">
            <v>2006742.3164071133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3"/>
      <sheetName val="5.3.1_REDACTED"/>
      <sheetName val="5.3.2_REDACTED"/>
    </sheetNames>
    <sheetDataSet>
      <sheetData sheetId="0">
        <row r="11">
          <cell r="I11">
            <v>265774.14632870059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"/>
      <sheetName val="230172-PAC-SLC-5-2NetPowerCosts"/>
    </sheetNames>
    <sheetDataSet>
      <sheetData sheetId="0">
        <row r="12">
          <cell r="I12">
            <v>19038327.299635988</v>
          </cell>
        </row>
        <row r="23">
          <cell r="I23">
            <v>22439693.650710579</v>
          </cell>
        </row>
        <row r="30">
          <cell r="I30">
            <v>630176.87420901121</v>
          </cell>
        </row>
        <row r="33">
          <cell r="I33">
            <v>-2151384.5804369897</v>
          </cell>
        </row>
        <row r="34">
          <cell r="I34">
            <v>-33648.730937800545</v>
          </cell>
        </row>
        <row r="35">
          <cell r="I35">
            <v>35281566.63017948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1.1"/>
      <sheetName val="5.1.2"/>
      <sheetName val="5.1.3"/>
      <sheetName val="5.1.4"/>
    </sheetNames>
    <sheetDataSet>
      <sheetData sheetId="0">
        <row r="20">
          <cell r="I20">
            <v>-7141820.6973571628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9.1"/>
    </sheetNames>
    <sheetDataSet>
      <sheetData sheetId="0">
        <row r="12">
          <cell r="I12">
            <v>-102440.74230953485</v>
          </cell>
        </row>
        <row r="13">
          <cell r="I13">
            <v>-7309.645257778775</v>
          </cell>
        </row>
        <row r="19">
          <cell r="I19">
            <v>-66410.764752278425</v>
          </cell>
        </row>
        <row r="23">
          <cell r="I23">
            <v>-605816.7740017164</v>
          </cell>
        </row>
        <row r="27">
          <cell r="I27">
            <v>-76250.397644968412</v>
          </cell>
        </row>
        <row r="33">
          <cell r="I33">
            <v>4913.1286018583987</v>
          </cell>
        </row>
        <row r="34">
          <cell r="I34">
            <v>36586.049999999996</v>
          </cell>
        </row>
        <row r="36">
          <cell r="I36">
            <v>176074.29429650438</v>
          </cell>
        </row>
        <row r="38">
          <cell r="I38">
            <v>11375.5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8"/>
      <sheetName val="4.8.1"/>
      <sheetName val="4.8.2"/>
    </sheetNames>
    <sheetDataSet>
      <sheetData sheetId="0">
        <row r="10">
          <cell r="I10">
            <v>-229407.07424827572</v>
          </cell>
        </row>
        <row r="12">
          <cell r="I12">
            <v>774942.94549049344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"/>
      <sheetName val="4.7.1 - 4.7.3"/>
    </sheetNames>
    <sheetDataSet>
      <sheetData sheetId="0">
        <row r="27">
          <cell r="I27">
            <v>-767.83106542847236</v>
          </cell>
        </row>
      </sheetData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6"/>
      <sheetName val="4.6.1"/>
    </sheetNames>
    <sheetDataSet>
      <sheetData sheetId="0">
        <row r="11">
          <cell r="I11">
            <v>-7421.1598786806026</v>
          </cell>
        </row>
        <row r="12">
          <cell r="I12">
            <v>-636.50426369283355</v>
          </cell>
        </row>
        <row r="17">
          <cell r="I17">
            <v>24802.54</v>
          </cell>
        </row>
        <row r="19">
          <cell r="I19">
            <v>162.06681258817017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5"/>
      <sheetName val="4.5.1"/>
      <sheetName val="4.5.2"/>
      <sheetName val="4.5.3"/>
    </sheetNames>
    <sheetDataSet>
      <sheetData sheetId="0">
        <row r="11">
          <cell r="I11">
            <v>-4262957.497944246</v>
          </cell>
        </row>
        <row r="12">
          <cell r="I12"/>
        </row>
        <row r="13">
          <cell r="I13"/>
        </row>
        <row r="14">
          <cell r="I14"/>
        </row>
        <row r="15">
          <cell r="I15">
            <v>-63404.187139259317</v>
          </cell>
        </row>
        <row r="16">
          <cell r="I16">
            <v>395600.21895114414</v>
          </cell>
        </row>
        <row r="17">
          <cell r="I17">
            <v>-99119.042241352741</v>
          </cell>
        </row>
        <row r="18">
          <cell r="I18"/>
        </row>
        <row r="19">
          <cell r="I19"/>
        </row>
        <row r="20">
          <cell r="I20">
            <v>504752.56685030367</v>
          </cell>
        </row>
        <row r="21">
          <cell r="I21">
            <v>-6883.5206145928787</v>
          </cell>
        </row>
        <row r="30">
          <cell r="I30">
            <v>-2506736.237041242</v>
          </cell>
        </row>
      </sheetData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"/>
      <sheetName val="4.4.1"/>
      <sheetName val="4.4.2"/>
    </sheetNames>
    <sheetDataSet>
      <sheetData sheetId="0">
        <row r="11">
          <cell r="I11">
            <v>-194940.36013907607</v>
          </cell>
        </row>
        <row r="13">
          <cell r="I13">
            <v>-689961.01656807878</v>
          </cell>
        </row>
        <row r="14">
          <cell r="I14">
            <v>170225.11404788683</v>
          </cell>
        </row>
        <row r="15">
          <cell r="I15" t="str">
            <v xml:space="preserve"> </v>
          </cell>
        </row>
        <row r="16">
          <cell r="I16">
            <v>105204.51213640427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4.3"/>
      <sheetName val="4.3.1"/>
      <sheetName val="4.3.2"/>
      <sheetName val="4.3.3"/>
      <sheetName val="4.3.4"/>
      <sheetName val="4.3.5_REDACTED"/>
      <sheetName val="4.3.6"/>
      <sheetName val="4.3.7"/>
      <sheetName val="4.3.8"/>
      <sheetName val="4.3.9"/>
    </sheetNames>
    <sheetDataSet>
      <sheetData sheetId="0">
        <row r="11">
          <cell r="I11">
            <v>0</v>
          </cell>
        </row>
        <row r="12">
          <cell r="I12">
            <v>1.8687163022871054</v>
          </cell>
        </row>
        <row r="13">
          <cell r="I13">
            <v>19561.302046005945</v>
          </cell>
        </row>
        <row r="14">
          <cell r="I14">
            <v>2358.9096257726724</v>
          </cell>
        </row>
        <row r="15">
          <cell r="I15">
            <v>84.289516742030003</v>
          </cell>
        </row>
        <row r="16">
          <cell r="I16">
            <v>0</v>
          </cell>
        </row>
        <row r="17">
          <cell r="I17">
            <v>41958.225742736278</v>
          </cell>
        </row>
        <row r="18">
          <cell r="I18">
            <v>201.51528871942509</v>
          </cell>
        </row>
        <row r="19">
          <cell r="I19">
            <v>12227.700220187749</v>
          </cell>
        </row>
        <row r="20">
          <cell r="I20">
            <v>8202.9701941761359</v>
          </cell>
        </row>
        <row r="21">
          <cell r="I21">
            <v>2111.9007463849348</v>
          </cell>
        </row>
        <row r="22">
          <cell r="I22">
            <v>413.3785891750108</v>
          </cell>
        </row>
        <row r="23">
          <cell r="I23">
            <v>0</v>
          </cell>
        </row>
        <row r="24">
          <cell r="I24">
            <v>5706.1968686883574</v>
          </cell>
        </row>
        <row r="25">
          <cell r="I25">
            <v>2945.7807665366045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1930.5189304786775</v>
          </cell>
        </row>
        <row r="29">
          <cell r="I29">
            <v>354.85716798395163</v>
          </cell>
        </row>
        <row r="30">
          <cell r="I30">
            <v>0</v>
          </cell>
        </row>
        <row r="31">
          <cell r="I31">
            <v>27322.665850548477</v>
          </cell>
        </row>
        <row r="32">
          <cell r="I32">
            <v>0</v>
          </cell>
        </row>
        <row r="33">
          <cell r="I33">
            <v>22235.354378907086</v>
          </cell>
        </row>
        <row r="34">
          <cell r="I34">
            <v>14851.832969981473</v>
          </cell>
        </row>
        <row r="35">
          <cell r="I35">
            <v>22429.000788388705</v>
          </cell>
        </row>
        <row r="36">
          <cell r="I36">
            <v>29852.024750112585</v>
          </cell>
        </row>
        <row r="37">
          <cell r="I37">
            <v>83155.95271355749</v>
          </cell>
        </row>
        <row r="38">
          <cell r="I38">
            <v>13879.618931746198</v>
          </cell>
        </row>
        <row r="39">
          <cell r="I39">
            <v>20524.16806613771</v>
          </cell>
        </row>
        <row r="40">
          <cell r="I40">
            <v>11144.252853660792</v>
          </cell>
        </row>
        <row r="41">
          <cell r="I41">
            <v>2832.4008604212627</v>
          </cell>
        </row>
        <row r="42">
          <cell r="I42">
            <v>1936.0323907138243</v>
          </cell>
        </row>
        <row r="43">
          <cell r="I43">
            <v>-94.046117378983737</v>
          </cell>
        </row>
        <row r="44">
          <cell r="I44">
            <v>26015.175346723052</v>
          </cell>
        </row>
        <row r="45">
          <cell r="I45">
            <v>6.1260709012416381</v>
          </cell>
        </row>
        <row r="46">
          <cell r="I46">
            <v>1918.1593993365932</v>
          </cell>
        </row>
      </sheetData>
      <sheetData sheetId="1">
        <row r="10">
          <cell r="I10">
            <v>0</v>
          </cell>
        </row>
        <row r="11">
          <cell r="I11">
            <v>8.9794728783465718</v>
          </cell>
        </row>
        <row r="12">
          <cell r="I12">
            <v>93995.102933644361</v>
          </cell>
        </row>
        <row r="13">
          <cell r="I13">
            <v>11334.92814354549</v>
          </cell>
        </row>
        <row r="14">
          <cell r="I14">
            <v>405.02425573516143</v>
          </cell>
        </row>
        <row r="15">
          <cell r="I15">
            <v>0</v>
          </cell>
        </row>
        <row r="16">
          <cell r="I16">
            <v>201615.80953691408</v>
          </cell>
        </row>
        <row r="17">
          <cell r="I17">
            <v>968.3123475797928</v>
          </cell>
        </row>
        <row r="18">
          <cell r="I18">
            <v>58756.003978424727</v>
          </cell>
        </row>
        <row r="19">
          <cell r="I19">
            <v>39416.549366182626</v>
          </cell>
        </row>
        <row r="20">
          <cell r="I20">
            <v>10148.012007340993</v>
          </cell>
        </row>
        <row r="21">
          <cell r="I21">
            <v>1986.3485032175251</v>
          </cell>
        </row>
        <row r="22">
          <cell r="I22">
            <v>0</v>
          </cell>
        </row>
        <row r="23">
          <cell r="I23">
            <v>27419.164673729621</v>
          </cell>
        </row>
        <row r="24">
          <cell r="I24">
            <v>14154.935377990007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9276.4441323446008</v>
          </cell>
        </row>
        <row r="28">
          <cell r="I28">
            <v>1705.1439598931756</v>
          </cell>
        </row>
        <row r="29">
          <cell r="I29">
            <v>0</v>
          </cell>
        </row>
        <row r="30">
          <cell r="I30">
            <v>131289.6648190273</v>
          </cell>
        </row>
        <row r="31">
          <cell r="I31">
            <v>0</v>
          </cell>
        </row>
        <row r="32">
          <cell r="I32">
            <v>106844.34086728768</v>
          </cell>
        </row>
        <row r="33">
          <cell r="I33">
            <v>71365.370540441014</v>
          </cell>
        </row>
        <row r="34">
          <cell r="I34">
            <v>107774.8420245801</v>
          </cell>
        </row>
        <row r="35">
          <cell r="I35">
            <v>143443.62827000325</v>
          </cell>
        </row>
        <row r="36">
          <cell r="I36">
            <v>399577.304029822</v>
          </cell>
        </row>
        <row r="37">
          <cell r="I37">
            <v>66693.730667873446</v>
          </cell>
        </row>
        <row r="38">
          <cell r="I38">
            <v>98621.82412330425</v>
          </cell>
        </row>
        <row r="39">
          <cell r="I39">
            <v>53549.870639223984</v>
          </cell>
        </row>
        <row r="40">
          <cell r="I40">
            <v>13610.127270592347</v>
          </cell>
        </row>
        <row r="41">
          <cell r="I41">
            <v>9302.9371674761242</v>
          </cell>
        </row>
        <row r="42">
          <cell r="I42">
            <v>-451.90624135125569</v>
          </cell>
        </row>
        <row r="43">
          <cell r="I43">
            <v>125006.96931119288</v>
          </cell>
        </row>
        <row r="44">
          <cell r="I44">
            <v>29.436724794021725</v>
          </cell>
        </row>
        <row r="45">
          <cell r="I45">
            <v>9217.0546602542709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1.1"/>
    </sheetNames>
    <sheetDataSet>
      <sheetData sheetId="0">
        <row r="14">
          <cell r="I14">
            <v>79538.110256100932</v>
          </cell>
        </row>
        <row r="18">
          <cell r="I18">
            <v>-372.41942144014035</v>
          </cell>
        </row>
        <row r="19">
          <cell r="I19">
            <v>-1355.0444333537175</v>
          </cell>
        </row>
        <row r="20">
          <cell r="I20">
            <v>-645.53497912419698</v>
          </cell>
        </row>
        <row r="21">
          <cell r="I21">
            <v>1833.3235885350264</v>
          </cell>
        </row>
        <row r="22">
          <cell r="I22">
            <v>0</v>
          </cell>
        </row>
        <row r="23">
          <cell r="I23">
            <v>94141.089396557683</v>
          </cell>
        </row>
        <row r="25">
          <cell r="I25">
            <v>-1416.8931942273152</v>
          </cell>
        </row>
        <row r="29">
          <cell r="I29">
            <v>908.31999999999994</v>
          </cell>
        </row>
        <row r="32">
          <cell r="I32">
            <v>207.70928875377132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3"/>
      <sheetName val="4.13.1"/>
    </sheetNames>
    <sheetDataSet>
      <sheetData sheetId="0">
        <row r="11">
          <cell r="I11">
            <v>35160.313630787663</v>
          </cell>
        </row>
        <row r="12">
          <cell r="I12">
            <v>167974.82608700372</v>
          </cell>
        </row>
        <row r="13">
          <cell r="I13">
            <v>3425661.1682416201</v>
          </cell>
        </row>
        <row r="14">
          <cell r="I14">
            <v>395581.40208438708</v>
          </cell>
        </row>
        <row r="17">
          <cell r="I17">
            <v>105808.56245657759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2"/>
      <sheetName val="4.12.1"/>
    </sheetNames>
    <sheetDataSet>
      <sheetData sheetId="0">
        <row r="11">
          <cell r="I11">
            <v>73178.965199999977</v>
          </cell>
        </row>
      </sheetData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1"/>
      <sheetName val="4.11.1"/>
    </sheetNames>
    <sheetDataSet>
      <sheetData sheetId="0">
        <row r="11">
          <cell r="I11">
            <v>1273483.376388011</v>
          </cell>
        </row>
        <row r="17">
          <cell r="I17">
            <v>414133.89288217115</v>
          </cell>
        </row>
        <row r="18">
          <cell r="I18">
            <v>-770947.16000000015</v>
          </cell>
        </row>
        <row r="20">
          <cell r="I20">
            <v>101821.44046879202</v>
          </cell>
        </row>
        <row r="21">
          <cell r="I21">
            <v>189550</v>
          </cell>
        </row>
        <row r="23">
          <cell r="I23">
            <v>1980275.1449545922</v>
          </cell>
        </row>
        <row r="24">
          <cell r="I24">
            <v>-706947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147"/>
  <sheetViews>
    <sheetView tabSelected="1" view="pageBreakPreview" zoomScale="80" zoomScaleNormal="80" zoomScaleSheetLayoutView="80" workbookViewId="0">
      <pane ySplit="7" topLeftCell="A8" activePane="bottomLeft" state="frozen"/>
      <selection activeCell="BD50" sqref="BD50"/>
      <selection pane="bottomLeft" activeCell="J26" sqref="J26"/>
    </sheetView>
  </sheetViews>
  <sheetFormatPr defaultColWidth="9.140625" defaultRowHeight="12.75" x14ac:dyDescent="0.2"/>
  <cols>
    <col min="1" max="1" width="40" style="20" customWidth="1"/>
    <col min="2" max="2" width="15.7109375" style="20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8.4257812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8.85546875" style="20" customWidth="1"/>
    <col min="15" max="15" width="9.140625" style="20"/>
    <col min="16" max="16" width="24.42578125" style="20" customWidth="1"/>
    <col min="17" max="16384" width="9.140625" style="20"/>
  </cols>
  <sheetData>
    <row r="1" spans="1:16" x14ac:dyDescent="0.2">
      <c r="A1" s="5" t="s">
        <v>41</v>
      </c>
    </row>
    <row r="2" spans="1:16" x14ac:dyDescent="0.2">
      <c r="A2" s="1" t="s">
        <v>264</v>
      </c>
    </row>
    <row r="3" spans="1:16" x14ac:dyDescent="0.2">
      <c r="A3" s="1" t="s">
        <v>351</v>
      </c>
    </row>
    <row r="4" spans="1:16" x14ac:dyDescent="0.2">
      <c r="A4" s="1"/>
    </row>
    <row r="5" spans="1:16" x14ac:dyDescent="0.2">
      <c r="A5" s="1"/>
      <c r="B5" s="40" t="s">
        <v>112</v>
      </c>
      <c r="C5" s="41"/>
      <c r="D5" s="40" t="s">
        <v>113</v>
      </c>
      <c r="E5" s="41"/>
      <c r="F5" s="40" t="s">
        <v>114</v>
      </c>
      <c r="G5" s="42"/>
      <c r="H5" s="40" t="s">
        <v>115</v>
      </c>
      <c r="I5" s="42"/>
      <c r="J5" s="40" t="s">
        <v>116</v>
      </c>
      <c r="K5" s="42"/>
      <c r="L5" s="40" t="s">
        <v>117</v>
      </c>
      <c r="M5" s="42"/>
      <c r="N5" s="40" t="s">
        <v>134</v>
      </c>
    </row>
    <row r="6" spans="1:16" x14ac:dyDescent="0.2">
      <c r="A6" s="1"/>
      <c r="B6" s="48" t="s">
        <v>121</v>
      </c>
      <c r="C6" s="49"/>
      <c r="D6" s="49"/>
      <c r="F6" s="49" t="s">
        <v>119</v>
      </c>
      <c r="H6" s="49"/>
      <c r="J6" s="50" t="s">
        <v>120</v>
      </c>
      <c r="L6" s="50"/>
      <c r="N6" s="50" t="s">
        <v>144</v>
      </c>
    </row>
    <row r="7" spans="1:16" ht="43.5" customHeight="1" x14ac:dyDescent="0.2">
      <c r="A7" s="21"/>
      <c r="B7" s="39" t="s">
        <v>118</v>
      </c>
      <c r="C7" s="39"/>
      <c r="D7" s="181" t="s">
        <v>109</v>
      </c>
      <c r="E7" s="39"/>
      <c r="F7" s="39" t="s">
        <v>110</v>
      </c>
      <c r="G7" s="39"/>
      <c r="H7" s="181" t="s">
        <v>215</v>
      </c>
      <c r="I7" s="39"/>
      <c r="J7" s="39" t="s">
        <v>111</v>
      </c>
      <c r="K7" s="39"/>
      <c r="L7" s="39" t="s">
        <v>132</v>
      </c>
      <c r="M7" s="39"/>
      <c r="N7" s="39" t="s">
        <v>133</v>
      </c>
    </row>
    <row r="8" spans="1:16" x14ac:dyDescent="0.2">
      <c r="A8" s="11" t="s">
        <v>44</v>
      </c>
      <c r="B8" s="9"/>
      <c r="C8" s="9"/>
      <c r="D8" s="9"/>
      <c r="F8" s="9"/>
      <c r="H8" s="9"/>
      <c r="J8" s="9"/>
      <c r="L8" s="9"/>
      <c r="N8" s="9"/>
    </row>
    <row r="9" spans="1:16" x14ac:dyDescent="0.2">
      <c r="A9" s="11" t="s">
        <v>45</v>
      </c>
      <c r="B9" s="13">
        <f>[2]Results!C11</f>
        <v>373551615.56999999</v>
      </c>
      <c r="C9" s="9"/>
      <c r="D9" s="9">
        <f>'Restating Adj'!B12</f>
        <v>31472700.330736585</v>
      </c>
      <c r="F9" s="9">
        <f>B9+D9</f>
        <v>405024315.90073657</v>
      </c>
      <c r="H9" s="9">
        <f>'Pro Forma Adj'!B12</f>
        <v>0</v>
      </c>
      <c r="J9" s="9">
        <f>F9+H9</f>
        <v>405024315.90073657</v>
      </c>
      <c r="K9" s="279"/>
      <c r="L9" s="9">
        <f>-(J37-(J64*Overall_ROR))/gross_up_factor</f>
        <v>26763219.120570686</v>
      </c>
      <c r="M9" s="279"/>
      <c r="N9" s="9">
        <f>J9+L9</f>
        <v>431787535.02130723</v>
      </c>
      <c r="P9" s="278">
        <f>J9-[1]Results!C10</f>
        <v>0</v>
      </c>
    </row>
    <row r="10" spans="1:16" x14ac:dyDescent="0.2">
      <c r="A10" s="11" t="s">
        <v>46</v>
      </c>
      <c r="B10" s="13">
        <f>[2]Results!C12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K10" s="279"/>
      <c r="L10" s="9"/>
      <c r="M10" s="279"/>
      <c r="N10" s="9">
        <f t="shared" ref="N10:N12" si="2">J10+L10</f>
        <v>0</v>
      </c>
      <c r="P10" s="279"/>
    </row>
    <row r="11" spans="1:16" x14ac:dyDescent="0.2">
      <c r="A11" s="11" t="s">
        <v>47</v>
      </c>
      <c r="B11" s="13">
        <f>[2]Results!C13</f>
        <v>1285828.8120363725</v>
      </c>
      <c r="C11" s="9"/>
      <c r="D11" s="9">
        <f>'Restating Adj'!B14</f>
        <v>0</v>
      </c>
      <c r="F11" s="9">
        <f t="shared" si="0"/>
        <v>1285828.8120363725</v>
      </c>
      <c r="H11" s="9">
        <f>'Pro Forma Adj'!B14</f>
        <v>19148484.22576125</v>
      </c>
      <c r="J11" s="9">
        <f t="shared" si="1"/>
        <v>20434313.037797622</v>
      </c>
      <c r="K11" s="279"/>
      <c r="L11" s="9"/>
      <c r="M11" s="279"/>
      <c r="N11" s="9">
        <f t="shared" si="2"/>
        <v>20434313.037797622</v>
      </c>
      <c r="P11" s="278"/>
    </row>
    <row r="12" spans="1:16" x14ac:dyDescent="0.2">
      <c r="A12" s="11" t="s">
        <v>48</v>
      </c>
      <c r="B12" s="13">
        <f>[2]Results!C14</f>
        <v>20011924.237952776</v>
      </c>
      <c r="C12" s="9"/>
      <c r="D12" s="9">
        <f>'Restating Adj'!B15</f>
        <v>-21606.74304644515</v>
      </c>
      <c r="F12" s="9">
        <f t="shared" si="0"/>
        <v>19990317.494906332</v>
      </c>
      <c r="H12" s="9">
        <f>'Pro Forma Adj'!B15</f>
        <v>664041.95894274942</v>
      </c>
      <c r="J12" s="9">
        <f t="shared" si="1"/>
        <v>20654359.453849081</v>
      </c>
      <c r="K12" s="279"/>
      <c r="L12" s="9"/>
      <c r="M12" s="279"/>
      <c r="N12" s="9">
        <f t="shared" si="2"/>
        <v>20654359.453849081</v>
      </c>
      <c r="P12" s="278"/>
    </row>
    <row r="13" spans="1:16" ht="13.5" thickBot="1" x14ac:dyDescent="0.25">
      <c r="A13" s="11" t="s">
        <v>49</v>
      </c>
      <c r="B13" s="10">
        <f>SUM(B9:B12)</f>
        <v>394849368.61998916</v>
      </c>
      <c r="C13" s="9"/>
      <c r="D13" s="10">
        <f>SUM(D9:D12)</f>
        <v>31451093.587690141</v>
      </c>
      <c r="F13" s="10">
        <f>SUM(F9:F12)</f>
        <v>426300462.20767927</v>
      </c>
      <c r="H13" s="10">
        <f>SUM(H9:H12)</f>
        <v>19812526.184703998</v>
      </c>
      <c r="J13" s="10">
        <f>SUM(J9:J12)</f>
        <v>446112988.39238328</v>
      </c>
      <c r="K13" s="279"/>
      <c r="L13" s="10">
        <f>SUM(L9:L12)</f>
        <v>26763219.120570686</v>
      </c>
      <c r="M13" s="279"/>
      <c r="N13" s="10">
        <f>SUM(N9:N12)</f>
        <v>472876207.51295394</v>
      </c>
      <c r="P13" s="278"/>
    </row>
    <row r="14" spans="1:16" ht="13.5" thickTop="1" x14ac:dyDescent="0.2">
      <c r="A14" s="11"/>
      <c r="B14" s="9"/>
      <c r="C14" s="9"/>
      <c r="D14" s="9"/>
      <c r="F14" s="9"/>
      <c r="H14" s="9"/>
      <c r="J14" s="9"/>
      <c r="K14" s="279"/>
      <c r="L14" s="9"/>
      <c r="M14" s="279"/>
      <c r="N14" s="9"/>
      <c r="P14" s="278"/>
    </row>
    <row r="15" spans="1:16" x14ac:dyDescent="0.2">
      <c r="A15" s="11" t="s">
        <v>50</v>
      </c>
      <c r="B15" s="9"/>
      <c r="C15" s="9"/>
      <c r="D15" s="9"/>
      <c r="F15" s="9"/>
      <c r="H15" s="9"/>
      <c r="J15" s="9"/>
      <c r="K15" s="279"/>
      <c r="L15" s="9"/>
      <c r="M15" s="279"/>
      <c r="N15" s="9"/>
      <c r="P15" s="278"/>
    </row>
    <row r="16" spans="1:16" x14ac:dyDescent="0.2">
      <c r="A16" s="11" t="s">
        <v>51</v>
      </c>
      <c r="B16" s="13">
        <f>[2]Results!C18</f>
        <v>59399957.533967733</v>
      </c>
      <c r="C16" s="9"/>
      <c r="D16" s="9">
        <f>'Restating Adj'!B19</f>
        <v>1095325.7945093364</v>
      </c>
      <c r="F16" s="9">
        <f t="shared" ref="F16:F25" si="3">B16+D16</f>
        <v>60495283.32847707</v>
      </c>
      <c r="H16" s="9">
        <f>'Pro Forma Adj'!B19</f>
        <v>-1663761.8632297679</v>
      </c>
      <c r="J16" s="9">
        <f t="shared" ref="J16:J25" si="4">F16+H16</f>
        <v>58831521.465247303</v>
      </c>
      <c r="K16" s="279"/>
      <c r="L16" s="9"/>
      <c r="M16" s="279"/>
      <c r="N16" s="9">
        <f t="shared" ref="N16:N25" si="5">J16+L16</f>
        <v>58831521.465247303</v>
      </c>
      <c r="P16" s="278"/>
    </row>
    <row r="17" spans="1:16" x14ac:dyDescent="0.2">
      <c r="A17" s="11" t="s">
        <v>52</v>
      </c>
      <c r="B17" s="13">
        <f>[2]Results!C19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K17" s="279"/>
      <c r="L17" s="9"/>
      <c r="M17" s="279"/>
      <c r="N17" s="9">
        <f t="shared" si="5"/>
        <v>0</v>
      </c>
      <c r="P17" s="278"/>
    </row>
    <row r="18" spans="1:16" x14ac:dyDescent="0.2">
      <c r="A18" s="11" t="s">
        <v>53</v>
      </c>
      <c r="B18" s="13">
        <f>[2]Results!C20</f>
        <v>1451885.6553336573</v>
      </c>
      <c r="C18" s="9"/>
      <c r="D18" s="9">
        <f>'Restating Adj'!B21</f>
        <v>1776039.1875827373</v>
      </c>
      <c r="F18" s="9">
        <f t="shared" si="3"/>
        <v>3227924.8429163946</v>
      </c>
      <c r="H18" s="9">
        <f>'Pro Forma Adj'!B21</f>
        <v>216688.95872025812</v>
      </c>
      <c r="J18" s="9">
        <f t="shared" si="4"/>
        <v>3444613.8016366526</v>
      </c>
      <c r="K18" s="279"/>
      <c r="L18" s="9"/>
      <c r="M18" s="279"/>
      <c r="N18" s="9">
        <f t="shared" si="5"/>
        <v>3444613.8016366526</v>
      </c>
      <c r="P18" s="278"/>
    </row>
    <row r="19" spans="1:16" x14ac:dyDescent="0.2">
      <c r="A19" s="11" t="s">
        <v>54</v>
      </c>
      <c r="B19" s="13">
        <f>[2]Results!C21</f>
        <v>124223582.91229668</v>
      </c>
      <c r="C19" s="9"/>
      <c r="D19" s="9">
        <f>'Restating Adj'!B22</f>
        <v>-7171811.8867383823</v>
      </c>
      <c r="F19" s="9">
        <f t="shared" si="3"/>
        <v>117051771.02555829</v>
      </c>
      <c r="H19" s="9">
        <f>'Pro Forma Adj'!B22</f>
        <v>59052667.089417547</v>
      </c>
      <c r="J19" s="9">
        <f t="shared" si="4"/>
        <v>176104438.11497584</v>
      </c>
      <c r="K19" s="279"/>
      <c r="L19" s="9"/>
      <c r="M19" s="279"/>
      <c r="N19" s="9">
        <f t="shared" si="5"/>
        <v>176104438.11497584</v>
      </c>
      <c r="P19" s="278"/>
    </row>
    <row r="20" spans="1:16" x14ac:dyDescent="0.2">
      <c r="A20" s="11" t="s">
        <v>55</v>
      </c>
      <c r="B20" s="13">
        <f>[2]Results!C22</f>
        <v>18668674.704801075</v>
      </c>
      <c r="C20" s="9"/>
      <c r="D20" s="9">
        <f>'Restating Adj'!B23</f>
        <v>37087.187348888561</v>
      </c>
      <c r="F20" s="9">
        <f t="shared" si="3"/>
        <v>18705761.892149962</v>
      </c>
      <c r="H20" s="9">
        <f>'Pro Forma Adj'!B23</f>
        <v>1276344.0453904099</v>
      </c>
      <c r="J20" s="9">
        <f t="shared" si="4"/>
        <v>19982105.937540371</v>
      </c>
      <c r="K20" s="279"/>
      <c r="L20" s="9"/>
      <c r="M20" s="279"/>
      <c r="N20" s="9">
        <f t="shared" si="5"/>
        <v>19982105.937540371</v>
      </c>
      <c r="P20" s="278"/>
    </row>
    <row r="21" spans="1:16" x14ac:dyDescent="0.2">
      <c r="A21" s="11" t="s">
        <v>56</v>
      </c>
      <c r="B21" s="13">
        <f>[2]Results!C23</f>
        <v>14095287.65784201</v>
      </c>
      <c r="C21" s="9"/>
      <c r="D21" s="9">
        <f>'Restating Adj'!B24</f>
        <v>149316.59718380499</v>
      </c>
      <c r="F21" s="9">
        <f t="shared" si="3"/>
        <v>14244604.255025815</v>
      </c>
      <c r="H21" s="9">
        <f>'Pro Forma Adj'!B24</f>
        <v>4346285.8129516896</v>
      </c>
      <c r="J21" s="9">
        <f t="shared" si="4"/>
        <v>18590890.067977503</v>
      </c>
      <c r="K21" s="279"/>
      <c r="L21" s="9"/>
      <c r="M21" s="279"/>
      <c r="N21" s="9">
        <f t="shared" si="5"/>
        <v>18590890.067977503</v>
      </c>
      <c r="P21" s="278"/>
    </row>
    <row r="22" spans="1:16" x14ac:dyDescent="0.2">
      <c r="A22" s="11" t="s">
        <v>57</v>
      </c>
      <c r="B22" s="13">
        <f>[2]Results!C24</f>
        <v>6726004.9395781606</v>
      </c>
      <c r="C22" s="9"/>
      <c r="D22" s="9">
        <f>'Restating Adj'!B25</f>
        <v>-197738.65332847723</v>
      </c>
      <c r="F22" s="9">
        <f t="shared" si="3"/>
        <v>6528266.2862496832</v>
      </c>
      <c r="H22" s="9">
        <f>'Pro Forma Adj'!B25</f>
        <v>225350.65996252821</v>
      </c>
      <c r="J22" s="9">
        <f t="shared" si="4"/>
        <v>6753616.9462122116</v>
      </c>
      <c r="K22" s="279"/>
      <c r="L22" s="9">
        <f>L9*uncollectible_perc</f>
        <v>149761.7455713769</v>
      </c>
      <c r="M22" s="279"/>
      <c r="N22" s="9">
        <f t="shared" si="5"/>
        <v>6903378.6917835884</v>
      </c>
      <c r="P22" s="278"/>
    </row>
    <row r="23" spans="1:16" x14ac:dyDescent="0.2">
      <c r="A23" s="11" t="s">
        <v>58</v>
      </c>
      <c r="B23" s="13">
        <f>[2]Results!C25</f>
        <v>664976.96386129013</v>
      </c>
      <c r="C23" s="9"/>
      <c r="D23" s="9">
        <f>'Restating Adj'!B26</f>
        <v>21803.306990815341</v>
      </c>
      <c r="F23" s="9">
        <f t="shared" si="3"/>
        <v>686780.27085210546</v>
      </c>
      <c r="H23" s="9">
        <f>'Pro Forma Adj'!B26</f>
        <v>22913.064438068472</v>
      </c>
      <c r="J23" s="9">
        <f t="shared" si="4"/>
        <v>709693.33529017388</v>
      </c>
      <c r="K23" s="279"/>
      <c r="L23" s="9"/>
      <c r="M23" s="279"/>
      <c r="N23" s="9">
        <f t="shared" si="5"/>
        <v>709693.33529017388</v>
      </c>
      <c r="P23" s="278"/>
    </row>
    <row r="24" spans="1:16" x14ac:dyDescent="0.2">
      <c r="A24" s="11" t="s">
        <v>59</v>
      </c>
      <c r="B24" s="13">
        <f>[2]Results!C26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K24" s="279"/>
      <c r="L24" s="9"/>
      <c r="M24" s="279"/>
      <c r="N24" s="9">
        <f t="shared" si="5"/>
        <v>0</v>
      </c>
      <c r="P24" s="278"/>
    </row>
    <row r="25" spans="1:16" x14ac:dyDescent="0.2">
      <c r="A25" s="11" t="s">
        <v>60</v>
      </c>
      <c r="B25" s="13">
        <f>[2]Results!C27</f>
        <v>17574535.448868852</v>
      </c>
      <c r="C25" s="9"/>
      <c r="D25" s="9">
        <f>'Restating Adj'!B28</f>
        <v>1397511.8869547788</v>
      </c>
      <c r="F25" s="9">
        <f t="shared" si="3"/>
        <v>18972047.335823633</v>
      </c>
      <c r="H25" s="9">
        <f>'Pro Forma Adj'!B28</f>
        <v>-3774965.298066901</v>
      </c>
      <c r="J25" s="9">
        <f t="shared" si="4"/>
        <v>15197082.037756732</v>
      </c>
      <c r="K25" s="279"/>
      <c r="L25" s="9"/>
      <c r="M25" s="279"/>
      <c r="N25" s="9">
        <f t="shared" si="5"/>
        <v>15197082.037756732</v>
      </c>
      <c r="P25" s="278"/>
    </row>
    <row r="26" spans="1:16" x14ac:dyDescent="0.2">
      <c r="A26" s="11" t="s">
        <v>61</v>
      </c>
      <c r="B26" s="7">
        <f>SUM(B16:B25)</f>
        <v>242804905.81654945</v>
      </c>
      <c r="C26" s="9"/>
      <c r="D26" s="7">
        <f>SUM(D16:D25)</f>
        <v>-2892466.5794964992</v>
      </c>
      <c r="F26" s="7">
        <f>SUM(F16:F25)</f>
        <v>239912439.23705295</v>
      </c>
      <c r="H26" s="7">
        <f>SUM(H16:H25)</f>
        <v>59701522.469583839</v>
      </c>
      <c r="J26" s="7">
        <f>SUM(J16:J25)</f>
        <v>299613961.70663685</v>
      </c>
      <c r="K26" s="279"/>
      <c r="L26" s="7">
        <f>SUM(L16:L25)</f>
        <v>149761.7455713769</v>
      </c>
      <c r="M26" s="279"/>
      <c r="N26" s="7">
        <f>SUM(N16:N25)</f>
        <v>299763723.45220822</v>
      </c>
      <c r="P26" s="278"/>
    </row>
    <row r="27" spans="1:16" x14ac:dyDescent="0.2">
      <c r="A27" s="11" t="s">
        <v>62</v>
      </c>
      <c r="B27" s="13">
        <f>[2]Results!C29</f>
        <v>67617924.859086528</v>
      </c>
      <c r="C27" s="9"/>
      <c r="D27" s="13">
        <f>'Restating Adj'!B30</f>
        <v>0</v>
      </c>
      <c r="F27" s="9">
        <f t="shared" ref="F27:F29" si="6">B27+D27</f>
        <v>67617924.859086528</v>
      </c>
      <c r="H27" s="9">
        <f>'Pro Forma Adj'!B30</f>
        <v>-11998389.233632291</v>
      </c>
      <c r="J27" s="9">
        <f t="shared" ref="J27:J29" si="7">F27+H27</f>
        <v>55619535.62545424</v>
      </c>
      <c r="K27" s="279"/>
      <c r="L27" s="9"/>
      <c r="M27" s="279"/>
      <c r="N27" s="9">
        <f t="shared" ref="N27:N34" si="8">J27+L27</f>
        <v>55619535.62545424</v>
      </c>
      <c r="P27" s="278"/>
    </row>
    <row r="28" spans="1:16" x14ac:dyDescent="0.2">
      <c r="A28" s="11" t="s">
        <v>63</v>
      </c>
      <c r="B28" s="13">
        <f>[2]Results!C30</f>
        <v>4068762.4448733251</v>
      </c>
      <c r="C28" s="9"/>
      <c r="D28" s="13">
        <f>'Restating Adj'!B31</f>
        <v>3700582.6343244445</v>
      </c>
      <c r="F28" s="9">
        <f t="shared" si="6"/>
        <v>7769345.07919777</v>
      </c>
      <c r="H28" s="13">
        <f>'Pro Forma Adj'!B31</f>
        <v>7703313.6481057769</v>
      </c>
      <c r="J28" s="9">
        <f t="shared" si="7"/>
        <v>15472658.727303546</v>
      </c>
      <c r="K28" s="279"/>
      <c r="L28" s="9"/>
      <c r="M28" s="279"/>
      <c r="N28" s="9">
        <f t="shared" si="8"/>
        <v>15472658.727303546</v>
      </c>
      <c r="P28" s="278"/>
    </row>
    <row r="29" spans="1:16" x14ac:dyDescent="0.2">
      <c r="A29" s="11" t="s">
        <v>64</v>
      </c>
      <c r="B29" s="13">
        <f>[2]Results!C31</f>
        <v>26622826.535992358</v>
      </c>
      <c r="C29" s="9"/>
      <c r="D29" s="13">
        <f>'Restating Adj'!B32</f>
        <v>1214411.2456543308</v>
      </c>
      <c r="F29" s="9">
        <f t="shared" si="6"/>
        <v>27837237.781646688</v>
      </c>
      <c r="H29" s="13">
        <f>'Pro Forma Adj'!B32</f>
        <v>1060921.9023400173</v>
      </c>
      <c r="J29" s="9">
        <f t="shared" si="7"/>
        <v>28898159.683986705</v>
      </c>
      <c r="K29" s="279"/>
      <c r="L29" s="9">
        <f>L9*(WUTC_reg_fee_perc+WA_rev_tax_perc)</f>
        <v>1143699.4058984676</v>
      </c>
      <c r="M29" s="279"/>
      <c r="N29" s="9">
        <f t="shared" si="8"/>
        <v>30041859.089885172</v>
      </c>
      <c r="P29" s="278"/>
    </row>
    <row r="30" spans="1:16" x14ac:dyDescent="0.2">
      <c r="A30" s="11" t="s">
        <v>65</v>
      </c>
      <c r="B30" s="13">
        <f>[2]Results!C32</f>
        <v>-11584544.100133309</v>
      </c>
      <c r="C30" s="9"/>
      <c r="D30" s="13">
        <f>D84</f>
        <v>18175763.888751026</v>
      </c>
      <c r="F30" s="13">
        <f>F84</f>
        <v>6591219.7886177115</v>
      </c>
      <c r="H30" s="13">
        <f>H84</f>
        <v>-20783660.452388313</v>
      </c>
      <c r="J30" s="13">
        <f>J84</f>
        <v>-14192440.624534005</v>
      </c>
      <c r="K30" s="279"/>
      <c r="L30" s="13">
        <f>L84</f>
        <v>5348649.1735111764</v>
      </c>
      <c r="M30" s="13">
        <f>M84</f>
        <v>0</v>
      </c>
      <c r="N30" s="13">
        <f>N84</f>
        <v>-8843791.4902594425</v>
      </c>
      <c r="P30" s="278"/>
    </row>
    <row r="31" spans="1:16" x14ac:dyDescent="0.2">
      <c r="A31" s="11" t="s">
        <v>66</v>
      </c>
      <c r="B31" s="13">
        <f>[2]Results!C33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K31" s="279"/>
      <c r="L31" s="9">
        <f>L79</f>
        <v>0</v>
      </c>
      <c r="M31" s="279"/>
      <c r="N31" s="9">
        <f>N79</f>
        <v>0</v>
      </c>
      <c r="P31" s="278"/>
    </row>
    <row r="32" spans="1:16" x14ac:dyDescent="0.2">
      <c r="A32" s="11" t="s">
        <v>67</v>
      </c>
      <c r="B32" s="13">
        <f>[2]Results!C34</f>
        <v>-2401026.3881861214</v>
      </c>
      <c r="C32" s="9"/>
      <c r="D32" s="13">
        <f>'Restating Adj'!B35</f>
        <v>511979.77277357085</v>
      </c>
      <c r="F32" s="9">
        <f t="shared" ref="F32:F34" si="9">B32+D32</f>
        <v>-1889046.6154125505</v>
      </c>
      <c r="H32" s="13">
        <f>'Pro Forma Adj'!B35</f>
        <v>-822707.8968957602</v>
      </c>
      <c r="J32" s="9">
        <f t="shared" ref="J32:J34" si="10">F32+H32</f>
        <v>-2711754.5123083107</v>
      </c>
      <c r="K32" s="279"/>
      <c r="L32" s="9"/>
      <c r="M32" s="279"/>
      <c r="N32" s="9">
        <f t="shared" si="8"/>
        <v>-2711754.5123083107</v>
      </c>
      <c r="P32" s="278"/>
    </row>
    <row r="33" spans="1:16" x14ac:dyDescent="0.2">
      <c r="A33" s="11" t="s">
        <v>68</v>
      </c>
      <c r="B33" s="13">
        <f>[2]Results!C35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K33" s="279"/>
      <c r="L33" s="9"/>
      <c r="M33" s="279"/>
      <c r="N33" s="9">
        <f t="shared" si="8"/>
        <v>0</v>
      </c>
      <c r="P33" s="278"/>
    </row>
    <row r="34" spans="1:16" x14ac:dyDescent="0.2">
      <c r="A34" s="11" t="s">
        <v>69</v>
      </c>
      <c r="B34" s="13">
        <f>[2]Results!C36</f>
        <v>-180134.20441316953</v>
      </c>
      <c r="C34" s="9"/>
      <c r="D34" s="13">
        <f>'Restating Adj'!B37</f>
        <v>81875.040256100925</v>
      </c>
      <c r="F34" s="9">
        <f t="shared" si="9"/>
        <v>-98259.164157068604</v>
      </c>
      <c r="H34" s="9">
        <f>'Pro Forma Adj'!B37</f>
        <v>0</v>
      </c>
      <c r="J34" s="9">
        <f t="shared" si="10"/>
        <v>-98259.164157068604</v>
      </c>
      <c r="K34" s="279"/>
      <c r="L34" s="9"/>
      <c r="M34" s="279"/>
      <c r="N34" s="9">
        <f t="shared" si="8"/>
        <v>-98259.164157068604</v>
      </c>
      <c r="P34" s="278"/>
    </row>
    <row r="35" spans="1:16" x14ac:dyDescent="0.2">
      <c r="A35" s="11" t="s">
        <v>70</v>
      </c>
      <c r="B35" s="7">
        <f>SUM(B26:B34)</f>
        <v>326948714.96376914</v>
      </c>
      <c r="C35" s="9"/>
      <c r="D35" s="179">
        <f>SUM(D26:D34)</f>
        <v>20792146.002262976</v>
      </c>
      <c r="F35" s="7">
        <f>SUM(F26:F34)</f>
        <v>347740860.96603203</v>
      </c>
      <c r="H35" s="7">
        <f>SUM(H26:H34)</f>
        <v>34861000.437113278</v>
      </c>
      <c r="J35" s="7">
        <f>SUM(J26:J34)</f>
        <v>382601861.44238198</v>
      </c>
      <c r="K35" s="279"/>
      <c r="L35" s="7">
        <f>SUM(L26:L34)</f>
        <v>6642110.3249810208</v>
      </c>
      <c r="M35" s="279"/>
      <c r="N35" s="7">
        <f>SUM(N26:N34)</f>
        <v>389243971.72812635</v>
      </c>
      <c r="P35" s="278"/>
    </row>
    <row r="36" spans="1:16" x14ac:dyDescent="0.2">
      <c r="A36" s="11"/>
      <c r="B36" s="9"/>
      <c r="C36" s="9"/>
      <c r="D36" s="13"/>
      <c r="F36" s="9"/>
      <c r="H36" s="9"/>
      <c r="J36" s="9"/>
      <c r="K36" s="279"/>
      <c r="L36" s="9"/>
      <c r="M36" s="279"/>
      <c r="N36" s="9"/>
      <c r="P36" s="278"/>
    </row>
    <row r="37" spans="1:16" ht="13.5" thickBot="1" x14ac:dyDescent="0.25">
      <c r="A37" s="11" t="s">
        <v>71</v>
      </c>
      <c r="B37" s="10">
        <f>B13-B35</f>
        <v>67900653.656220019</v>
      </c>
      <c r="C37" s="9"/>
      <c r="D37" s="180">
        <f>D13-D35</f>
        <v>10658947.585427165</v>
      </c>
      <c r="F37" s="10">
        <f>F13-F35</f>
        <v>78559601.241647243</v>
      </c>
      <c r="H37" s="10">
        <f>H13-H35</f>
        <v>-15048474.252409279</v>
      </c>
      <c r="J37" s="10">
        <f>J13-J35</f>
        <v>63511126.950001299</v>
      </c>
      <c r="K37" s="279"/>
      <c r="L37" s="10">
        <f>L13-L35</f>
        <v>20121108.795589663</v>
      </c>
      <c r="M37" s="279"/>
      <c r="N37" s="10">
        <f>N13-N35</f>
        <v>83632235.78482759</v>
      </c>
      <c r="P37" s="278"/>
    </row>
    <row r="38" spans="1:16" ht="13.5" thickTop="1" x14ac:dyDescent="0.2">
      <c r="A38" s="11"/>
      <c r="B38" s="9"/>
      <c r="C38" s="9"/>
      <c r="D38" s="13"/>
      <c r="F38" s="9"/>
      <c r="H38" s="9"/>
      <c r="J38" s="9"/>
      <c r="K38" s="279"/>
      <c r="L38" s="9"/>
      <c r="M38" s="279"/>
      <c r="N38" s="9"/>
      <c r="P38" s="278"/>
    </row>
    <row r="39" spans="1:16" x14ac:dyDescent="0.2">
      <c r="A39" s="11" t="s">
        <v>72</v>
      </c>
      <c r="B39" s="9"/>
      <c r="C39" s="9"/>
      <c r="D39" s="9"/>
      <c r="F39" s="9"/>
      <c r="H39" s="9"/>
      <c r="J39" s="9"/>
      <c r="K39" s="279"/>
      <c r="L39" s="9"/>
      <c r="M39" s="279"/>
      <c r="N39" s="9"/>
      <c r="P39" s="278"/>
    </row>
    <row r="40" spans="1:16" x14ac:dyDescent="0.2">
      <c r="A40" s="11" t="s">
        <v>73</v>
      </c>
      <c r="B40" s="13">
        <f>[2]Results!C42</f>
        <v>2263546946.4584427</v>
      </c>
      <c r="C40" s="9"/>
      <c r="D40" s="9">
        <f>'Restating Adj'!B43</f>
        <v>-337397047.2847805</v>
      </c>
      <c r="F40" s="9">
        <f t="shared" ref="F40:F50" si="11">B40+D40</f>
        <v>1926149899.1736622</v>
      </c>
      <c r="H40" s="9">
        <f>'Pro Forma Adj'!B43</f>
        <v>482391789.56799555</v>
      </c>
      <c r="J40" s="9">
        <f t="shared" ref="J40:J50" si="12">F40+H40</f>
        <v>2408541688.7416577</v>
      </c>
      <c r="K40" s="279"/>
      <c r="L40" s="9"/>
      <c r="M40" s="279"/>
      <c r="N40" s="9">
        <f t="shared" ref="N40:N50" si="13">J40+L40</f>
        <v>2408541688.7416577</v>
      </c>
      <c r="P40" s="278"/>
    </row>
    <row r="41" spans="1:16" x14ac:dyDescent="0.2">
      <c r="A41" s="11" t="s">
        <v>74</v>
      </c>
      <c r="B41" s="13">
        <f>[2]Results!C43</f>
        <v>467184.71621561563</v>
      </c>
      <c r="C41" s="9"/>
      <c r="D41" s="9">
        <f>'Restating Adj'!B44</f>
        <v>0</v>
      </c>
      <c r="F41" s="9">
        <f t="shared" si="11"/>
        <v>467184.71621561563</v>
      </c>
      <c r="H41" s="9">
        <f>'Pro Forma Adj'!B44</f>
        <v>0</v>
      </c>
      <c r="J41" s="9">
        <f t="shared" si="12"/>
        <v>467184.71621561563</v>
      </c>
      <c r="K41" s="279"/>
      <c r="L41" s="9"/>
      <c r="M41" s="279"/>
      <c r="N41" s="9">
        <f t="shared" si="13"/>
        <v>467184.71621561563</v>
      </c>
      <c r="P41" s="278"/>
    </row>
    <row r="42" spans="1:16" x14ac:dyDescent="0.2">
      <c r="A42" s="11" t="s">
        <v>75</v>
      </c>
      <c r="B42" s="13">
        <f>[2]Results!C44</f>
        <v>9959813.7233746387</v>
      </c>
      <c r="C42" s="9"/>
      <c r="D42" s="9">
        <f>'Restating Adj'!B45</f>
        <v>-9959813.7233746424</v>
      </c>
      <c r="F42" s="9">
        <f t="shared" si="11"/>
        <v>0</v>
      </c>
      <c r="H42" s="9">
        <f>'Pro Forma Adj'!B45</f>
        <v>392246.6085648014</v>
      </c>
      <c r="J42" s="9">
        <f t="shared" si="12"/>
        <v>392246.6085648014</v>
      </c>
      <c r="K42" s="279"/>
      <c r="L42" s="9"/>
      <c r="M42" s="279"/>
      <c r="N42" s="9">
        <f t="shared" si="13"/>
        <v>392246.6085648014</v>
      </c>
      <c r="P42" s="278"/>
    </row>
    <row r="43" spans="1:16" x14ac:dyDescent="0.2">
      <c r="A43" s="11" t="s">
        <v>76</v>
      </c>
      <c r="B43" s="13">
        <f>[2]Results!C45</f>
        <v>115844.19848648913</v>
      </c>
      <c r="C43" s="9"/>
      <c r="D43" s="9">
        <f>'Restating Adj'!B46</f>
        <v>0</v>
      </c>
      <c r="F43" s="9">
        <f t="shared" si="11"/>
        <v>115844.19848648913</v>
      </c>
      <c r="H43" s="9">
        <f>'Pro Forma Adj'!B46</f>
        <v>0</v>
      </c>
      <c r="J43" s="9">
        <f t="shared" si="12"/>
        <v>115844.19848648913</v>
      </c>
      <c r="K43" s="279"/>
      <c r="L43" s="9"/>
      <c r="M43" s="279"/>
      <c r="N43" s="9">
        <f t="shared" si="13"/>
        <v>115844.19848648913</v>
      </c>
      <c r="P43" s="278"/>
    </row>
    <row r="44" spans="1:16" x14ac:dyDescent="0.2">
      <c r="A44" s="11" t="s">
        <v>77</v>
      </c>
      <c r="B44" s="13">
        <f>[2]Results!C46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K44" s="279"/>
      <c r="L44" s="9"/>
      <c r="M44" s="279"/>
      <c r="N44" s="9">
        <f t="shared" si="13"/>
        <v>0</v>
      </c>
      <c r="P44" s="278"/>
    </row>
    <row r="45" spans="1:16" x14ac:dyDescent="0.2">
      <c r="A45" s="11" t="s">
        <v>78</v>
      </c>
      <c r="B45" s="13">
        <f>[2]Results!C47</f>
        <v>3284761.1438008379</v>
      </c>
      <c r="C45" s="9"/>
      <c r="D45" s="9">
        <f>'Restating Adj'!B48</f>
        <v>-3284761.1438008333</v>
      </c>
      <c r="F45" s="9">
        <f t="shared" si="11"/>
        <v>4.6566128730773926E-9</v>
      </c>
      <c r="H45" s="9">
        <f>'Pro Forma Adj'!B48</f>
        <v>0</v>
      </c>
      <c r="J45" s="9">
        <f t="shared" si="12"/>
        <v>4.6566128730773926E-9</v>
      </c>
      <c r="K45" s="279"/>
      <c r="L45" s="9"/>
      <c r="M45" s="279"/>
      <c r="N45" s="9">
        <f t="shared" si="13"/>
        <v>4.6566128730773926E-9</v>
      </c>
      <c r="P45" s="278"/>
    </row>
    <row r="46" spans="1:16" x14ac:dyDescent="0.2">
      <c r="A46" s="11" t="s">
        <v>79</v>
      </c>
      <c r="B46" s="13">
        <f>[2]Results!C48</f>
        <v>9196314.682773713</v>
      </c>
      <c r="C46" s="9"/>
      <c r="D46" s="9">
        <f>'Restating Adj'!B49</f>
        <v>-9196314.6827737149</v>
      </c>
      <c r="F46" s="9">
        <f t="shared" si="11"/>
        <v>0</v>
      </c>
      <c r="H46" s="9">
        <f>'Pro Forma Adj'!B49</f>
        <v>0</v>
      </c>
      <c r="J46" s="9">
        <f t="shared" si="12"/>
        <v>0</v>
      </c>
      <c r="K46" s="279"/>
      <c r="L46" s="9"/>
      <c r="M46" s="279"/>
      <c r="N46" s="9">
        <f t="shared" si="13"/>
        <v>0</v>
      </c>
      <c r="P46" s="278"/>
    </row>
    <row r="47" spans="1:16" x14ac:dyDescent="0.2">
      <c r="A47" s="11" t="s">
        <v>80</v>
      </c>
      <c r="B47" s="13">
        <f>[2]Results!C49</f>
        <v>12260466.638808388</v>
      </c>
      <c r="C47" s="9"/>
      <c r="D47" s="9">
        <f>'Restating Adj'!B50</f>
        <v>-12260466.638721503</v>
      </c>
      <c r="F47" s="9">
        <f t="shared" si="11"/>
        <v>8.6884945631027222E-5</v>
      </c>
      <c r="H47" s="9">
        <f>'Pro Forma Adj'!B50</f>
        <v>0</v>
      </c>
      <c r="J47" s="9">
        <f t="shared" si="12"/>
        <v>8.6884945631027222E-5</v>
      </c>
      <c r="K47" s="279"/>
      <c r="L47" s="9"/>
      <c r="M47" s="279"/>
      <c r="N47" s="9">
        <f t="shared" si="13"/>
        <v>8.6884945631027222E-5</v>
      </c>
      <c r="P47" s="278"/>
    </row>
    <row r="48" spans="1:16" x14ac:dyDescent="0.2">
      <c r="A48" s="11" t="s">
        <v>81</v>
      </c>
      <c r="B48" s="13">
        <f>[2]Results!C50</f>
        <v>2747159.4147250163</v>
      </c>
      <c r="C48" s="9"/>
      <c r="D48" s="9">
        <f>'Restating Adj'!B51</f>
        <v>27126509.002465546</v>
      </c>
      <c r="F48" s="9">
        <f t="shared" si="11"/>
        <v>29873668.417190563</v>
      </c>
      <c r="H48" s="9">
        <f>'Pro Forma Adj'!B51</f>
        <v>0</v>
      </c>
      <c r="J48" s="9">
        <f t="shared" si="12"/>
        <v>29873668.417190563</v>
      </c>
      <c r="K48" s="279"/>
      <c r="L48" s="9"/>
      <c r="M48" s="279"/>
      <c r="N48" s="9">
        <f t="shared" si="13"/>
        <v>29873668.417190563</v>
      </c>
      <c r="P48" s="278"/>
    </row>
    <row r="49" spans="1:16" x14ac:dyDescent="0.2">
      <c r="A49" s="11" t="s">
        <v>82</v>
      </c>
      <c r="B49" s="13">
        <f>[2]Results!C51</f>
        <v>3311.89</v>
      </c>
      <c r="C49" s="9"/>
      <c r="D49" s="9">
        <f>'Restating Adj'!B52</f>
        <v>0</v>
      </c>
      <c r="F49" s="9">
        <f t="shared" si="11"/>
        <v>3311.89</v>
      </c>
      <c r="H49" s="9">
        <f>'Pro Forma Adj'!B52</f>
        <v>0</v>
      </c>
      <c r="J49" s="9">
        <f t="shared" si="12"/>
        <v>3311.89</v>
      </c>
      <c r="K49" s="279"/>
      <c r="L49" s="9"/>
      <c r="M49" s="279"/>
      <c r="N49" s="9">
        <f t="shared" si="13"/>
        <v>3311.89</v>
      </c>
      <c r="P49" s="278"/>
    </row>
    <row r="50" spans="1:16" x14ac:dyDescent="0.2">
      <c r="A50" s="11" t="s">
        <v>83</v>
      </c>
      <c r="B50" s="13">
        <f>[2]Results!C52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K50" s="279"/>
      <c r="L50" s="9"/>
      <c r="M50" s="279"/>
      <c r="N50" s="9">
        <f t="shared" si="13"/>
        <v>0</v>
      </c>
      <c r="P50" s="278"/>
    </row>
    <row r="51" spans="1:16" ht="13.5" thickBot="1" x14ac:dyDescent="0.25">
      <c r="A51" s="11" t="s">
        <v>84</v>
      </c>
      <c r="B51" s="10">
        <f>SUM(B40:B50)</f>
        <v>2301581802.8666267</v>
      </c>
      <c r="C51" s="9"/>
      <c r="D51" s="10">
        <f>SUM(D40:D50)</f>
        <v>-344971894.47098571</v>
      </c>
      <c r="F51" s="10">
        <f>SUM(F40:F50)</f>
        <v>1956609908.3956418</v>
      </c>
      <c r="H51" s="10">
        <f>SUM(H40:H50)</f>
        <v>482784036.17656034</v>
      </c>
      <c r="J51" s="10">
        <f>SUM(J40:J50)</f>
        <v>2439393944.5722017</v>
      </c>
      <c r="K51" s="279"/>
      <c r="L51" s="10">
        <f>SUM(L40:L50)</f>
        <v>0</v>
      </c>
      <c r="M51" s="279"/>
      <c r="N51" s="10">
        <f>SUM(N40:N50)</f>
        <v>2439393944.5722017</v>
      </c>
      <c r="P51" s="278"/>
    </row>
    <row r="52" spans="1:16" ht="13.5" thickTop="1" x14ac:dyDescent="0.2">
      <c r="A52" s="11"/>
      <c r="B52" s="9"/>
      <c r="C52" s="9"/>
      <c r="D52" s="9"/>
      <c r="F52" s="9"/>
      <c r="H52" s="9"/>
      <c r="J52" s="9"/>
      <c r="K52" s="279"/>
      <c r="L52" s="9"/>
      <c r="M52" s="279"/>
      <c r="N52" s="9"/>
      <c r="P52" s="278"/>
    </row>
    <row r="53" spans="1:16" x14ac:dyDescent="0.2">
      <c r="A53" s="11" t="s">
        <v>85</v>
      </c>
      <c r="B53" s="9"/>
      <c r="C53" s="9"/>
      <c r="D53" s="9"/>
      <c r="F53" s="9"/>
      <c r="H53" s="9"/>
      <c r="J53" s="9"/>
      <c r="K53" s="279"/>
      <c r="L53" s="9"/>
      <c r="M53" s="279"/>
      <c r="N53" s="9"/>
      <c r="P53" s="278"/>
    </row>
    <row r="54" spans="1:16" x14ac:dyDescent="0.2">
      <c r="A54" s="11" t="s">
        <v>86</v>
      </c>
      <c r="B54" s="13">
        <f>[2]Results!C56</f>
        <v>-750094987.07093287</v>
      </c>
      <c r="C54" s="9"/>
      <c r="D54" s="9">
        <f>'Restating Adj'!B57</f>
        <v>142190073.21610382</v>
      </c>
      <c r="F54" s="9">
        <f t="shared" ref="F54:F60" si="14">B54+D54</f>
        <v>-607904913.85482907</v>
      </c>
      <c r="H54" s="9">
        <f>'Pro Forma Adj'!B57</f>
        <v>-397596192.47010535</v>
      </c>
      <c r="J54" s="9">
        <f t="shared" ref="J54:J60" si="15">F54+H54</f>
        <v>-1005501106.3249345</v>
      </c>
      <c r="K54" s="279"/>
      <c r="L54" s="9"/>
      <c r="M54" s="279"/>
      <c r="N54" s="9">
        <f t="shared" ref="N54:N61" si="16">J54+L54</f>
        <v>-1005501106.3249345</v>
      </c>
      <c r="P54" s="278"/>
    </row>
    <row r="55" spans="1:16" x14ac:dyDescent="0.2">
      <c r="A55" s="11" t="s">
        <v>87</v>
      </c>
      <c r="B55" s="13">
        <f>[2]Results!C57</f>
        <v>-55896700.377980158</v>
      </c>
      <c r="C55" s="9"/>
      <c r="D55" s="9">
        <f>'Restating Adj'!B58</f>
        <v>-1545676.0641232664</v>
      </c>
      <c r="F55" s="9">
        <f t="shared" si="14"/>
        <v>-57442376.442103423</v>
      </c>
      <c r="H55" s="9">
        <f>'Pro Forma Adj'!B58</f>
        <v>-7490520.9057901539</v>
      </c>
      <c r="J55" s="9">
        <f t="shared" si="15"/>
        <v>-64932897.347893581</v>
      </c>
      <c r="K55" s="279"/>
      <c r="L55" s="9"/>
      <c r="M55" s="279"/>
      <c r="N55" s="9">
        <f t="shared" si="16"/>
        <v>-64932897.347893581</v>
      </c>
      <c r="P55" s="278"/>
    </row>
    <row r="56" spans="1:16" x14ac:dyDescent="0.2">
      <c r="A56" s="11" t="s">
        <v>88</v>
      </c>
      <c r="B56" s="13">
        <f>[2]Results!C58</f>
        <v>-161876853.08065826</v>
      </c>
      <c r="C56" s="9"/>
      <c r="D56" s="9">
        <f>'Restating Adj'!B59</f>
        <v>-2150455.7059734226</v>
      </c>
      <c r="F56" s="9">
        <f t="shared" si="14"/>
        <v>-164027308.78663167</v>
      </c>
      <c r="H56" s="9">
        <f>'Pro Forma Adj'!B59</f>
        <v>-928599.56466116162</v>
      </c>
      <c r="J56" s="9">
        <f t="shared" si="15"/>
        <v>-164955908.35129285</v>
      </c>
      <c r="K56" s="279"/>
      <c r="L56" s="9"/>
      <c r="M56" s="279"/>
      <c r="N56" s="9">
        <f t="shared" si="16"/>
        <v>-164955908.35129285</v>
      </c>
      <c r="P56" s="278"/>
    </row>
    <row r="57" spans="1:16" x14ac:dyDescent="0.2">
      <c r="A57" s="11" t="s">
        <v>89</v>
      </c>
      <c r="B57" s="13">
        <f>[2]Results!C59</f>
        <v>-14943.338687945423</v>
      </c>
      <c r="C57" s="9"/>
      <c r="D57" s="9">
        <f>'Restating Adj'!B60</f>
        <v>0</v>
      </c>
      <c r="F57" s="9">
        <f t="shared" si="14"/>
        <v>-14943.338687945423</v>
      </c>
      <c r="H57" s="9">
        <f>'Pro Forma Adj'!B60</f>
        <v>0</v>
      </c>
      <c r="J57" s="9">
        <f t="shared" si="15"/>
        <v>-14943.338687945423</v>
      </c>
      <c r="K57" s="279"/>
      <c r="L57" s="9"/>
      <c r="M57" s="279"/>
      <c r="N57" s="9">
        <f t="shared" si="16"/>
        <v>-14943.338687945423</v>
      </c>
      <c r="P57" s="278"/>
    </row>
    <row r="58" spans="1:16" x14ac:dyDescent="0.2">
      <c r="A58" s="11" t="s">
        <v>90</v>
      </c>
      <c r="B58" s="13">
        <f>[2]Results!C60</f>
        <v>-6092041.5722579714</v>
      </c>
      <c r="C58" s="9"/>
      <c r="D58" s="9">
        <f>'Restating Adj'!B61</f>
        <v>-1733115.077035418</v>
      </c>
      <c r="F58" s="9">
        <f t="shared" si="14"/>
        <v>-7825156.6492933892</v>
      </c>
      <c r="H58" s="9">
        <f>'Pro Forma Adj'!B61</f>
        <v>0</v>
      </c>
      <c r="J58" s="9">
        <f t="shared" si="15"/>
        <v>-7825156.6492933892</v>
      </c>
      <c r="K58" s="279"/>
      <c r="L58" s="9"/>
      <c r="M58" s="279"/>
      <c r="N58" s="9">
        <f t="shared" si="16"/>
        <v>-7825156.6492933892</v>
      </c>
      <c r="P58" s="278"/>
    </row>
    <row r="59" spans="1:16" x14ac:dyDescent="0.2">
      <c r="A59" s="11" t="s">
        <v>91</v>
      </c>
      <c r="B59" s="13">
        <f>[2]Results!C61</f>
        <v>0</v>
      </c>
      <c r="C59" s="9"/>
      <c r="D59" s="9">
        <f>'Restating Adj'!B62</f>
        <v>-408390.63249999989</v>
      </c>
      <c r="F59" s="9">
        <f t="shared" si="14"/>
        <v>-408390.63249999989</v>
      </c>
      <c r="H59" s="9">
        <f>'Pro Forma Adj'!B62</f>
        <v>0</v>
      </c>
      <c r="J59" s="9">
        <f t="shared" si="15"/>
        <v>-408390.63249999989</v>
      </c>
      <c r="K59" s="279"/>
      <c r="L59" s="9"/>
      <c r="M59" s="279"/>
      <c r="N59" s="9">
        <f t="shared" si="16"/>
        <v>-408390.63249999989</v>
      </c>
      <c r="P59" s="278"/>
    </row>
    <row r="60" spans="1:16" x14ac:dyDescent="0.2">
      <c r="A60" s="11" t="s">
        <v>92</v>
      </c>
      <c r="B60" s="13">
        <f>[2]Results!C62</f>
        <v>-177208730.2009342</v>
      </c>
      <c r="C60" s="9"/>
      <c r="D60" s="9">
        <f>'Restating Adj'!B63</f>
        <v>45480887.370662242</v>
      </c>
      <c r="F60" s="9">
        <f t="shared" si="14"/>
        <v>-131727842.83027196</v>
      </c>
      <c r="H60" s="9">
        <f>'Pro Forma Adj'!B63</f>
        <v>36396647.603050716</v>
      </c>
      <c r="J60" s="9">
        <f t="shared" si="15"/>
        <v>-95331195.227221251</v>
      </c>
      <c r="K60" s="279"/>
      <c r="L60" s="9"/>
      <c r="M60" s="279"/>
      <c r="N60" s="9">
        <f t="shared" si="16"/>
        <v>-95331195.227221251</v>
      </c>
      <c r="P60" s="278"/>
    </row>
    <row r="61" spans="1:16" x14ac:dyDescent="0.2">
      <c r="A61" s="11"/>
      <c r="B61" s="9"/>
      <c r="C61" s="9"/>
      <c r="D61" s="9"/>
      <c r="F61" s="9"/>
      <c r="H61" s="9"/>
      <c r="J61" s="9"/>
      <c r="K61" s="279"/>
      <c r="L61" s="9"/>
      <c r="M61" s="279"/>
      <c r="N61" s="9">
        <f t="shared" si="16"/>
        <v>0</v>
      </c>
      <c r="P61" s="278"/>
    </row>
    <row r="62" spans="1:16" ht="13.5" thickBot="1" x14ac:dyDescent="0.25">
      <c r="A62" s="11" t="s">
        <v>93</v>
      </c>
      <c r="B62" s="10">
        <f>SUM(B54:B60)</f>
        <v>-1151184255.6414514</v>
      </c>
      <c r="C62" s="9"/>
      <c r="D62" s="10">
        <f>SUM(D54:D60)</f>
        <v>181833323.10713395</v>
      </c>
      <c r="F62" s="10">
        <f>SUM(F54:F60)</f>
        <v>-969350932.53431749</v>
      </c>
      <c r="H62" s="10">
        <f>SUM(H54:H60)</f>
        <v>-369618665.33750594</v>
      </c>
      <c r="J62" s="10">
        <f>SUM(J54:J60)</f>
        <v>-1338969597.8718233</v>
      </c>
      <c r="K62" s="279"/>
      <c r="L62" s="10">
        <f>SUM(L54:L60)</f>
        <v>0</v>
      </c>
      <c r="M62" s="279"/>
      <c r="N62" s="10">
        <f>SUM(N54:N60)</f>
        <v>-1338969597.8718233</v>
      </c>
      <c r="P62" s="278"/>
    </row>
    <row r="63" spans="1:16" ht="13.5" thickTop="1" x14ac:dyDescent="0.2">
      <c r="A63" s="11"/>
      <c r="B63" s="9"/>
      <c r="C63" s="9"/>
      <c r="D63" s="9"/>
      <c r="F63" s="9"/>
      <c r="H63" s="9"/>
      <c r="J63" s="9"/>
      <c r="K63" s="279"/>
      <c r="L63" s="9"/>
      <c r="M63" s="279"/>
      <c r="N63" s="9"/>
      <c r="P63" s="278"/>
    </row>
    <row r="64" spans="1:16" ht="13.5" thickBot="1" x14ac:dyDescent="0.25">
      <c r="A64" s="11" t="s">
        <v>94</v>
      </c>
      <c r="B64" s="10">
        <f>B51+B62</f>
        <v>1150397547.2251754</v>
      </c>
      <c r="C64" s="9"/>
      <c r="D64" s="10">
        <f>D51+D62</f>
        <v>-163138571.36385176</v>
      </c>
      <c r="F64" s="10">
        <f>F51+F62</f>
        <v>987258975.86132431</v>
      </c>
      <c r="H64" s="10">
        <f>H51+H62</f>
        <v>113165370.83905441</v>
      </c>
      <c r="J64" s="10">
        <f>J51+J62</f>
        <v>1100424346.7003784</v>
      </c>
      <c r="K64" s="279"/>
      <c r="L64" s="10">
        <f>L51+L62</f>
        <v>0</v>
      </c>
      <c r="M64" s="279"/>
      <c r="N64" s="10">
        <f>N51+N62</f>
        <v>1100424346.7003784</v>
      </c>
      <c r="P64" s="278"/>
    </row>
    <row r="65" spans="1:16" ht="13.5" thickTop="1" x14ac:dyDescent="0.2">
      <c r="A65" s="11"/>
      <c r="B65" s="9"/>
      <c r="C65" s="9"/>
      <c r="D65" s="9"/>
      <c r="F65" s="9"/>
      <c r="H65" s="9"/>
      <c r="J65" s="9"/>
      <c r="K65" s="279"/>
      <c r="L65" s="9"/>
      <c r="M65" s="279"/>
      <c r="N65" s="9"/>
      <c r="P65" s="278"/>
    </row>
    <row r="66" spans="1:16" x14ac:dyDescent="0.2">
      <c r="A66" s="11" t="s">
        <v>43</v>
      </c>
      <c r="B66" s="24">
        <f>B37/B64</f>
        <v>5.9023642583383697E-2</v>
      </c>
      <c r="C66" s="24"/>
      <c r="D66" s="24">
        <f>F66-B66</f>
        <v>2.0549805886009749E-2</v>
      </c>
      <c r="F66" s="24">
        <f>F37/F64</f>
        <v>7.9573448469393446E-2</v>
      </c>
      <c r="H66" s="24">
        <f>J66-F66</f>
        <v>-2.1858325080457743E-2</v>
      </c>
      <c r="J66" s="24">
        <f>J37/J64</f>
        <v>5.7715123388935703E-2</v>
      </c>
      <c r="K66" s="54"/>
      <c r="L66" s="24">
        <f>N66-J66</f>
        <v>1.8284863375805364E-2</v>
      </c>
      <c r="M66" s="54"/>
      <c r="N66" s="24">
        <f>N37/N64</f>
        <v>7.5999986764741068E-2</v>
      </c>
      <c r="P66" s="278"/>
    </row>
    <row r="67" spans="1:16" x14ac:dyDescent="0.2">
      <c r="A67" s="11" t="s">
        <v>95</v>
      </c>
      <c r="B67" s="24">
        <f>(B66-Weighted_cost_debt-Weighted_cost_pref)/Percent_common</f>
        <v>6.9782431408979315E-2</v>
      </c>
      <c r="C67" s="24"/>
      <c r="D67" s="24">
        <f>F67-B67</f>
        <v>4.0081540639769347E-2</v>
      </c>
      <c r="F67" s="24">
        <f>(F66-Weighted_cost_debt-Weighted_cost_pref)/Percent_common</f>
        <v>0.10986397204874866</v>
      </c>
      <c r="H67" s="24">
        <f>J67-F67</f>
        <v>-4.2633752838809713E-2</v>
      </c>
      <c r="J67" s="24">
        <f>(J66-Weighted_cost_debt-Weighted_cost_pref)/Percent_common</f>
        <v>6.7230219209938949E-2</v>
      </c>
      <c r="K67" s="54"/>
      <c r="L67" s="24">
        <f>N67-J67</f>
        <v>3.5769780790061045E-2</v>
      </c>
      <c r="M67" s="54"/>
      <c r="N67" s="24">
        <f>ROUND((N66-Weighted_cost_debt-Weighted_cost_pref)/Percent_common,3)</f>
        <v>0.10299999999999999</v>
      </c>
      <c r="P67" s="278"/>
    </row>
    <row r="68" spans="1:16" x14ac:dyDescent="0.2">
      <c r="A68" s="11" t="s">
        <v>42</v>
      </c>
      <c r="B68" s="9">
        <f>-(B37-(B64*Overall_ROR))/gross_up_factor</f>
        <v>25976377.235100564</v>
      </c>
      <c r="C68" s="9"/>
      <c r="D68" s="9">
        <f>-(D37-(D64*Overall_ROR))/gross_up_factor</f>
        <v>-30668882.191322252</v>
      </c>
      <c r="F68" s="9">
        <f>-(F37-(F64*Overall_ROR))/gross_up_factor</f>
        <v>-4692504.9562216979</v>
      </c>
      <c r="H68" s="9">
        <f>-(H37-(H64*Overall_ROR))/gross_up_factor</f>
        <v>31455724.024603512</v>
      </c>
      <c r="J68" s="9">
        <f>-(J37-(J64*Overall_ROR))/gross_up_factor</f>
        <v>26763219.120570686</v>
      </c>
      <c r="K68" s="279"/>
      <c r="L68" s="9"/>
      <c r="M68" s="279"/>
      <c r="N68" s="9"/>
      <c r="P68" s="278"/>
    </row>
    <row r="69" spans="1:16" x14ac:dyDescent="0.2">
      <c r="A69" s="11"/>
      <c r="B69" s="22"/>
      <c r="C69" s="22"/>
      <c r="D69" s="22"/>
      <c r="F69" s="22"/>
      <c r="H69" s="22"/>
      <c r="J69" s="280"/>
      <c r="K69" s="279"/>
      <c r="L69" s="280"/>
      <c r="M69" s="279"/>
      <c r="N69" s="280"/>
      <c r="P69" s="278"/>
    </row>
    <row r="70" spans="1:16" x14ac:dyDescent="0.2">
      <c r="A70" s="11" t="s">
        <v>96</v>
      </c>
      <c r="B70" s="9"/>
      <c r="C70" s="9"/>
      <c r="D70" s="9"/>
      <c r="F70" s="9"/>
      <c r="H70" s="9"/>
      <c r="J70" s="9"/>
      <c r="K70" s="279"/>
      <c r="L70" s="9"/>
      <c r="M70" s="279"/>
      <c r="N70" s="9"/>
      <c r="P70" s="278"/>
    </row>
    <row r="71" spans="1:16" x14ac:dyDescent="0.2">
      <c r="A71" s="11" t="s">
        <v>97</v>
      </c>
      <c r="B71" s="9">
        <f t="shared" ref="B71:N71" si="17">B13-B26-B27-B28-B29-B34</f>
        <v>53915083.167900674</v>
      </c>
      <c r="C71" s="9"/>
      <c r="D71" s="9">
        <f t="shared" si="17"/>
        <v>29346691.246951763</v>
      </c>
      <c r="F71" s="9">
        <f t="shared" si="17"/>
        <v>83261774.414852411</v>
      </c>
      <c r="H71" s="9">
        <f t="shared" si="17"/>
        <v>-36654842.601693347</v>
      </c>
      <c r="J71" s="9">
        <f>ROUNDUP(J13-J26-J27-J28-J29-J34,0)</f>
        <v>46606932</v>
      </c>
      <c r="K71" s="279"/>
      <c r="L71" s="9">
        <f t="shared" si="17"/>
        <v>25469757.96910084</v>
      </c>
      <c r="M71" s="279"/>
      <c r="N71" s="9">
        <f t="shared" si="17"/>
        <v>72076689.782259807</v>
      </c>
      <c r="P71" s="278"/>
    </row>
    <row r="72" spans="1:16" x14ac:dyDescent="0.2">
      <c r="A72" s="11" t="s">
        <v>98</v>
      </c>
      <c r="B72" s="13">
        <f>[2]Results!C73</f>
        <v>0</v>
      </c>
      <c r="C72" s="9"/>
      <c r="D72" s="9"/>
      <c r="F72" s="9">
        <f t="shared" ref="F72:F76" si="18">B72+D72</f>
        <v>0</v>
      </c>
      <c r="H72" s="9"/>
      <c r="J72" s="9"/>
      <c r="K72" s="279"/>
      <c r="L72" s="9"/>
      <c r="M72" s="279"/>
      <c r="N72" s="9"/>
      <c r="P72" s="278"/>
    </row>
    <row r="73" spans="1:16" x14ac:dyDescent="0.2">
      <c r="A73" s="11" t="s">
        <v>99</v>
      </c>
      <c r="B73" s="13">
        <f>[2]Results!C74</f>
        <v>-3636274.7351071914</v>
      </c>
      <c r="C73" s="9"/>
      <c r="D73" s="9">
        <f>'Restating Adj'!B76</f>
        <v>0</v>
      </c>
      <c r="F73" s="9">
        <f t="shared" si="18"/>
        <v>-3636274.7351071914</v>
      </c>
      <c r="H73" s="9">
        <f>'Pro Forma Adj'!B76</f>
        <v>0</v>
      </c>
      <c r="J73" s="9">
        <f t="shared" ref="J73:J76" si="19">F73+H73</f>
        <v>-3636274.7351071914</v>
      </c>
      <c r="K73" s="279"/>
      <c r="L73" s="9"/>
      <c r="M73" s="279"/>
      <c r="N73" s="9">
        <f t="shared" ref="N73:N76" si="20">J73+L73</f>
        <v>-3636274.7351071914</v>
      </c>
      <c r="P73" s="278"/>
    </row>
    <row r="74" spans="1:16" x14ac:dyDescent="0.2">
      <c r="A74" s="11" t="s">
        <v>100</v>
      </c>
      <c r="B74" s="13">
        <f>[2]Results!C75</f>
        <v>27945749.878154576</v>
      </c>
      <c r="C74" s="9"/>
      <c r="D74" s="9">
        <f>'Restating Adj'!B77</f>
        <v>-5002404.1441638805</v>
      </c>
      <c r="F74" s="9">
        <f t="shared" si="18"/>
        <v>22943345.733990695</v>
      </c>
      <c r="H74" s="9">
        <f>'Pro Forma Adj'!B77</f>
        <v>2629899.8456919454</v>
      </c>
      <c r="J74" s="9">
        <f t="shared" si="19"/>
        <v>25573245.579682641</v>
      </c>
      <c r="K74" s="279"/>
      <c r="L74" s="9"/>
      <c r="M74" s="279"/>
      <c r="N74" s="9">
        <f t="shared" si="20"/>
        <v>25573245.579682641</v>
      </c>
      <c r="P74" s="278"/>
    </row>
    <row r="75" spans="1:16" x14ac:dyDescent="0.2">
      <c r="A75" s="11" t="s">
        <v>101</v>
      </c>
      <c r="B75" s="13">
        <f>[2]Results!C76</f>
        <v>75168482.555254906</v>
      </c>
      <c r="C75" s="9"/>
      <c r="D75" s="9">
        <f>'Restating Adj'!B78</f>
        <v>1370029.8969781273</v>
      </c>
      <c r="E75" s="21"/>
      <c r="F75" s="9">
        <f t="shared" si="18"/>
        <v>76538512.452233031</v>
      </c>
      <c r="G75" s="21"/>
      <c r="H75" s="9">
        <f>'Pro Forma Adj'!B78</f>
        <v>25893346.240085904</v>
      </c>
      <c r="J75" s="9">
        <f t="shared" si="19"/>
        <v>102431858.69231893</v>
      </c>
      <c r="K75" s="279"/>
      <c r="L75" s="9"/>
      <c r="M75" s="279"/>
      <c r="N75" s="9">
        <f t="shared" si="20"/>
        <v>102431858.69231893</v>
      </c>
      <c r="P75" s="278"/>
    </row>
    <row r="76" spans="1:16" x14ac:dyDescent="0.2">
      <c r="A76" s="11" t="s">
        <v>102</v>
      </c>
      <c r="B76" s="178">
        <f>[2]Results!C77</f>
        <v>107655465.02100359</v>
      </c>
      <c r="C76" s="9"/>
      <c r="D76" s="8">
        <f>'Restating Adj'!B79</f>
        <v>1328870.096516567</v>
      </c>
      <c r="E76" s="21"/>
      <c r="F76" s="8">
        <f t="shared" si="18"/>
        <v>108984335.11752015</v>
      </c>
      <c r="G76" s="21"/>
      <c r="H76" s="8">
        <f>'Pro Forma Adj'!B79</f>
        <v>4659710.6852754867</v>
      </c>
      <c r="J76" s="8">
        <f t="shared" si="19"/>
        <v>113644045.80279563</v>
      </c>
      <c r="K76" s="279"/>
      <c r="L76" s="8"/>
      <c r="M76" s="279"/>
      <c r="N76" s="8">
        <f t="shared" si="20"/>
        <v>113644045.80279563</v>
      </c>
      <c r="P76" s="278"/>
    </row>
    <row r="77" spans="1:16" x14ac:dyDescent="0.2">
      <c r="A77" s="11" t="s">
        <v>103</v>
      </c>
      <c r="B77" s="9">
        <f t="shared" ref="B77:N77" si="21">B71-B73-B74+B75-B76</f>
        <v>-2881374.4408953935</v>
      </c>
      <c r="C77" s="9"/>
      <c r="D77" s="9">
        <f t="shared" si="21"/>
        <v>34390255.191577204</v>
      </c>
      <c r="E77" s="21"/>
      <c r="F77" s="9">
        <f t="shared" si="21"/>
        <v>31508880.750681788</v>
      </c>
      <c r="G77" s="21"/>
      <c r="H77" s="9">
        <f t="shared" si="21"/>
        <v>-18051106.89257488</v>
      </c>
      <c r="J77" s="9">
        <f t="shared" si="21"/>
        <v>13457774.044947848</v>
      </c>
      <c r="K77" s="279"/>
      <c r="L77" s="9">
        <f t="shared" si="21"/>
        <v>25469757.96910084</v>
      </c>
      <c r="M77" s="279"/>
      <c r="N77" s="9">
        <f t="shared" si="21"/>
        <v>38927531.82720767</v>
      </c>
      <c r="P77" s="278"/>
    </row>
    <row r="78" spans="1:16" x14ac:dyDescent="0.2">
      <c r="A78" s="11"/>
      <c r="B78" s="9"/>
      <c r="C78" s="9"/>
      <c r="D78" s="9"/>
      <c r="E78" s="21"/>
      <c r="F78" s="9"/>
      <c r="G78" s="21"/>
      <c r="H78" s="9"/>
      <c r="J78" s="9"/>
      <c r="K78" s="279"/>
      <c r="L78" s="9"/>
      <c r="M78" s="279"/>
      <c r="N78" s="9"/>
      <c r="P78" s="278"/>
    </row>
    <row r="79" spans="1:16" x14ac:dyDescent="0.2">
      <c r="A79" s="11" t="s">
        <v>104</v>
      </c>
      <c r="B79" s="9">
        <v>0</v>
      </c>
      <c r="C79" s="9"/>
      <c r="D79" s="9">
        <v>0</v>
      </c>
      <c r="E79" s="21"/>
      <c r="F79" s="9">
        <v>0</v>
      </c>
      <c r="G79" s="21"/>
      <c r="H79" s="9">
        <v>0</v>
      </c>
      <c r="J79" s="9">
        <v>0</v>
      </c>
      <c r="K79" s="279"/>
      <c r="L79" s="9">
        <v>0</v>
      </c>
      <c r="M79" s="279"/>
      <c r="N79" s="9">
        <v>0</v>
      </c>
      <c r="P79" s="278"/>
    </row>
    <row r="80" spans="1:16" x14ac:dyDescent="0.2">
      <c r="A80" s="11" t="s">
        <v>105</v>
      </c>
      <c r="B80" s="9">
        <f>B77-B79</f>
        <v>-2881374.4408953935</v>
      </c>
      <c r="C80" s="9"/>
      <c r="D80" s="9">
        <f>D77-D79</f>
        <v>34390255.191577204</v>
      </c>
      <c r="E80" s="21"/>
      <c r="F80" s="9">
        <f>F77-F79</f>
        <v>31508880.750681788</v>
      </c>
      <c r="G80" s="21"/>
      <c r="H80" s="9">
        <f>H77-H79</f>
        <v>-18051106.89257488</v>
      </c>
      <c r="J80" s="9">
        <f>J77-J79</f>
        <v>13457774.044947848</v>
      </c>
      <c r="K80" s="279"/>
      <c r="L80" s="9">
        <f>L77-L79</f>
        <v>25469757.96910084</v>
      </c>
      <c r="M80" s="279"/>
      <c r="N80" s="9">
        <f>N77-N79</f>
        <v>38927531.82720767</v>
      </c>
      <c r="P80" s="278"/>
    </row>
    <row r="81" spans="1:16" x14ac:dyDescent="0.2">
      <c r="A81" s="11"/>
      <c r="B81" s="9"/>
      <c r="C81" s="9"/>
      <c r="D81" s="9"/>
      <c r="E81" s="21"/>
      <c r="F81" s="9"/>
      <c r="G81" s="21"/>
      <c r="H81" s="9"/>
      <c r="J81" s="9"/>
      <c r="K81" s="279"/>
      <c r="L81" s="9"/>
      <c r="M81" s="279"/>
      <c r="N81" s="9"/>
      <c r="P81" s="278"/>
    </row>
    <row r="82" spans="1:16" x14ac:dyDescent="0.2">
      <c r="A82" s="11" t="s">
        <v>129</v>
      </c>
      <c r="B82" s="9">
        <f>B80*0.21</f>
        <v>-605088.63258803263</v>
      </c>
      <c r="C82" s="9"/>
      <c r="D82" s="9">
        <f>D80*0.21</f>
        <v>7221953.5902312128</v>
      </c>
      <c r="E82" s="21"/>
      <c r="F82" s="9">
        <f>F80*0.21</f>
        <v>6616864.9576431755</v>
      </c>
      <c r="G82" s="21"/>
      <c r="H82" s="9">
        <f>H80*0.21</f>
        <v>-3790732.4474407248</v>
      </c>
      <c r="J82" s="9">
        <f>J80*0.21</f>
        <v>2826132.5494390479</v>
      </c>
      <c r="K82" s="279"/>
      <c r="L82" s="9">
        <f>L80*0.21</f>
        <v>5348649.1735111764</v>
      </c>
      <c r="M82" s="279"/>
      <c r="N82" s="9">
        <f>N80*0.21</f>
        <v>8174781.6837136103</v>
      </c>
      <c r="P82" s="278"/>
    </row>
    <row r="83" spans="1:16" x14ac:dyDescent="0.2">
      <c r="A83" s="11" t="s">
        <v>297</v>
      </c>
      <c r="B83" s="9">
        <f>B84-B82</f>
        <v>-10979455.467545277</v>
      </c>
      <c r="C83" s="9"/>
      <c r="D83" s="9">
        <f>'Restating Adj'!B86</f>
        <v>10953810.298519813</v>
      </c>
      <c r="E83" s="21"/>
      <c r="F83" s="9">
        <f t="shared" ref="F83" si="22">B83+D83</f>
        <v>-25645.169025463983</v>
      </c>
      <c r="G83" s="21"/>
      <c r="H83" s="9">
        <f>'Pro Forma Adj'!B86</f>
        <v>-16992928.004947588</v>
      </c>
      <c r="J83" s="9">
        <f t="shared" ref="J83" si="23">F83+H83</f>
        <v>-17018573.173973054</v>
      </c>
      <c r="K83" s="279"/>
      <c r="L83" s="9"/>
      <c r="M83" s="279"/>
      <c r="N83" s="9">
        <f t="shared" ref="N83" si="24">J83+L83</f>
        <v>-17018573.173973054</v>
      </c>
      <c r="P83" s="278"/>
    </row>
    <row r="84" spans="1:16" x14ac:dyDescent="0.2">
      <c r="A84" s="11" t="s">
        <v>131</v>
      </c>
      <c r="B84" s="13">
        <f>[2]Results!C83</f>
        <v>-11584544.100133309</v>
      </c>
      <c r="C84" s="9"/>
      <c r="D84" s="9">
        <f>D82+D83</f>
        <v>18175763.888751026</v>
      </c>
      <c r="E84" s="21"/>
      <c r="F84" s="9">
        <f>F82+F83</f>
        <v>6591219.7886177115</v>
      </c>
      <c r="G84" s="21"/>
      <c r="H84" s="9">
        <f>H82+H83</f>
        <v>-20783660.452388313</v>
      </c>
      <c r="J84" s="9">
        <f>J82+J83</f>
        <v>-14192440.624534005</v>
      </c>
      <c r="K84" s="279"/>
      <c r="L84" s="9">
        <f>L82+L83</f>
        <v>5348649.1735111764</v>
      </c>
      <c r="M84" s="279"/>
      <c r="N84" s="9">
        <f>N82+N83</f>
        <v>-8843791.4902594425</v>
      </c>
      <c r="P84" s="278"/>
    </row>
    <row r="85" spans="1:16" x14ac:dyDescent="0.2">
      <c r="A85" s="11"/>
      <c r="B85" s="9"/>
      <c r="C85" s="9"/>
      <c r="D85" s="9"/>
      <c r="F85" s="9"/>
      <c r="H85" s="9"/>
      <c r="J85" s="9"/>
      <c r="L85" s="9"/>
      <c r="N85" s="9"/>
    </row>
    <row r="86" spans="1:16" x14ac:dyDescent="0.2">
      <c r="A86" s="11"/>
      <c r="B86" s="9"/>
      <c r="C86" s="9"/>
      <c r="D86" s="9"/>
      <c r="E86" s="21"/>
      <c r="F86" s="9"/>
      <c r="G86" s="21"/>
      <c r="H86" s="9"/>
      <c r="J86" s="9"/>
      <c r="L86" s="9"/>
      <c r="N86" s="9"/>
    </row>
    <row r="87" spans="1:16" x14ac:dyDescent="0.2">
      <c r="A87" s="11"/>
      <c r="B87" s="9"/>
      <c r="C87" s="9"/>
      <c r="D87" s="9"/>
      <c r="E87" s="21"/>
      <c r="F87" s="9"/>
      <c r="G87" s="21"/>
      <c r="H87" s="9"/>
      <c r="J87" s="9"/>
      <c r="L87" s="9"/>
      <c r="N87" s="9"/>
    </row>
    <row r="88" spans="1:16" x14ac:dyDescent="0.2">
      <c r="A88" s="11"/>
      <c r="B88" s="9"/>
      <c r="C88" s="9"/>
      <c r="D88" s="9"/>
      <c r="E88" s="21"/>
      <c r="F88" s="9"/>
      <c r="G88" s="21"/>
      <c r="L88" s="9"/>
    </row>
    <row r="89" spans="1:16" x14ac:dyDescent="0.2">
      <c r="A89" s="11"/>
      <c r="B89" s="9"/>
      <c r="C89" s="9"/>
      <c r="D89" s="9"/>
      <c r="E89" s="21"/>
      <c r="F89" s="9"/>
      <c r="G89" s="21"/>
      <c r="H89" s="9"/>
      <c r="J89" s="267"/>
      <c r="L89" s="9"/>
      <c r="N89" s="9"/>
    </row>
    <row r="90" spans="1:16" x14ac:dyDescent="0.2">
      <c r="A90" s="23"/>
      <c r="B90" s="9"/>
      <c r="C90" s="9"/>
      <c r="D90" s="9"/>
      <c r="E90" s="21"/>
      <c r="F90" s="9"/>
      <c r="G90" s="21"/>
      <c r="H90" s="9"/>
      <c r="J90" s="9"/>
      <c r="L90" s="9"/>
      <c r="N90" s="9"/>
    </row>
    <row r="91" spans="1:16" x14ac:dyDescent="0.2">
      <c r="A91" s="21"/>
      <c r="B91" s="6"/>
      <c r="C91" s="6"/>
      <c r="D91" s="6"/>
      <c r="F91" s="6"/>
      <c r="H91" s="6"/>
      <c r="J91" s="6"/>
      <c r="L91" s="6"/>
      <c r="N91" s="6"/>
    </row>
    <row r="92" spans="1:16" x14ac:dyDescent="0.2">
      <c r="A92" s="21"/>
    </row>
    <row r="93" spans="1:16" x14ac:dyDescent="0.2">
      <c r="A93" s="21"/>
    </row>
    <row r="94" spans="1:16" x14ac:dyDescent="0.2">
      <c r="A94" s="21"/>
    </row>
    <row r="95" spans="1:16" x14ac:dyDescent="0.2">
      <c r="A95" s="21"/>
    </row>
    <row r="96" spans="1:16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</sheetData>
  <phoneticPr fontId="3" type="noConversion"/>
  <pageMargins left="0.5" right="0.5" top="0.5" bottom="0.5" header="0.5" footer="0.5"/>
  <pageSetup scale="61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F93"/>
  <sheetViews>
    <sheetView view="pageBreakPreview" zoomScale="80" zoomScaleNormal="60" zoomScaleSheetLayoutView="80" workbookViewId="0">
      <pane xSplit="2" ySplit="9" topLeftCell="AX73" activePane="bottomRight" state="frozen"/>
      <selection activeCell="BD50" sqref="BD50"/>
      <selection pane="topRight" activeCell="BD50" sqref="BD50"/>
      <selection pane="bottomLeft" activeCell="BD50" sqref="BD50"/>
      <selection pane="bottomRight" activeCell="AY47" sqref="AY47"/>
    </sheetView>
  </sheetViews>
  <sheetFormatPr defaultColWidth="9.140625" defaultRowHeight="12.75" x14ac:dyDescent="0.2"/>
  <cols>
    <col min="1" max="1" width="39.7109375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58" width="17.28515625" style="2" bestFit="1" customWidth="1"/>
    <col min="59" max="16384" width="9.140625" style="15"/>
  </cols>
  <sheetData>
    <row r="1" spans="1:58" x14ac:dyDescent="0.2">
      <c r="A1" s="4" t="s">
        <v>41</v>
      </c>
    </row>
    <row r="2" spans="1:58" s="2" customFormat="1" x14ac:dyDescent="0.2">
      <c r="A2" s="138" t="s">
        <v>264</v>
      </c>
    </row>
    <row r="3" spans="1:58" s="2" customFormat="1" x14ac:dyDescent="0.2">
      <c r="A3" s="139" t="s">
        <v>346</v>
      </c>
    </row>
    <row r="4" spans="1:58" s="2" customFormat="1" x14ac:dyDescent="0.2">
      <c r="A4" s="140"/>
    </row>
    <row r="5" spans="1:58" s="2" customFormat="1" x14ac:dyDescent="0.2">
      <c r="A5" s="138"/>
    </row>
    <row r="6" spans="1:58" s="4" customFormat="1" ht="13.5" thickBot="1" x14ac:dyDescent="0.25">
      <c r="A6" s="140"/>
    </row>
    <row r="7" spans="1:58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/>
      <c r="AO7" s="292"/>
      <c r="AP7" s="291" t="s">
        <v>36</v>
      </c>
      <c r="AQ7" s="293"/>
      <c r="AR7" s="293"/>
      <c r="AS7" s="293"/>
      <c r="AT7" s="293"/>
      <c r="AU7" s="292"/>
      <c r="AV7" s="291" t="s">
        <v>36</v>
      </c>
      <c r="AW7" s="292"/>
      <c r="AX7" s="257" t="s">
        <v>262</v>
      </c>
      <c r="AY7" s="291" t="s">
        <v>289</v>
      </c>
      <c r="AZ7" s="293"/>
      <c r="BA7" s="292"/>
      <c r="BB7" s="291" t="s">
        <v>289</v>
      </c>
      <c r="BC7" s="293"/>
      <c r="BD7" s="293"/>
      <c r="BE7" s="293"/>
      <c r="BF7" s="292"/>
    </row>
    <row r="8" spans="1:58" x14ac:dyDescent="0.2">
      <c r="B8" s="67"/>
      <c r="C8" s="67" t="str">
        <f>'Restating Adj'!C8</f>
        <v>3.1</v>
      </c>
      <c r="D8" s="64" t="str">
        <f>'Restating Adj'!D8</f>
        <v>3.2</v>
      </c>
      <c r="E8" s="64" t="str">
        <f>'Restating Adj'!E8</f>
        <v>3.3</v>
      </c>
      <c r="F8" s="66" t="str">
        <f>'Restating Adj'!F8</f>
        <v>4.1</v>
      </c>
      <c r="G8" s="67" t="str">
        <f>'Restating Adj'!G8</f>
        <v>4.2</v>
      </c>
      <c r="H8" s="64" t="str">
        <f>'Restating Adj'!H8</f>
        <v>4.3</v>
      </c>
      <c r="I8" s="64" t="str">
        <f>'Restating Adj'!I8</f>
        <v>4.4</v>
      </c>
      <c r="J8" s="64" t="str">
        <f>'Restating Adj'!J8</f>
        <v>4.5</v>
      </c>
      <c r="K8" s="64" t="str">
        <f>'Restating Adj'!K8</f>
        <v>4.6</v>
      </c>
      <c r="L8" s="65" t="str">
        <f>'Restating Adj'!L8</f>
        <v>4.7</v>
      </c>
      <c r="M8" s="67" t="str">
        <f>'Restating Adj'!M8</f>
        <v>4.8</v>
      </c>
      <c r="N8" s="64" t="str">
        <f>'Restating Adj'!N8</f>
        <v>4.9</v>
      </c>
      <c r="O8" s="64" t="str">
        <f>'Restating Adj'!O8</f>
        <v>4.10</v>
      </c>
      <c r="P8" s="64" t="str">
        <f>'Restating Adj'!P8</f>
        <v>4.11</v>
      </c>
      <c r="Q8" s="64" t="str">
        <f>'Restating Adj'!Q8</f>
        <v>4.12</v>
      </c>
      <c r="R8" s="264" t="str">
        <f>'Restating Adj'!R8</f>
        <v>4.13</v>
      </c>
      <c r="S8" s="245" t="str">
        <f>'Restating Adj'!S8</f>
        <v>5.1</v>
      </c>
      <c r="T8" s="246" t="str">
        <f>'Restating Adj'!T8</f>
        <v>5.2</v>
      </c>
      <c r="U8" s="64" t="str">
        <f>'Restating Adj'!U8</f>
        <v>5.3</v>
      </c>
      <c r="V8" s="64" t="str">
        <f>'Restating Adj'!V8</f>
        <v>5.4</v>
      </c>
      <c r="W8" s="65" t="str">
        <f>'Restating Adj'!W8</f>
        <v>5.5</v>
      </c>
      <c r="X8" s="66" t="str">
        <f>'Restating Adj'!X8</f>
        <v>6.1</v>
      </c>
      <c r="Y8" s="67" t="str">
        <f>'Restating Adj'!Y8</f>
        <v>6.2</v>
      </c>
      <c r="Z8" s="64" t="str">
        <f>'Restating Adj'!Z8</f>
        <v>6.3</v>
      </c>
      <c r="AA8" s="64" t="str">
        <f>'Restating Adj'!AA8</f>
        <v>6.4</v>
      </c>
      <c r="AB8" s="67" t="str">
        <f>'Restating Adj'!AB8</f>
        <v>7.1</v>
      </c>
      <c r="AC8" s="65" t="str">
        <f>'Restating Adj'!AC8</f>
        <v>7.2</v>
      </c>
      <c r="AD8" s="67" t="str">
        <f>'Restating Adj'!AD8</f>
        <v>7.3</v>
      </c>
      <c r="AE8" s="64" t="str">
        <f>'Restating Adj'!AE8</f>
        <v>7.4</v>
      </c>
      <c r="AF8" s="64" t="str">
        <f>'Restating Adj'!AF8</f>
        <v>7.5</v>
      </c>
      <c r="AG8" s="64" t="str">
        <f>'Restating Adj'!AG8</f>
        <v>7.6</v>
      </c>
      <c r="AH8" s="64" t="str">
        <f>'Restating Adj'!AH8</f>
        <v>7.7</v>
      </c>
      <c r="AI8" s="65" t="str">
        <f>'Restating Adj'!AI8</f>
        <v>7.8</v>
      </c>
      <c r="AJ8" s="67" t="str">
        <f>'Restating Adj'!AJ8</f>
        <v>7.9</v>
      </c>
      <c r="AK8" s="64" t="str">
        <f>'Restating Adj'!AK8</f>
        <v>7.10</v>
      </c>
      <c r="AL8" s="67" t="str">
        <f>'Restating Adj'!AL8</f>
        <v>8.1</v>
      </c>
      <c r="AM8" s="64" t="str">
        <f>'Restating Adj'!AM8</f>
        <v>8.2</v>
      </c>
      <c r="AN8" s="64" t="str">
        <f>'Restating Adj'!AN8</f>
        <v>8.3</v>
      </c>
      <c r="AO8" s="65" t="str">
        <f>'Restating Adj'!AO8</f>
        <v>8.4</v>
      </c>
      <c r="AP8" s="67" t="str">
        <f>'Restating Adj'!AP8</f>
        <v>8.5</v>
      </c>
      <c r="AQ8" s="64" t="str">
        <f>'Restating Adj'!AQ8</f>
        <v>8.6</v>
      </c>
      <c r="AR8" s="64" t="str">
        <f>'Restating Adj'!AR8</f>
        <v>8.7</v>
      </c>
      <c r="AS8" s="64" t="str">
        <f>'Restating Adj'!AS8</f>
        <v>8.8</v>
      </c>
      <c r="AT8" s="64" t="str">
        <f>'Restating Adj'!AT8</f>
        <v>8.9</v>
      </c>
      <c r="AU8" s="65" t="str">
        <f>'Restating Adj'!AU8</f>
        <v>8.10</v>
      </c>
      <c r="AV8" s="67" t="str">
        <f>'Restating Adj'!AV8</f>
        <v>8.11</v>
      </c>
      <c r="AW8" s="65" t="str">
        <f>'Restating Adj'!AW8</f>
        <v>8.12</v>
      </c>
      <c r="AX8" s="66" t="str">
        <f>'Restating Adj'!AX8</f>
        <v>9.1</v>
      </c>
      <c r="AY8" s="67" t="str">
        <f>'Restating Adj'!AY8</f>
        <v>10.1</v>
      </c>
      <c r="AZ8" s="64" t="str">
        <f>'Restating Adj'!AZ8</f>
        <v>10.2</v>
      </c>
      <c r="BA8" s="65" t="str">
        <f>'Restating Adj'!BA8</f>
        <v>10.3</v>
      </c>
      <c r="BB8" s="67" t="str">
        <f>'Restating Adj'!BB8</f>
        <v>10.4</v>
      </c>
      <c r="BC8" s="64" t="str">
        <f>'Restating Adj'!BC8</f>
        <v>10.5</v>
      </c>
      <c r="BD8" s="64" t="str">
        <f>'Restating Adj'!BD8</f>
        <v>10.6</v>
      </c>
      <c r="BE8" s="64" t="str">
        <f>'Restating Adj'!BE8</f>
        <v>10.7</v>
      </c>
      <c r="BF8" s="65" t="str">
        <f>'Restating Adj'!BF8</f>
        <v>10.8</v>
      </c>
    </row>
    <row r="9" spans="1:58" s="142" customFormat="1" ht="86.25" customHeight="1" x14ac:dyDescent="0.2">
      <c r="A9" s="14"/>
      <c r="B9" s="252" t="s">
        <v>156</v>
      </c>
      <c r="C9" s="92" t="str">
        <f>'Restating Adj'!C9</f>
        <v>Temperature Normalization</v>
      </c>
      <c r="D9" s="94" t="str">
        <f>'Restating Adj'!D9</f>
        <v>Revenue Normalizing</v>
      </c>
      <c r="E9" s="94" t="str">
        <f>'Restating Adj'!E9</f>
        <v>Wheeling Revenue - 
Year 1</v>
      </c>
      <c r="F9" s="258" t="str">
        <f>'Restating Adj'!F9</f>
        <v>Miscellaneous Expense &amp; Revenue</v>
      </c>
      <c r="G9" s="92" t="str">
        <f>'Restating Adj'!G9</f>
        <v>General Wage Increase (Annualizing)</v>
      </c>
      <c r="H9" s="94" t="str">
        <f>'Restating Adj'!H9</f>
        <v>General Wage Increase
(Pro Forma) - Year 1</v>
      </c>
      <c r="I9" s="94" t="str">
        <f>'Restating Adj'!I9</f>
        <v>Pension Related Non-Service Expense</v>
      </c>
      <c r="J9" s="94" t="str">
        <f>'Restating Adj'!J9</f>
        <v>Insurance Expense</v>
      </c>
      <c r="K9" s="94" t="str">
        <f>'Restating Adj'!K9</f>
        <v>Advertising</v>
      </c>
      <c r="L9" s="93" t="str">
        <f>'Restating Adj'!L9</f>
        <v>Memberships &amp; Subscriptions</v>
      </c>
      <c r="M9" s="92" t="str">
        <f>'Restating Adj'!M9</f>
        <v>Revenue-Sensitive/ Uncollectible Expense</v>
      </c>
      <c r="N9" s="94" t="str">
        <f>'Restating Adj'!N9</f>
        <v>Legal 
Expenses</v>
      </c>
      <c r="O9" s="94" t="str">
        <f>'Restating Adj'!O9</f>
        <v>Remove Non-Recurring Entries</v>
      </c>
      <c r="P9" s="94" t="str">
        <f>'Restating Adj'!P9</f>
        <v>Environmental Remediation</v>
      </c>
      <c r="Q9" s="94" t="str">
        <f>'Restating Adj'!Q9</f>
        <v>Payment Services Fees</v>
      </c>
      <c r="R9" s="93" t="str">
        <f>'Restating Adj'!R9</f>
        <v>Incremental O&amp;M Expenses</v>
      </c>
      <c r="S9" s="92" t="str">
        <f>'Restating Adj'!S9</f>
        <v>Net Power Costs (Restating)</v>
      </c>
      <c r="T9" s="94" t="str">
        <f>'Restating Adj'!T9</f>
        <v>Net Power Costs (Pro Forma) - 
Year 1</v>
      </c>
      <c r="U9" s="94" t="str">
        <f>'Restating Adj'!U9</f>
        <v>Pryor Mountain REC Revenues</v>
      </c>
      <c r="V9" s="94" t="str">
        <f>'Restating Adj'!V9</f>
        <v>WRAP Fees</v>
      </c>
      <c r="W9" s="93" t="str">
        <f>'Restating Adj'!W9</f>
        <v>AURORA Access Fees</v>
      </c>
      <c r="X9" s="258" t="str">
        <f>'Restating Adj'!X9</f>
        <v>Pro Forma Depreciation &amp; Amortization Expense - 
Year 1</v>
      </c>
      <c r="Y9" s="92" t="str">
        <f>'Restating Adj'!Y9</f>
        <v>Pro Forma Depreciation &amp; Amortization Reserves - Year 1</v>
      </c>
      <c r="Z9" s="94" t="str">
        <f>'Restating Adj'!Z9</f>
        <v>End-of-Period Reserves - Historical</v>
      </c>
      <c r="AA9" s="94" t="str">
        <f>'Restating Adj'!AA9</f>
        <v>Decommissioning &amp; Other Plant Closure Costs - Year 1</v>
      </c>
      <c r="AB9" s="92" t="str">
        <f>'Restating Adj'!AB9</f>
        <v>Interest True Up - Year 1</v>
      </c>
      <c r="AC9" s="93" t="str">
        <f>'Restating Adj'!AC9</f>
        <v>Property Tax Expense - Year 1</v>
      </c>
      <c r="AD9" s="92" t="str">
        <f>'Restating Adj'!AD9</f>
        <v>Production Tax Credit - Year 1</v>
      </c>
      <c r="AE9" s="94" t="str">
        <f>'Restating Adj'!AE9</f>
        <v>PowerTax ADIT Balance - Year 1</v>
      </c>
      <c r="AF9" s="94" t="str">
        <f>'Restating Adj'!AF9</f>
        <v>Permanent Schedule M Adjustment - Year 1</v>
      </c>
      <c r="AG9" s="94" t="str">
        <f>'Restating Adj'!AG9</f>
        <v>Remove Deferred State Tax Expense &amp; Balance - Year 1</v>
      </c>
      <c r="AH9" s="94" t="str">
        <f>'Restating Adj'!AH9</f>
        <v>Washington Public Utility Tax Adjustment</v>
      </c>
      <c r="AI9" s="93" t="str">
        <f>'Restating Adj'!AI9</f>
        <v>Removal of TCJA Deferred Balances Adjustment</v>
      </c>
      <c r="AJ9" s="92" t="str">
        <f>'Restating Adj'!AJ9</f>
        <v>Washington Low Income Tax Credit</v>
      </c>
      <c r="AK9" s="94" t="str">
        <f>'Restating Adj'!AK9</f>
        <v>Wyoming Wind Generation Tax</v>
      </c>
      <c r="AL9" s="92" t="str">
        <f>'Restating Adj'!AL9</f>
        <v>End-of-Period Plant Balances - Historical</v>
      </c>
      <c r="AM9" s="94" t="str">
        <f>'Restating Adj'!AM9</f>
        <v>Regulatory Assets/ Liabilities Amortization - Year 1</v>
      </c>
      <c r="AN9" s="94" t="str">
        <f>'Restating Adj'!AN9</f>
        <v>Customer Advances for Construction</v>
      </c>
      <c r="AO9" s="93" t="str">
        <f>'Restating Adj'!AO9</f>
        <v>Pro Forma Major Plant Additions - Year 1</v>
      </c>
      <c r="AP9" s="92" t="str">
        <f>'Restating Adj'!AP9</f>
        <v>Miscellaneous Rate Base</v>
      </c>
      <c r="AQ9" s="94" t="str">
        <f>'Restating Adj'!AQ9</f>
        <v>Customer Service Deposits</v>
      </c>
      <c r="AR9" s="94" t="str">
        <f>'Restating Adj'!AR9</f>
        <v>Investor Supplied Working Capital</v>
      </c>
      <c r="AS9" s="94" t="str">
        <f>'Restating Adj'!AS9</f>
        <v>Labor Day Wildfire Restoration Capital Removal</v>
      </c>
      <c r="AT9" s="94" t="str">
        <f>'Restating Adj'!AT9</f>
        <v>WIJAM Transmission Reallocation</v>
      </c>
      <c r="AU9" s="93" t="str">
        <f>'Restating Adj'!AU9</f>
        <v>Klamath Hydroelectric Assets Transfer - Year 1</v>
      </c>
      <c r="AV9" s="92" t="str">
        <f>'Restating Adj'!AV9</f>
        <v>Confidential Wind Capital Additions - Year 1</v>
      </c>
      <c r="AW9" s="93" t="str">
        <f>'Restating Adj'!AW9</f>
        <v>Major Transmission Capital Addtions - Year 1</v>
      </c>
      <c r="AX9" s="258" t="str">
        <f>'Restating Adj'!AX9</f>
        <v>Production Factor - Year 1</v>
      </c>
      <c r="AY9" s="92" t="str">
        <f>'Restating Adj'!AY9</f>
        <v>Removal of Coal-Fired Generation Assets</v>
      </c>
      <c r="AZ9" s="94" t="str">
        <f>'Restating Adj'!AZ9</f>
        <v>Jim Bridger SCRs Removal</v>
      </c>
      <c r="BA9" s="93" t="str">
        <f>'Restating Adj'!BA9</f>
        <v>Colstrip Unit 3 Removal</v>
      </c>
      <c r="BB9" s="92" t="str">
        <f>'Restating Adj'!BB9</f>
        <v>Jim Bridger Mine Rate Base - Year 1</v>
      </c>
      <c r="BC9" s="94" t="str">
        <f>'Restating Adj'!BC9</f>
        <v>Existing Coal-Fired Generation Assets - Year 1</v>
      </c>
      <c r="BD9" s="94" t="str">
        <f>'Restating Adj'!BD9</f>
        <v>Pro Forma JB Units 3, 4 and Colstrip 4 Additions - 
Year 1</v>
      </c>
      <c r="BE9" s="94" t="str">
        <f>'Restating Adj'!BE9</f>
        <v>Pro Forma JB Units 1 &amp; 2 Additions - Year 1</v>
      </c>
      <c r="BF9" s="93" t="str">
        <f>'Restating Adj'!BF9</f>
        <v>Fly Ash Revenues - Year 1</v>
      </c>
    </row>
    <row r="10" spans="1:58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W10" s="76"/>
      <c r="AX10" s="150"/>
      <c r="AY10" s="36"/>
      <c r="BA10" s="76"/>
      <c r="BB10" s="36"/>
      <c r="BF10" s="76"/>
    </row>
    <row r="11" spans="1:58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68"/>
      <c r="AX11" s="69"/>
      <c r="AY11" s="27"/>
      <c r="AZ11" s="12"/>
      <c r="BA11" s="68"/>
      <c r="BB11" s="27"/>
      <c r="BC11" s="12"/>
      <c r="BD11" s="12"/>
      <c r="BE11" s="12"/>
      <c r="BF11" s="68"/>
    </row>
    <row r="12" spans="1:58" x14ac:dyDescent="0.2">
      <c r="A12" s="14" t="s">
        <v>45</v>
      </c>
      <c r="B12" s="28">
        <f>SUM(C12:BF12)</f>
        <v>31472700.330736585</v>
      </c>
      <c r="C12" s="29">
        <f>'Restating Adj'!C12+'Pro Forma Adj'!C12</f>
        <v>-2240536.6973766158</v>
      </c>
      <c r="D12" s="72">
        <f>'Restating Adj'!D12+'Pro Forma Adj'!D12</f>
        <v>33713237.028113201</v>
      </c>
      <c r="E12" s="72">
        <f>'Restating Adj'!E12+'Pro Forma Adj'!E12</f>
        <v>0</v>
      </c>
      <c r="F12" s="259">
        <f>'Restating Adj'!F12+'Pro Forma Adj'!F12</f>
        <v>0</v>
      </c>
      <c r="G12" s="29">
        <f>'Restating Adj'!G12+'Pro Forma Adj'!G12</f>
        <v>0</v>
      </c>
      <c r="H12" s="72">
        <f>'Restating Adj'!H12+'Pro Forma Adj'!H12</f>
        <v>0</v>
      </c>
      <c r="I12" s="72">
        <f>'Restating Adj'!I12+'Pro Forma Adj'!I12</f>
        <v>0</v>
      </c>
      <c r="J12" s="72">
        <f>'Restating Adj'!J12+'Pro Forma Adj'!J12</f>
        <v>0</v>
      </c>
      <c r="K12" s="72">
        <f>'Restating Adj'!K12+'Pro Forma Adj'!K12</f>
        <v>0</v>
      </c>
      <c r="L12" s="73">
        <f>'Restating Adj'!L12+'Pro Forma Adj'!L12</f>
        <v>0</v>
      </c>
      <c r="M12" s="29">
        <f>'Restating Adj'!M12+'Pro Forma Adj'!M12</f>
        <v>0</v>
      </c>
      <c r="N12" s="72">
        <f>'Restating Adj'!N12+'Pro Forma Adj'!N12</f>
        <v>0</v>
      </c>
      <c r="O12" s="72">
        <f>'Restating Adj'!O12+'Pro Forma Adj'!O12</f>
        <v>0</v>
      </c>
      <c r="P12" s="72">
        <f>'Restating Adj'!P12+'Pro Forma Adj'!P12</f>
        <v>0</v>
      </c>
      <c r="Q12" s="72">
        <f>'Restating Adj'!Q12+'Pro Forma Adj'!Q12</f>
        <v>0</v>
      </c>
      <c r="R12" s="73">
        <f>'Restating Adj'!R12+'Pro Forma Adj'!R12</f>
        <v>0</v>
      </c>
      <c r="S12" s="29">
        <f>'Restating Adj'!S12+'Pro Forma Adj'!S12</f>
        <v>0</v>
      </c>
      <c r="T12" s="72">
        <f>'Restating Adj'!T12+'Pro Forma Adj'!T12</f>
        <v>0</v>
      </c>
      <c r="U12" s="72">
        <f>'Restating Adj'!U12+'Pro Forma Adj'!U12</f>
        <v>0</v>
      </c>
      <c r="V12" s="72">
        <f>'Restating Adj'!V12+'Pro Forma Adj'!V12</f>
        <v>0</v>
      </c>
      <c r="W12" s="73">
        <f>'Restating Adj'!W12+'Pro Forma Adj'!W12</f>
        <v>0</v>
      </c>
      <c r="X12" s="259">
        <f>'Restating Adj'!X12+'Pro Forma Adj'!X12</f>
        <v>0</v>
      </c>
      <c r="Y12" s="29">
        <f>'Restating Adj'!Y12+'Pro Forma Adj'!Y12</f>
        <v>0</v>
      </c>
      <c r="Z12" s="72">
        <f>'Restating Adj'!Z12+'Pro Forma Adj'!Z12</f>
        <v>0</v>
      </c>
      <c r="AA12" s="72">
        <f>'Restating Adj'!AA12+'Pro Forma Adj'!AA12</f>
        <v>0</v>
      </c>
      <c r="AB12" s="29">
        <f>'Restating Adj'!AB12+'Pro Forma Adj'!AB12</f>
        <v>0</v>
      </c>
      <c r="AC12" s="73">
        <f>'Restating Adj'!AC12+'Pro Forma Adj'!AC12</f>
        <v>0</v>
      </c>
      <c r="AD12" s="29">
        <f>'Restating Adj'!AD12+'Pro Forma Adj'!AD12</f>
        <v>0</v>
      </c>
      <c r="AE12" s="72">
        <f>'Restating Adj'!AE12+'Pro Forma Adj'!AE12</f>
        <v>0</v>
      </c>
      <c r="AF12" s="72">
        <f>'Restating Adj'!AF12+'Pro Forma Adj'!AF12</f>
        <v>0</v>
      </c>
      <c r="AG12" s="72">
        <f>'Restating Adj'!AG12+'Pro Forma Adj'!AG12</f>
        <v>0</v>
      </c>
      <c r="AH12" s="72">
        <f>'Restating Adj'!AH12+'Pro Forma Adj'!AH12</f>
        <v>0</v>
      </c>
      <c r="AI12" s="73">
        <f>'Restating Adj'!AI12+'Pro Forma Adj'!AI12</f>
        <v>0</v>
      </c>
      <c r="AJ12" s="29">
        <f>'Restating Adj'!AJ12+'Pro Forma Adj'!AJ12</f>
        <v>0</v>
      </c>
      <c r="AK12" s="72">
        <f>'Restating Adj'!AK12+'Pro Forma Adj'!AK12</f>
        <v>0</v>
      </c>
      <c r="AL12" s="29">
        <f>'Restating Adj'!AL12+'Pro Forma Adj'!AL12</f>
        <v>0</v>
      </c>
      <c r="AM12" s="72">
        <f>'Restating Adj'!AM12+'Pro Forma Adj'!AM12</f>
        <v>0</v>
      </c>
      <c r="AN12" s="72">
        <f>'Restating Adj'!AN12+'Pro Forma Adj'!AN12</f>
        <v>0</v>
      </c>
      <c r="AO12" s="73">
        <f>'Restating Adj'!AO12+'Pro Forma Adj'!AO12</f>
        <v>0</v>
      </c>
      <c r="AP12" s="29">
        <f>'Restating Adj'!AP12+'Pro Forma Adj'!AP12</f>
        <v>0</v>
      </c>
      <c r="AQ12" s="72">
        <f>'Restating Adj'!AQ12+'Pro Forma Adj'!AQ12</f>
        <v>0</v>
      </c>
      <c r="AR12" s="72">
        <f>'Restating Adj'!AR12+'Pro Forma Adj'!AR12</f>
        <v>0</v>
      </c>
      <c r="AS12" s="72">
        <f>'Restating Adj'!AS12+'Pro Forma Adj'!AS12</f>
        <v>0</v>
      </c>
      <c r="AT12" s="72">
        <f>'Restating Adj'!AT12+'Pro Forma Adj'!AT12</f>
        <v>0</v>
      </c>
      <c r="AU12" s="73">
        <f>'Restating Adj'!AU12+'Pro Forma Adj'!AU12</f>
        <v>0</v>
      </c>
      <c r="AV12" s="29">
        <f>'Restating Adj'!AV12+'Pro Forma Adj'!AV12</f>
        <v>0</v>
      </c>
      <c r="AW12" s="73">
        <f>'Restating Adj'!AW12+'Pro Forma Adj'!AW12</f>
        <v>0</v>
      </c>
      <c r="AX12" s="259">
        <f>'Restating Adj'!AX12+'Pro Forma Adj'!AX12</f>
        <v>0</v>
      </c>
      <c r="AY12" s="29">
        <f>'Restating Adj'!AY12+'Pro Forma Adj'!AY12</f>
        <v>0</v>
      </c>
      <c r="AZ12" s="72">
        <f>'Restating Adj'!AZ12+'Pro Forma Adj'!AZ12</f>
        <v>0</v>
      </c>
      <c r="BA12" s="73">
        <f>'Restating Adj'!BA12+'Pro Forma Adj'!BA12</f>
        <v>0</v>
      </c>
      <c r="BB12" s="29">
        <f>'Restating Adj'!BB12+'Pro Forma Adj'!BB12</f>
        <v>0</v>
      </c>
      <c r="BC12" s="72">
        <f>'Restating Adj'!BC12+'Pro Forma Adj'!BC12</f>
        <v>0</v>
      </c>
      <c r="BD12" s="72">
        <f>'Restating Adj'!BD12+'Pro Forma Adj'!BD12</f>
        <v>0</v>
      </c>
      <c r="BE12" s="72">
        <f>'Restating Adj'!BE12+'Pro Forma Adj'!BE12</f>
        <v>0</v>
      </c>
      <c r="BF12" s="73">
        <f>'Restating Adj'!BF12+'Pro Forma Adj'!BF12</f>
        <v>0</v>
      </c>
    </row>
    <row r="13" spans="1:58" x14ac:dyDescent="0.2">
      <c r="A13" s="14" t="s">
        <v>46</v>
      </c>
      <c r="B13" s="28">
        <f>SUM(C13:BF13)</f>
        <v>0</v>
      </c>
      <c r="C13" s="29">
        <f>'Restating Adj'!C13+'Pro Forma Adj'!C13</f>
        <v>0</v>
      </c>
      <c r="D13" s="72">
        <f>'Restating Adj'!D13+'Pro Forma Adj'!D13</f>
        <v>0</v>
      </c>
      <c r="E13" s="72">
        <f>'Restating Adj'!E13+'Pro Forma Adj'!E13</f>
        <v>0</v>
      </c>
      <c r="F13" s="259">
        <f>'Restating Adj'!F13+'Pro Forma Adj'!F13</f>
        <v>0</v>
      </c>
      <c r="G13" s="29">
        <f>'Restating Adj'!G13+'Pro Forma Adj'!G13</f>
        <v>0</v>
      </c>
      <c r="H13" s="72">
        <f>'Restating Adj'!H13+'Pro Forma Adj'!H13</f>
        <v>0</v>
      </c>
      <c r="I13" s="72">
        <f>'Restating Adj'!I13+'Pro Forma Adj'!I13</f>
        <v>0</v>
      </c>
      <c r="J13" s="72">
        <f>'Restating Adj'!J13+'Pro Forma Adj'!J13</f>
        <v>0</v>
      </c>
      <c r="K13" s="72">
        <f>'Restating Adj'!K13+'Pro Forma Adj'!K13</f>
        <v>0</v>
      </c>
      <c r="L13" s="73">
        <f>'Restating Adj'!L13+'Pro Forma Adj'!L13</f>
        <v>0</v>
      </c>
      <c r="M13" s="29">
        <f>'Restating Adj'!M13+'Pro Forma Adj'!M13</f>
        <v>0</v>
      </c>
      <c r="N13" s="72">
        <f>'Restating Adj'!N13+'Pro Forma Adj'!N13</f>
        <v>0</v>
      </c>
      <c r="O13" s="72">
        <f>'Restating Adj'!O13+'Pro Forma Adj'!O13</f>
        <v>0</v>
      </c>
      <c r="P13" s="72">
        <f>'Restating Adj'!P13+'Pro Forma Adj'!P13</f>
        <v>0</v>
      </c>
      <c r="Q13" s="72">
        <f>'Restating Adj'!Q13+'Pro Forma Adj'!Q13</f>
        <v>0</v>
      </c>
      <c r="R13" s="73">
        <f>'Restating Adj'!R13+'Pro Forma Adj'!R13</f>
        <v>0</v>
      </c>
      <c r="S13" s="29">
        <f>'Restating Adj'!S13+'Pro Forma Adj'!S13</f>
        <v>0</v>
      </c>
      <c r="T13" s="72">
        <f>'Restating Adj'!T13+'Pro Forma Adj'!T13</f>
        <v>0</v>
      </c>
      <c r="U13" s="72">
        <f>'Restating Adj'!U13+'Pro Forma Adj'!U13</f>
        <v>0</v>
      </c>
      <c r="V13" s="72">
        <f>'Restating Adj'!V13+'Pro Forma Adj'!V13</f>
        <v>0</v>
      </c>
      <c r="W13" s="73">
        <f>'Restating Adj'!W13+'Pro Forma Adj'!W13</f>
        <v>0</v>
      </c>
      <c r="X13" s="259">
        <f>'Restating Adj'!X13+'Pro Forma Adj'!X13</f>
        <v>0</v>
      </c>
      <c r="Y13" s="29">
        <f>'Restating Adj'!Y13+'Pro Forma Adj'!Y13</f>
        <v>0</v>
      </c>
      <c r="Z13" s="72">
        <f>'Restating Adj'!Z13+'Pro Forma Adj'!Z13</f>
        <v>0</v>
      </c>
      <c r="AA13" s="72">
        <f>'Restating Adj'!AA13+'Pro Forma Adj'!AA13</f>
        <v>0</v>
      </c>
      <c r="AB13" s="29">
        <f>'Restating Adj'!AB13+'Pro Forma Adj'!AB13</f>
        <v>0</v>
      </c>
      <c r="AC13" s="73">
        <f>'Restating Adj'!AC13+'Pro Forma Adj'!AC13</f>
        <v>0</v>
      </c>
      <c r="AD13" s="29">
        <f>'Restating Adj'!AD13+'Pro Forma Adj'!AD13</f>
        <v>0</v>
      </c>
      <c r="AE13" s="72">
        <f>'Restating Adj'!AE13+'Pro Forma Adj'!AE13</f>
        <v>0</v>
      </c>
      <c r="AF13" s="72">
        <f>'Restating Adj'!AF13+'Pro Forma Adj'!AF13</f>
        <v>0</v>
      </c>
      <c r="AG13" s="72">
        <f>'Restating Adj'!AG13+'Pro Forma Adj'!AG13</f>
        <v>0</v>
      </c>
      <c r="AH13" s="72">
        <f>'Restating Adj'!AH13+'Pro Forma Adj'!AH13</f>
        <v>0</v>
      </c>
      <c r="AI13" s="73">
        <f>'Restating Adj'!AI13+'Pro Forma Adj'!AI13</f>
        <v>0</v>
      </c>
      <c r="AJ13" s="29">
        <f>'Restating Adj'!AJ13+'Pro Forma Adj'!AJ13</f>
        <v>0</v>
      </c>
      <c r="AK13" s="72">
        <f>'Restating Adj'!AK13+'Pro Forma Adj'!AK13</f>
        <v>0</v>
      </c>
      <c r="AL13" s="29">
        <f>'Restating Adj'!AL13+'Pro Forma Adj'!AL13</f>
        <v>0</v>
      </c>
      <c r="AM13" s="72">
        <f>'Restating Adj'!AM13+'Pro Forma Adj'!AM13</f>
        <v>0</v>
      </c>
      <c r="AN13" s="72">
        <f>'Restating Adj'!AN13+'Pro Forma Adj'!AN13</f>
        <v>0</v>
      </c>
      <c r="AO13" s="73">
        <f>'Restating Adj'!AO13+'Pro Forma Adj'!AO13</f>
        <v>0</v>
      </c>
      <c r="AP13" s="29">
        <f>'Restating Adj'!AP13+'Pro Forma Adj'!AP13</f>
        <v>0</v>
      </c>
      <c r="AQ13" s="72">
        <f>'Restating Adj'!AQ13+'Pro Forma Adj'!AQ13</f>
        <v>0</v>
      </c>
      <c r="AR13" s="72">
        <f>'Restating Adj'!AR13+'Pro Forma Adj'!AR13</f>
        <v>0</v>
      </c>
      <c r="AS13" s="72">
        <f>'Restating Adj'!AS13+'Pro Forma Adj'!AS13</f>
        <v>0</v>
      </c>
      <c r="AT13" s="72">
        <f>'Restating Adj'!AT13+'Pro Forma Adj'!AT13</f>
        <v>0</v>
      </c>
      <c r="AU13" s="73">
        <f>'Restating Adj'!AU13+'Pro Forma Adj'!AU13</f>
        <v>0</v>
      </c>
      <c r="AV13" s="29">
        <f>'Restating Adj'!AV13+'Pro Forma Adj'!AV13</f>
        <v>0</v>
      </c>
      <c r="AW13" s="73">
        <f>'Restating Adj'!AW13+'Pro Forma Adj'!AW13</f>
        <v>0</v>
      </c>
      <c r="AX13" s="259">
        <f>'Restating Adj'!AX13+'Pro Forma Adj'!AX13</f>
        <v>0</v>
      </c>
      <c r="AY13" s="29">
        <f>'Restating Adj'!AY13+'Pro Forma Adj'!AY13</f>
        <v>0</v>
      </c>
      <c r="AZ13" s="72">
        <f>'Restating Adj'!AZ13+'Pro Forma Adj'!AZ13</f>
        <v>0</v>
      </c>
      <c r="BA13" s="73">
        <f>'Restating Adj'!BA13+'Pro Forma Adj'!BA13</f>
        <v>0</v>
      </c>
      <c r="BB13" s="29">
        <f>'Restating Adj'!BB13+'Pro Forma Adj'!BB13</f>
        <v>0</v>
      </c>
      <c r="BC13" s="72">
        <f>'Restating Adj'!BC13+'Pro Forma Adj'!BC13</f>
        <v>0</v>
      </c>
      <c r="BD13" s="72">
        <f>'Restating Adj'!BD13+'Pro Forma Adj'!BD13</f>
        <v>0</v>
      </c>
      <c r="BE13" s="72">
        <f>'Restating Adj'!BE13+'Pro Forma Adj'!BE13</f>
        <v>0</v>
      </c>
      <c r="BF13" s="73">
        <f>'Restating Adj'!BF13+'Pro Forma Adj'!BF13</f>
        <v>0</v>
      </c>
    </row>
    <row r="14" spans="1:58" x14ac:dyDescent="0.2">
      <c r="A14" s="14" t="s">
        <v>47</v>
      </c>
      <c r="B14" s="28">
        <f>SUM(C14:BF14)</f>
        <v>19148484.22576125</v>
      </c>
      <c r="C14" s="29">
        <f>'Restating Adj'!C14+'Pro Forma Adj'!C14</f>
        <v>0</v>
      </c>
      <c r="D14" s="72">
        <f>'Restating Adj'!D14+'Pro Forma Adj'!D14</f>
        <v>0</v>
      </c>
      <c r="E14" s="72">
        <f>'Restating Adj'!E14+'Pro Forma Adj'!E14</f>
        <v>0</v>
      </c>
      <c r="F14" s="259">
        <f>'Restating Adj'!F14+'Pro Forma Adj'!F14</f>
        <v>0</v>
      </c>
      <c r="G14" s="29">
        <f>'Restating Adj'!G14+'Pro Forma Adj'!G14</f>
        <v>0</v>
      </c>
      <c r="H14" s="72">
        <f>'Restating Adj'!H14+'Pro Forma Adj'!H14</f>
        <v>0</v>
      </c>
      <c r="I14" s="72">
        <f>'Restating Adj'!I14+'Pro Forma Adj'!I14</f>
        <v>0</v>
      </c>
      <c r="J14" s="72">
        <f>'Restating Adj'!J14+'Pro Forma Adj'!J14</f>
        <v>0</v>
      </c>
      <c r="K14" s="72">
        <f>'Restating Adj'!K14+'Pro Forma Adj'!K14</f>
        <v>0</v>
      </c>
      <c r="L14" s="73">
        <f>'Restating Adj'!L14+'Pro Forma Adj'!L14</f>
        <v>0</v>
      </c>
      <c r="M14" s="29">
        <f>'Restating Adj'!M14+'Pro Forma Adj'!M14</f>
        <v>0</v>
      </c>
      <c r="N14" s="72">
        <f>'Restating Adj'!N14+'Pro Forma Adj'!N14</f>
        <v>0</v>
      </c>
      <c r="O14" s="72">
        <f>'Restating Adj'!O14+'Pro Forma Adj'!O14</f>
        <v>0</v>
      </c>
      <c r="P14" s="72">
        <f>'Restating Adj'!P14+'Pro Forma Adj'!P14</f>
        <v>0</v>
      </c>
      <c r="Q14" s="72">
        <f>'Restating Adj'!Q14+'Pro Forma Adj'!Q14</f>
        <v>0</v>
      </c>
      <c r="R14" s="73">
        <f>'Restating Adj'!R14+'Pro Forma Adj'!R14</f>
        <v>0</v>
      </c>
      <c r="S14" s="29">
        <f>'Restating Adj'!S14+'Pro Forma Adj'!S14</f>
        <v>0</v>
      </c>
      <c r="T14" s="72">
        <f>'Restating Adj'!T14+'Pro Forma Adj'!T14</f>
        <v>19038327.299635988</v>
      </c>
      <c r="U14" s="72">
        <f>'Restating Adj'!U14+'Pro Forma Adj'!U14</f>
        <v>0</v>
      </c>
      <c r="V14" s="72">
        <f>'Restating Adj'!V14+'Pro Forma Adj'!V14</f>
        <v>0</v>
      </c>
      <c r="W14" s="73">
        <f>'Restating Adj'!W14+'Pro Forma Adj'!W14</f>
        <v>0</v>
      </c>
      <c r="X14" s="259">
        <f>'Restating Adj'!X14+'Pro Forma Adj'!X14</f>
        <v>0</v>
      </c>
      <c r="Y14" s="29">
        <f>'Restating Adj'!Y14+'Pro Forma Adj'!Y14</f>
        <v>0</v>
      </c>
      <c r="Z14" s="72">
        <f>'Restating Adj'!Z14+'Pro Forma Adj'!Z14</f>
        <v>0</v>
      </c>
      <c r="AA14" s="72">
        <f>'Restating Adj'!AA14+'Pro Forma Adj'!AA14</f>
        <v>0</v>
      </c>
      <c r="AB14" s="29">
        <f>'Restating Adj'!AB14+'Pro Forma Adj'!AB14</f>
        <v>0</v>
      </c>
      <c r="AC14" s="73">
        <f>'Restating Adj'!AC14+'Pro Forma Adj'!AC14</f>
        <v>0</v>
      </c>
      <c r="AD14" s="29">
        <f>'Restating Adj'!AD14+'Pro Forma Adj'!AD14</f>
        <v>0</v>
      </c>
      <c r="AE14" s="72">
        <f>'Restating Adj'!AE14+'Pro Forma Adj'!AE14</f>
        <v>0</v>
      </c>
      <c r="AF14" s="72">
        <f>'Restating Adj'!AF14+'Pro Forma Adj'!AF14</f>
        <v>0</v>
      </c>
      <c r="AG14" s="72">
        <f>'Restating Adj'!AG14+'Pro Forma Adj'!AG14</f>
        <v>0</v>
      </c>
      <c r="AH14" s="72">
        <f>'Restating Adj'!AH14+'Pro Forma Adj'!AH14</f>
        <v>0</v>
      </c>
      <c r="AI14" s="73">
        <f>'Restating Adj'!AI14+'Pro Forma Adj'!AI14</f>
        <v>0</v>
      </c>
      <c r="AJ14" s="29">
        <f>'Restating Adj'!AJ14+'Pro Forma Adj'!AJ14</f>
        <v>0</v>
      </c>
      <c r="AK14" s="72">
        <f>'Restating Adj'!AK14+'Pro Forma Adj'!AK14</f>
        <v>0</v>
      </c>
      <c r="AL14" s="29">
        <f>'Restating Adj'!AL14+'Pro Forma Adj'!AL14</f>
        <v>0</v>
      </c>
      <c r="AM14" s="72">
        <f>'Restating Adj'!AM14+'Pro Forma Adj'!AM14</f>
        <v>0</v>
      </c>
      <c r="AN14" s="72">
        <f>'Restating Adj'!AN14+'Pro Forma Adj'!AN14</f>
        <v>0</v>
      </c>
      <c r="AO14" s="73">
        <f>'Restating Adj'!AO14+'Pro Forma Adj'!AO14</f>
        <v>0</v>
      </c>
      <c r="AP14" s="29">
        <f>'Restating Adj'!AP14+'Pro Forma Adj'!AP14</f>
        <v>0</v>
      </c>
      <c r="AQ14" s="72">
        <f>'Restating Adj'!AQ14+'Pro Forma Adj'!AQ14</f>
        <v>0</v>
      </c>
      <c r="AR14" s="72">
        <f>'Restating Adj'!AR14+'Pro Forma Adj'!AR14</f>
        <v>0</v>
      </c>
      <c r="AS14" s="72">
        <f>'Restating Adj'!AS14+'Pro Forma Adj'!AS14</f>
        <v>0</v>
      </c>
      <c r="AT14" s="72">
        <f>'Restating Adj'!AT14+'Pro Forma Adj'!AT14</f>
        <v>0</v>
      </c>
      <c r="AU14" s="73">
        <f>'Restating Adj'!AU14+'Pro Forma Adj'!AU14</f>
        <v>0</v>
      </c>
      <c r="AV14" s="29">
        <f>'Restating Adj'!AV14+'Pro Forma Adj'!AV14</f>
        <v>0</v>
      </c>
      <c r="AW14" s="73">
        <f>'Restating Adj'!AW14+'Pro Forma Adj'!AW14</f>
        <v>0</v>
      </c>
      <c r="AX14" s="259">
        <f>'Restating Adj'!AX14+'Pro Forma Adj'!AX14</f>
        <v>110156.92612526193</v>
      </c>
      <c r="AY14" s="29">
        <f>'Restating Adj'!AY14+'Pro Forma Adj'!AY14</f>
        <v>0</v>
      </c>
      <c r="AZ14" s="72">
        <f>'Restating Adj'!AZ14+'Pro Forma Adj'!AZ14</f>
        <v>0</v>
      </c>
      <c r="BA14" s="73">
        <f>'Restating Adj'!BA14+'Pro Forma Adj'!BA14</f>
        <v>0</v>
      </c>
      <c r="BB14" s="29">
        <f>'Restating Adj'!BB14+'Pro Forma Adj'!BB14</f>
        <v>0</v>
      </c>
      <c r="BC14" s="72">
        <f>'Restating Adj'!BC14+'Pro Forma Adj'!BC14</f>
        <v>0</v>
      </c>
      <c r="BD14" s="72">
        <f>'Restating Adj'!BD14+'Pro Forma Adj'!BD14</f>
        <v>0</v>
      </c>
      <c r="BE14" s="72">
        <f>'Restating Adj'!BE14+'Pro Forma Adj'!BE14</f>
        <v>0</v>
      </c>
      <c r="BF14" s="73">
        <f>'Restating Adj'!BF14+'Pro Forma Adj'!BF14</f>
        <v>0</v>
      </c>
    </row>
    <row r="15" spans="1:58" x14ac:dyDescent="0.2">
      <c r="A15" s="14" t="s">
        <v>48</v>
      </c>
      <c r="B15" s="28">
        <f>SUM(C15:BF15)</f>
        <v>642435.21589630411</v>
      </c>
      <c r="C15" s="29">
        <f>'Restating Adj'!C15+'Pro Forma Adj'!C15</f>
        <v>0</v>
      </c>
      <c r="D15" s="72">
        <f>'Restating Adj'!D15+'Pro Forma Adj'!D15</f>
        <v>0</v>
      </c>
      <c r="E15" s="72">
        <f>'Restating Adj'!E15+'Pro Forma Adj'!E15</f>
        <v>1403022.0003689292</v>
      </c>
      <c r="F15" s="259">
        <f>'Restating Adj'!F15+'Pro Forma Adj'!F15</f>
        <v>0</v>
      </c>
      <c r="G15" s="29">
        <f>'Restating Adj'!G15+'Pro Forma Adj'!G15</f>
        <v>0</v>
      </c>
      <c r="H15" s="72">
        <f>'Restating Adj'!H15+'Pro Forma Adj'!H15</f>
        <v>0</v>
      </c>
      <c r="I15" s="72">
        <f>'Restating Adj'!I15+'Pro Forma Adj'!I15</f>
        <v>0</v>
      </c>
      <c r="J15" s="72">
        <f>'Restating Adj'!J15+'Pro Forma Adj'!J15</f>
        <v>0</v>
      </c>
      <c r="K15" s="72">
        <f>'Restating Adj'!K15+'Pro Forma Adj'!K15</f>
        <v>0</v>
      </c>
      <c r="L15" s="73">
        <f>'Restating Adj'!L15+'Pro Forma Adj'!L15</f>
        <v>0</v>
      </c>
      <c r="M15" s="29">
        <f>'Restating Adj'!M15+'Pro Forma Adj'!M15</f>
        <v>0</v>
      </c>
      <c r="N15" s="72">
        <f>'Restating Adj'!N15+'Pro Forma Adj'!N15</f>
        <v>0</v>
      </c>
      <c r="O15" s="72">
        <f>'Restating Adj'!O15+'Pro Forma Adj'!O15</f>
        <v>0</v>
      </c>
      <c r="P15" s="72">
        <f>'Restating Adj'!P15+'Pro Forma Adj'!P15</f>
        <v>0</v>
      </c>
      <c r="Q15" s="72">
        <f>'Restating Adj'!Q15+'Pro Forma Adj'!Q15</f>
        <v>0</v>
      </c>
      <c r="R15" s="73">
        <f>'Restating Adj'!R15+'Pro Forma Adj'!R15</f>
        <v>0</v>
      </c>
      <c r="S15" s="29">
        <f>'Restating Adj'!S15+'Pro Forma Adj'!S15</f>
        <v>0</v>
      </c>
      <c r="T15" s="72">
        <f>'Restating Adj'!T15+'Pro Forma Adj'!T15</f>
        <v>0</v>
      </c>
      <c r="U15" s="72">
        <f>'Restating Adj'!U15+'Pro Forma Adj'!U15</f>
        <v>265774.14632870059</v>
      </c>
      <c r="V15" s="72">
        <f>'Restating Adj'!V15+'Pro Forma Adj'!V15</f>
        <v>0</v>
      </c>
      <c r="W15" s="73">
        <f>'Restating Adj'!W15+'Pro Forma Adj'!W15</f>
        <v>0</v>
      </c>
      <c r="X15" s="259">
        <f>'Restating Adj'!X15+'Pro Forma Adj'!X15</f>
        <v>0</v>
      </c>
      <c r="Y15" s="29">
        <f>'Restating Adj'!Y15+'Pro Forma Adj'!Y15</f>
        <v>0</v>
      </c>
      <c r="Z15" s="72">
        <f>'Restating Adj'!Z15+'Pro Forma Adj'!Z15</f>
        <v>0</v>
      </c>
      <c r="AA15" s="72">
        <f>'Restating Adj'!AA15+'Pro Forma Adj'!AA15</f>
        <v>0</v>
      </c>
      <c r="AB15" s="29">
        <f>'Restating Adj'!AB15+'Pro Forma Adj'!AB15</f>
        <v>0</v>
      </c>
      <c r="AC15" s="73">
        <f>'Restating Adj'!AC15+'Pro Forma Adj'!AC15</f>
        <v>0</v>
      </c>
      <c r="AD15" s="29">
        <f>'Restating Adj'!AD15+'Pro Forma Adj'!AD15</f>
        <v>0</v>
      </c>
      <c r="AE15" s="72">
        <f>'Restating Adj'!AE15+'Pro Forma Adj'!AE15</f>
        <v>0</v>
      </c>
      <c r="AF15" s="72">
        <f>'Restating Adj'!AF15+'Pro Forma Adj'!AF15</f>
        <v>0</v>
      </c>
      <c r="AG15" s="72">
        <f>'Restating Adj'!AG15+'Pro Forma Adj'!AG15</f>
        <v>0</v>
      </c>
      <c r="AH15" s="72">
        <f>'Restating Adj'!AH15+'Pro Forma Adj'!AH15</f>
        <v>0</v>
      </c>
      <c r="AI15" s="73">
        <f>'Restating Adj'!AI15+'Pro Forma Adj'!AI15</f>
        <v>0</v>
      </c>
      <c r="AJ15" s="29">
        <f>'Restating Adj'!AJ15+'Pro Forma Adj'!AJ15</f>
        <v>0</v>
      </c>
      <c r="AK15" s="72">
        <f>'Restating Adj'!AK15+'Pro Forma Adj'!AK15</f>
        <v>0</v>
      </c>
      <c r="AL15" s="29">
        <f>'Restating Adj'!AL15+'Pro Forma Adj'!AL15</f>
        <v>0</v>
      </c>
      <c r="AM15" s="72">
        <f>'Restating Adj'!AM15+'Pro Forma Adj'!AM15</f>
        <v>0</v>
      </c>
      <c r="AN15" s="72">
        <f>'Restating Adj'!AN15+'Pro Forma Adj'!AN15</f>
        <v>0</v>
      </c>
      <c r="AO15" s="73">
        <f>'Restating Adj'!AO15+'Pro Forma Adj'!AO15</f>
        <v>0</v>
      </c>
      <c r="AP15" s="29">
        <f>'Restating Adj'!AP15+'Pro Forma Adj'!AP15</f>
        <v>0</v>
      </c>
      <c r="AQ15" s="72">
        <f>'Restating Adj'!AQ15+'Pro Forma Adj'!AQ15</f>
        <v>0</v>
      </c>
      <c r="AR15" s="72">
        <f>'Restating Adj'!AR15+'Pro Forma Adj'!AR15</f>
        <v>0</v>
      </c>
      <c r="AS15" s="72">
        <f>'Restating Adj'!AS15+'Pro Forma Adj'!AS15</f>
        <v>0</v>
      </c>
      <c r="AT15" s="72">
        <f>'Restating Adj'!AT15+'Pro Forma Adj'!AT15</f>
        <v>0</v>
      </c>
      <c r="AU15" s="73">
        <f>'Restating Adj'!AU15+'Pro Forma Adj'!AU15</f>
        <v>0</v>
      </c>
      <c r="AV15" s="29">
        <f>'Restating Adj'!AV15+'Pro Forma Adj'!AV15</f>
        <v>0</v>
      </c>
      <c r="AW15" s="73">
        <f>'Restating Adj'!AW15+'Pro Forma Adj'!AW15</f>
        <v>0</v>
      </c>
      <c r="AX15" s="259">
        <f>'Restating Adj'!AX15+'Pro Forma Adj'!AX15</f>
        <v>-5532.8879920264008</v>
      </c>
      <c r="AY15" s="29">
        <f>'Restating Adj'!AY15+'Pro Forma Adj'!AY15</f>
        <v>0</v>
      </c>
      <c r="AZ15" s="72">
        <f>'Restating Adj'!AZ15+'Pro Forma Adj'!AZ15</f>
        <v>0</v>
      </c>
      <c r="BA15" s="73">
        <f>'Restating Adj'!BA15+'Pro Forma Adj'!BA15</f>
        <v>0</v>
      </c>
      <c r="BB15" s="29">
        <f>'Restating Adj'!BB15+'Pro Forma Adj'!BB15</f>
        <v>0</v>
      </c>
      <c r="BC15" s="72">
        <f>'Restating Adj'!BC15+'Pro Forma Adj'!BC15</f>
        <v>0</v>
      </c>
      <c r="BD15" s="72">
        <f>'Restating Adj'!BD15+'Pro Forma Adj'!BD15</f>
        <v>0</v>
      </c>
      <c r="BE15" s="72">
        <f>'Restating Adj'!BE15+'Pro Forma Adj'!BE15</f>
        <v>0</v>
      </c>
      <c r="BF15" s="73">
        <f>'Restating Adj'!BF15+'Pro Forma Adj'!BF15</f>
        <v>-1020828.0428092993</v>
      </c>
    </row>
    <row r="16" spans="1:58" x14ac:dyDescent="0.2">
      <c r="A16" s="14" t="s">
        <v>49</v>
      </c>
      <c r="B16" s="30">
        <f>SUM(C16:BF16)</f>
        <v>51263619.772394143</v>
      </c>
      <c r="C16" s="30">
        <f>SUM(C12:C15)</f>
        <v>-2240536.6973766158</v>
      </c>
      <c r="D16" s="74">
        <f t="shared" ref="D16:AO16" si="0">SUM(D12:D15)</f>
        <v>33713237.028113201</v>
      </c>
      <c r="E16" s="74">
        <f t="shared" si="0"/>
        <v>1403022.0003689292</v>
      </c>
      <c r="F16" s="143">
        <f t="shared" si="0"/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ref="S16:T16" si="1">SUM(S12:S15)</f>
        <v>0</v>
      </c>
      <c r="T16" s="74">
        <f t="shared" si="1"/>
        <v>19038327.299635988</v>
      </c>
      <c r="U16" s="74">
        <f t="shared" ref="U16:V16" si="2">SUM(U12:U15)</f>
        <v>265774.14632870059</v>
      </c>
      <c r="V16" s="74">
        <f t="shared" si="2"/>
        <v>0</v>
      </c>
      <c r="W16" s="75">
        <f t="shared" ref="W16" si="3">SUM(W12:W15)</f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" si="4">SUM(AK12:AK15)</f>
        <v>0</v>
      </c>
      <c r="AL16" s="30">
        <f t="shared" si="0"/>
        <v>0</v>
      </c>
      <c r="AM16" s="74">
        <f t="shared" si="0"/>
        <v>0</v>
      </c>
      <c r="AN16" s="74">
        <f t="shared" si="0"/>
        <v>0</v>
      </c>
      <c r="AO16" s="75">
        <f t="shared" si="0"/>
        <v>0</v>
      </c>
      <c r="AP16" s="30">
        <f t="shared" ref="AP16:AW16" si="5">SUM(AP12:AP15)</f>
        <v>0</v>
      </c>
      <c r="AQ16" s="74">
        <f t="shared" si="5"/>
        <v>0</v>
      </c>
      <c r="AR16" s="74">
        <f t="shared" si="5"/>
        <v>0</v>
      </c>
      <c r="AS16" s="74">
        <f t="shared" si="5"/>
        <v>0</v>
      </c>
      <c r="AT16" s="74">
        <f t="shared" si="5"/>
        <v>0</v>
      </c>
      <c r="AU16" s="75">
        <f t="shared" si="5"/>
        <v>0</v>
      </c>
      <c r="AV16" s="30">
        <f t="shared" si="5"/>
        <v>0</v>
      </c>
      <c r="AW16" s="75">
        <f t="shared" si="5"/>
        <v>0</v>
      </c>
      <c r="AX16" s="143">
        <f t="shared" ref="AX16:BA16" si="6">SUM(AX12:AX15)</f>
        <v>104624.03813323553</v>
      </c>
      <c r="AY16" s="30">
        <f t="shared" si="6"/>
        <v>0</v>
      </c>
      <c r="AZ16" s="74">
        <f t="shared" si="6"/>
        <v>0</v>
      </c>
      <c r="BA16" s="75">
        <f t="shared" si="6"/>
        <v>0</v>
      </c>
      <c r="BB16" s="30">
        <f t="shared" ref="BB16:BE16" si="7">SUM(BB12:BB15)</f>
        <v>0</v>
      </c>
      <c r="BC16" s="74">
        <f t="shared" si="7"/>
        <v>0</v>
      </c>
      <c r="BD16" s="74">
        <f t="shared" si="7"/>
        <v>0</v>
      </c>
      <c r="BE16" s="74">
        <f t="shared" si="7"/>
        <v>0</v>
      </c>
      <c r="BF16" s="75">
        <f t="shared" ref="BF16" si="8">SUM(BF12:BF15)</f>
        <v>-1020828.0428092993</v>
      </c>
    </row>
    <row r="17" spans="1:58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68"/>
      <c r="AX17" s="69"/>
      <c r="AY17" s="27"/>
      <c r="AZ17" s="12"/>
      <c r="BA17" s="68"/>
      <c r="BB17" s="27"/>
      <c r="BC17" s="12"/>
      <c r="BD17" s="12"/>
      <c r="BE17" s="12"/>
      <c r="BF17" s="68"/>
    </row>
    <row r="18" spans="1:58" x14ac:dyDescent="0.2">
      <c r="A18" s="14" t="s">
        <v>50</v>
      </c>
      <c r="B18" s="27">
        <f t="shared" ref="B18:B38" si="9">SUM(C18:BF18)</f>
        <v>0</v>
      </c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68"/>
      <c r="AX18" s="69"/>
      <c r="AY18" s="27"/>
      <c r="AZ18" s="12"/>
      <c r="BA18" s="68"/>
      <c r="BB18" s="27"/>
      <c r="BC18" s="12"/>
      <c r="BD18" s="12"/>
      <c r="BE18" s="12"/>
      <c r="BF18" s="68"/>
    </row>
    <row r="19" spans="1:58" x14ac:dyDescent="0.2">
      <c r="A19" s="14" t="s">
        <v>51</v>
      </c>
      <c r="B19" s="28">
        <f t="shared" si="9"/>
        <v>-568436.0687204313</v>
      </c>
      <c r="C19" s="29">
        <f>'Restating Adj'!C19+'Pro Forma Adj'!C19</f>
        <v>0</v>
      </c>
      <c r="D19" s="72">
        <f>'Restating Adj'!D19+'Pro Forma Adj'!D19</f>
        <v>0</v>
      </c>
      <c r="E19" s="72">
        <f>'Restating Adj'!E19+'Pro Forma Adj'!E19</f>
        <v>0</v>
      </c>
      <c r="F19" s="259">
        <f>'Restating Adj'!F19+'Pro Forma Adj'!F19</f>
        <v>0</v>
      </c>
      <c r="G19" s="29">
        <f>'Restating Adj'!G19+'Pro Forma Adj'!G19</f>
        <v>64166.110936278637</v>
      </c>
      <c r="H19" s="72">
        <f>'Restating Adj'!H19+'Pro Forma Adj'!H19</f>
        <v>308328.15669029724</v>
      </c>
      <c r="I19" s="72">
        <f>'Restating Adj'!I19+'Pro Forma Adj'!I19</f>
        <v>0</v>
      </c>
      <c r="J19" s="72">
        <f>'Restating Adj'!J19+'Pro Forma Adj'!J19</f>
        <v>0</v>
      </c>
      <c r="K19" s="72">
        <f>'Restating Adj'!K19+'Pro Forma Adj'!K19</f>
        <v>0</v>
      </c>
      <c r="L19" s="73">
        <f>'Restating Adj'!L19+'Pro Forma Adj'!L19</f>
        <v>0</v>
      </c>
      <c r="M19" s="29">
        <f>'Restating Adj'!M19+'Pro Forma Adj'!M19</f>
        <v>0</v>
      </c>
      <c r="N19" s="72">
        <f>'Restating Adj'!N19+'Pro Forma Adj'!N19</f>
        <v>0</v>
      </c>
      <c r="O19" s="72">
        <f>'Restating Adj'!O19+'Pro Forma Adj'!O19</f>
        <v>0</v>
      </c>
      <c r="P19" s="72">
        <f>'Restating Adj'!P19+'Pro Forma Adj'!P19</f>
        <v>0</v>
      </c>
      <c r="Q19" s="72">
        <f>'Restating Adj'!Q19+'Pro Forma Adj'!Q19</f>
        <v>0</v>
      </c>
      <c r="R19" s="73">
        <f>'Restating Adj'!R19+'Pro Forma Adj'!R19</f>
        <v>0</v>
      </c>
      <c r="S19" s="29">
        <f>'Restating Adj'!S19+'Pro Forma Adj'!S19</f>
        <v>0</v>
      </c>
      <c r="T19" s="72">
        <f>'Restating Adj'!T19+'Pro Forma Adj'!T19</f>
        <v>-2185033.31137479</v>
      </c>
      <c r="U19" s="72">
        <f>'Restating Adj'!U19+'Pro Forma Adj'!U19</f>
        <v>0</v>
      </c>
      <c r="V19" s="72">
        <f>'Restating Adj'!V19+'Pro Forma Adj'!V19</f>
        <v>0</v>
      </c>
      <c r="W19" s="73">
        <f>'Restating Adj'!W19+'Pro Forma Adj'!W19</f>
        <v>0</v>
      </c>
      <c r="X19" s="259">
        <f>'Restating Adj'!X19+'Pro Forma Adj'!X19</f>
        <v>0</v>
      </c>
      <c r="Y19" s="29">
        <f>'Restating Adj'!Y19+'Pro Forma Adj'!Y19</f>
        <v>0</v>
      </c>
      <c r="Z19" s="72">
        <f>'Restating Adj'!Z19+'Pro Forma Adj'!Z19</f>
        <v>0</v>
      </c>
      <c r="AA19" s="72">
        <f>'Restating Adj'!AA19+'Pro Forma Adj'!AA19</f>
        <v>2233092.2074194313</v>
      </c>
      <c r="AB19" s="29">
        <f>'Restating Adj'!AB19+'Pro Forma Adj'!AB19</f>
        <v>0</v>
      </c>
      <c r="AC19" s="73">
        <f>'Restating Adj'!AC19+'Pro Forma Adj'!AC19</f>
        <v>0</v>
      </c>
      <c r="AD19" s="29">
        <f>'Restating Adj'!AD19+'Pro Forma Adj'!AD19</f>
        <v>0</v>
      </c>
      <c r="AE19" s="72">
        <f>'Restating Adj'!AE19+'Pro Forma Adj'!AE19</f>
        <v>0</v>
      </c>
      <c r="AF19" s="72">
        <f>'Restating Adj'!AF19+'Pro Forma Adj'!AF19</f>
        <v>0</v>
      </c>
      <c r="AG19" s="72">
        <f>'Restating Adj'!AG19+'Pro Forma Adj'!AG19</f>
        <v>0</v>
      </c>
      <c r="AH19" s="72">
        <f>'Restating Adj'!AH19+'Pro Forma Adj'!AH19</f>
        <v>0</v>
      </c>
      <c r="AI19" s="73">
        <f>'Restating Adj'!AI19+'Pro Forma Adj'!AI19</f>
        <v>0</v>
      </c>
      <c r="AJ19" s="29">
        <f>'Restating Adj'!AJ19+'Pro Forma Adj'!AJ19</f>
        <v>0</v>
      </c>
      <c r="AK19" s="72">
        <f>'Restating Adj'!AK19+'Pro Forma Adj'!AK19</f>
        <v>0</v>
      </c>
      <c r="AL19" s="29">
        <f>'Restating Adj'!AL19+'Pro Forma Adj'!AL19</f>
        <v>0</v>
      </c>
      <c r="AM19" s="72">
        <f>'Restating Adj'!AM19+'Pro Forma Adj'!AM19</f>
        <v>0</v>
      </c>
      <c r="AN19" s="72">
        <f>'Restating Adj'!AN19+'Pro Forma Adj'!AN19</f>
        <v>0</v>
      </c>
      <c r="AO19" s="73">
        <f>'Restating Adj'!AO19+'Pro Forma Adj'!AO19</f>
        <v>0</v>
      </c>
      <c r="AP19" s="29">
        <f>'Restating Adj'!AP19+'Pro Forma Adj'!AP19</f>
        <v>0</v>
      </c>
      <c r="AQ19" s="72">
        <f>'Restating Adj'!AQ19+'Pro Forma Adj'!AQ19</f>
        <v>0</v>
      </c>
      <c r="AR19" s="72">
        <f>'Restating Adj'!AR19+'Pro Forma Adj'!AR19</f>
        <v>0</v>
      </c>
      <c r="AS19" s="72">
        <f>'Restating Adj'!AS19+'Pro Forma Adj'!AS19</f>
        <v>0</v>
      </c>
      <c r="AT19" s="72">
        <f>'Restating Adj'!AT19+'Pro Forma Adj'!AT19</f>
        <v>0</v>
      </c>
      <c r="AU19" s="73">
        <f>'Restating Adj'!AU19+'Pro Forma Adj'!AU19</f>
        <v>0</v>
      </c>
      <c r="AV19" s="29">
        <f>'Restating Adj'!AV19+'Pro Forma Adj'!AV19</f>
        <v>0</v>
      </c>
      <c r="AW19" s="73">
        <f>'Restating Adj'!AW19+'Pro Forma Adj'!AW19</f>
        <v>0</v>
      </c>
      <c r="AX19" s="259">
        <f>'Restating Adj'!AX19+'Pro Forma Adj'!AX19</f>
        <v>212943.29145472497</v>
      </c>
      <c r="AY19" s="29">
        <f>'Restating Adj'!AY19+'Pro Forma Adj'!AY19</f>
        <v>0</v>
      </c>
      <c r="AZ19" s="72">
        <f>'Restating Adj'!AZ19+'Pro Forma Adj'!AZ19</f>
        <v>0</v>
      </c>
      <c r="BA19" s="73">
        <f>'Restating Adj'!BA19+'Pro Forma Adj'!BA19</f>
        <v>-1201932.5238463734</v>
      </c>
      <c r="BB19" s="29">
        <f>'Restating Adj'!BB19+'Pro Forma Adj'!BB19</f>
        <v>0</v>
      </c>
      <c r="BC19" s="72">
        <f>'Restating Adj'!BC19+'Pro Forma Adj'!BC19</f>
        <v>0</v>
      </c>
      <c r="BD19" s="72">
        <f>'Restating Adj'!BD19+'Pro Forma Adj'!BD19</f>
        <v>0</v>
      </c>
      <c r="BE19" s="72">
        <f>'Restating Adj'!BE19+'Pro Forma Adj'!BE19</f>
        <v>0</v>
      </c>
      <c r="BF19" s="73">
        <f>'Restating Adj'!BF19+'Pro Forma Adj'!BF19</f>
        <v>0</v>
      </c>
    </row>
    <row r="20" spans="1:58" x14ac:dyDescent="0.2">
      <c r="A20" s="14" t="s">
        <v>52</v>
      </c>
      <c r="B20" s="28">
        <f t="shared" si="9"/>
        <v>0</v>
      </c>
      <c r="C20" s="29">
        <f>'Restating Adj'!C20+'Pro Forma Adj'!C20</f>
        <v>0</v>
      </c>
      <c r="D20" s="72">
        <f>'Restating Adj'!D20+'Pro Forma Adj'!D20</f>
        <v>0</v>
      </c>
      <c r="E20" s="72">
        <f>'Restating Adj'!E20+'Pro Forma Adj'!E20</f>
        <v>0</v>
      </c>
      <c r="F20" s="259">
        <f>'Restating Adj'!F20+'Pro Forma Adj'!F20</f>
        <v>0</v>
      </c>
      <c r="G20" s="29">
        <f>'Restating Adj'!G20+'Pro Forma Adj'!G20</f>
        <v>0</v>
      </c>
      <c r="H20" s="72">
        <f>'Restating Adj'!H20+'Pro Forma Adj'!H20</f>
        <v>0</v>
      </c>
      <c r="I20" s="72">
        <f>'Restating Adj'!I20+'Pro Forma Adj'!I20</f>
        <v>0</v>
      </c>
      <c r="J20" s="72">
        <f>'Restating Adj'!J20+'Pro Forma Adj'!J20</f>
        <v>0</v>
      </c>
      <c r="K20" s="72">
        <f>'Restating Adj'!K20+'Pro Forma Adj'!K20</f>
        <v>0</v>
      </c>
      <c r="L20" s="73">
        <f>'Restating Adj'!L20+'Pro Forma Adj'!L20</f>
        <v>0</v>
      </c>
      <c r="M20" s="29">
        <f>'Restating Adj'!M20+'Pro Forma Adj'!M20</f>
        <v>0</v>
      </c>
      <c r="N20" s="72">
        <f>'Restating Adj'!N20+'Pro Forma Adj'!N20</f>
        <v>0</v>
      </c>
      <c r="O20" s="72">
        <f>'Restating Adj'!O20+'Pro Forma Adj'!O20</f>
        <v>0</v>
      </c>
      <c r="P20" s="72">
        <f>'Restating Adj'!P20+'Pro Forma Adj'!P20</f>
        <v>0</v>
      </c>
      <c r="Q20" s="72">
        <f>'Restating Adj'!Q20+'Pro Forma Adj'!Q20</f>
        <v>0</v>
      </c>
      <c r="R20" s="73">
        <f>'Restating Adj'!R20+'Pro Forma Adj'!R20</f>
        <v>0</v>
      </c>
      <c r="S20" s="29">
        <f>'Restating Adj'!S20+'Pro Forma Adj'!S20</f>
        <v>0</v>
      </c>
      <c r="T20" s="72">
        <f>'Restating Adj'!T20+'Pro Forma Adj'!T20</f>
        <v>0</v>
      </c>
      <c r="U20" s="72">
        <f>'Restating Adj'!U20+'Pro Forma Adj'!U20</f>
        <v>0</v>
      </c>
      <c r="V20" s="72">
        <f>'Restating Adj'!V20+'Pro Forma Adj'!V20</f>
        <v>0</v>
      </c>
      <c r="W20" s="73">
        <f>'Restating Adj'!W20+'Pro Forma Adj'!W20</f>
        <v>0</v>
      </c>
      <c r="X20" s="259">
        <f>'Restating Adj'!X20+'Pro Forma Adj'!X20</f>
        <v>0</v>
      </c>
      <c r="Y20" s="29">
        <f>'Restating Adj'!Y20+'Pro Forma Adj'!Y20</f>
        <v>0</v>
      </c>
      <c r="Z20" s="72">
        <f>'Restating Adj'!Z20+'Pro Forma Adj'!Z20</f>
        <v>0</v>
      </c>
      <c r="AA20" s="72">
        <f>'Restating Adj'!AA20+'Pro Forma Adj'!AA20</f>
        <v>0</v>
      </c>
      <c r="AB20" s="29">
        <f>'Restating Adj'!AB20+'Pro Forma Adj'!AB20</f>
        <v>0</v>
      </c>
      <c r="AC20" s="73">
        <f>'Restating Adj'!AC20+'Pro Forma Adj'!AC20</f>
        <v>0</v>
      </c>
      <c r="AD20" s="29">
        <f>'Restating Adj'!AD20+'Pro Forma Adj'!AD20</f>
        <v>0</v>
      </c>
      <c r="AE20" s="72">
        <f>'Restating Adj'!AE20+'Pro Forma Adj'!AE20</f>
        <v>0</v>
      </c>
      <c r="AF20" s="72">
        <f>'Restating Adj'!AF20+'Pro Forma Adj'!AF20</f>
        <v>0</v>
      </c>
      <c r="AG20" s="72">
        <f>'Restating Adj'!AG20+'Pro Forma Adj'!AG20</f>
        <v>0</v>
      </c>
      <c r="AH20" s="72">
        <f>'Restating Adj'!AH20+'Pro Forma Adj'!AH20</f>
        <v>0</v>
      </c>
      <c r="AI20" s="73">
        <f>'Restating Adj'!AI20+'Pro Forma Adj'!AI20</f>
        <v>0</v>
      </c>
      <c r="AJ20" s="29">
        <f>'Restating Adj'!AJ20+'Pro Forma Adj'!AJ20</f>
        <v>0</v>
      </c>
      <c r="AK20" s="72">
        <f>'Restating Adj'!AK20+'Pro Forma Adj'!AK20</f>
        <v>0</v>
      </c>
      <c r="AL20" s="29">
        <f>'Restating Adj'!AL20+'Pro Forma Adj'!AL20</f>
        <v>0</v>
      </c>
      <c r="AM20" s="72">
        <f>'Restating Adj'!AM20+'Pro Forma Adj'!AM20</f>
        <v>0</v>
      </c>
      <c r="AN20" s="72">
        <f>'Restating Adj'!AN20+'Pro Forma Adj'!AN20</f>
        <v>0</v>
      </c>
      <c r="AO20" s="73">
        <f>'Restating Adj'!AO20+'Pro Forma Adj'!AO20</f>
        <v>0</v>
      </c>
      <c r="AP20" s="29">
        <f>'Restating Adj'!AP20+'Pro Forma Adj'!AP20</f>
        <v>0</v>
      </c>
      <c r="AQ20" s="72">
        <f>'Restating Adj'!AQ20+'Pro Forma Adj'!AQ20</f>
        <v>0</v>
      </c>
      <c r="AR20" s="72">
        <f>'Restating Adj'!AR20+'Pro Forma Adj'!AR20</f>
        <v>0</v>
      </c>
      <c r="AS20" s="72">
        <f>'Restating Adj'!AS20+'Pro Forma Adj'!AS20</f>
        <v>0</v>
      </c>
      <c r="AT20" s="72">
        <f>'Restating Adj'!AT20+'Pro Forma Adj'!AT20</f>
        <v>0</v>
      </c>
      <c r="AU20" s="73">
        <f>'Restating Adj'!AU20+'Pro Forma Adj'!AU20</f>
        <v>0</v>
      </c>
      <c r="AV20" s="29">
        <f>'Restating Adj'!AV20+'Pro Forma Adj'!AV20</f>
        <v>0</v>
      </c>
      <c r="AW20" s="73">
        <f>'Restating Adj'!AW20+'Pro Forma Adj'!AW20</f>
        <v>0</v>
      </c>
      <c r="AX20" s="259">
        <f>'Restating Adj'!AX20+'Pro Forma Adj'!AX20</f>
        <v>0</v>
      </c>
      <c r="AY20" s="29">
        <f>'Restating Adj'!AY20+'Pro Forma Adj'!AY20</f>
        <v>0</v>
      </c>
      <c r="AZ20" s="72">
        <f>'Restating Adj'!AZ20+'Pro Forma Adj'!AZ20</f>
        <v>0</v>
      </c>
      <c r="BA20" s="73">
        <f>'Restating Adj'!BA20+'Pro Forma Adj'!BA20</f>
        <v>0</v>
      </c>
      <c r="BB20" s="29">
        <f>'Restating Adj'!BB20+'Pro Forma Adj'!BB20</f>
        <v>0</v>
      </c>
      <c r="BC20" s="72">
        <f>'Restating Adj'!BC20+'Pro Forma Adj'!BC20</f>
        <v>0</v>
      </c>
      <c r="BD20" s="72">
        <f>'Restating Adj'!BD20+'Pro Forma Adj'!BD20</f>
        <v>0</v>
      </c>
      <c r="BE20" s="72">
        <f>'Restating Adj'!BE20+'Pro Forma Adj'!BE20</f>
        <v>0</v>
      </c>
      <c r="BF20" s="73">
        <f>'Restating Adj'!BF20+'Pro Forma Adj'!BF20</f>
        <v>0</v>
      </c>
    </row>
    <row r="21" spans="1:58" x14ac:dyDescent="0.2">
      <c r="A21" s="14" t="s">
        <v>53</v>
      </c>
      <c r="B21" s="28">
        <f t="shared" si="9"/>
        <v>1992728.1463029953</v>
      </c>
      <c r="C21" s="29">
        <f>'Restating Adj'!C21+'Pro Forma Adj'!C21</f>
        <v>0</v>
      </c>
      <c r="D21" s="72">
        <f>'Restating Adj'!D21+'Pro Forma Adj'!D21</f>
        <v>0</v>
      </c>
      <c r="E21" s="72">
        <f>'Restating Adj'!E21+'Pro Forma Adj'!E21</f>
        <v>0</v>
      </c>
      <c r="F21" s="259">
        <f>'Restating Adj'!F21+'Pro Forma Adj'!F21</f>
        <v>0</v>
      </c>
      <c r="G21" s="29">
        <f>'Restating Adj'!G21+'Pro Forma Adj'!G21</f>
        <v>22955.949749923831</v>
      </c>
      <c r="H21" s="72">
        <f>'Restating Adj'!H21+'Pro Forma Adj'!H21</f>
        <v>110306.91385516587</v>
      </c>
      <c r="I21" s="72">
        <f>'Restating Adj'!I21+'Pro Forma Adj'!I21</f>
        <v>0</v>
      </c>
      <c r="J21" s="72">
        <f>'Restating Adj'!J21+'Pro Forma Adj'!J21</f>
        <v>0</v>
      </c>
      <c r="K21" s="72">
        <f>'Restating Adj'!K21+'Pro Forma Adj'!K21</f>
        <v>0</v>
      </c>
      <c r="L21" s="73">
        <f>'Restating Adj'!L21+'Pro Forma Adj'!L21</f>
        <v>0</v>
      </c>
      <c r="M21" s="29">
        <f>'Restating Adj'!M21+'Pro Forma Adj'!M21</f>
        <v>0</v>
      </c>
      <c r="N21" s="72">
        <f>'Restating Adj'!N21+'Pro Forma Adj'!N21</f>
        <v>0</v>
      </c>
      <c r="O21" s="72">
        <f>'Restating Adj'!O21+'Pro Forma Adj'!O21</f>
        <v>2006742.3164071133</v>
      </c>
      <c r="P21" s="72">
        <f>'Restating Adj'!P21+'Pro Forma Adj'!P21</f>
        <v>0</v>
      </c>
      <c r="Q21" s="72">
        <f>'Restating Adj'!Q21+'Pro Forma Adj'!Q21</f>
        <v>0</v>
      </c>
      <c r="R21" s="73">
        <f>'Restating Adj'!R21+'Pro Forma Adj'!R21</f>
        <v>105808.56245657759</v>
      </c>
      <c r="S21" s="29">
        <f>'Restating Adj'!S21+'Pro Forma Adj'!S21</f>
        <v>0</v>
      </c>
      <c r="T21" s="72">
        <f>'Restating Adj'!T21+'Pro Forma Adj'!T21</f>
        <v>0</v>
      </c>
      <c r="U21" s="72">
        <f>'Restating Adj'!U21+'Pro Forma Adj'!U21</f>
        <v>0</v>
      </c>
      <c r="V21" s="72">
        <f>'Restating Adj'!V21+'Pro Forma Adj'!V21</f>
        <v>0</v>
      </c>
      <c r="W21" s="73">
        <f>'Restating Adj'!W21+'Pro Forma Adj'!W21</f>
        <v>0</v>
      </c>
      <c r="X21" s="259">
        <f>'Restating Adj'!X21+'Pro Forma Adj'!X21</f>
        <v>0</v>
      </c>
      <c r="Y21" s="29">
        <f>'Restating Adj'!Y21+'Pro Forma Adj'!Y21</f>
        <v>0</v>
      </c>
      <c r="Z21" s="72">
        <f>'Restating Adj'!Z21+'Pro Forma Adj'!Z21</f>
        <v>0</v>
      </c>
      <c r="AA21" s="72">
        <f>'Restating Adj'!AA21+'Pro Forma Adj'!AA21</f>
        <v>0</v>
      </c>
      <c r="AB21" s="29">
        <f>'Restating Adj'!AB21+'Pro Forma Adj'!AB21</f>
        <v>0</v>
      </c>
      <c r="AC21" s="73">
        <f>'Restating Adj'!AC21+'Pro Forma Adj'!AC21</f>
        <v>0</v>
      </c>
      <c r="AD21" s="29">
        <f>'Restating Adj'!AD21+'Pro Forma Adj'!AD21</f>
        <v>0</v>
      </c>
      <c r="AE21" s="72">
        <f>'Restating Adj'!AE21+'Pro Forma Adj'!AE21</f>
        <v>0</v>
      </c>
      <c r="AF21" s="72">
        <f>'Restating Adj'!AF21+'Pro Forma Adj'!AF21</f>
        <v>0</v>
      </c>
      <c r="AG21" s="72">
        <f>'Restating Adj'!AG21+'Pro Forma Adj'!AG21</f>
        <v>0</v>
      </c>
      <c r="AH21" s="72">
        <f>'Restating Adj'!AH21+'Pro Forma Adj'!AH21</f>
        <v>0</v>
      </c>
      <c r="AI21" s="73">
        <f>'Restating Adj'!AI21+'Pro Forma Adj'!AI21</f>
        <v>0</v>
      </c>
      <c r="AJ21" s="29">
        <f>'Restating Adj'!AJ21+'Pro Forma Adj'!AJ21</f>
        <v>0</v>
      </c>
      <c r="AK21" s="72">
        <f>'Restating Adj'!AK21+'Pro Forma Adj'!AK21</f>
        <v>0</v>
      </c>
      <c r="AL21" s="29">
        <f>'Restating Adj'!AL21+'Pro Forma Adj'!AL21</f>
        <v>0</v>
      </c>
      <c r="AM21" s="72">
        <f>'Restating Adj'!AM21+'Pro Forma Adj'!AM21</f>
        <v>0</v>
      </c>
      <c r="AN21" s="72">
        <f>'Restating Adj'!AN21+'Pro Forma Adj'!AN21</f>
        <v>0</v>
      </c>
      <c r="AO21" s="73">
        <f>'Restating Adj'!AO21+'Pro Forma Adj'!AO21</f>
        <v>0</v>
      </c>
      <c r="AP21" s="29">
        <f>'Restating Adj'!AP21+'Pro Forma Adj'!AP21</f>
        <v>0</v>
      </c>
      <c r="AQ21" s="72">
        <f>'Restating Adj'!AQ21+'Pro Forma Adj'!AQ21</f>
        <v>0</v>
      </c>
      <c r="AR21" s="72">
        <f>'Restating Adj'!AR21+'Pro Forma Adj'!AR21</f>
        <v>0</v>
      </c>
      <c r="AS21" s="72">
        <f>'Restating Adj'!AS21+'Pro Forma Adj'!AS21</f>
        <v>0</v>
      </c>
      <c r="AT21" s="72">
        <f>'Restating Adj'!AT21+'Pro Forma Adj'!AT21</f>
        <v>0</v>
      </c>
      <c r="AU21" s="73">
        <f>'Restating Adj'!AU21+'Pro Forma Adj'!AU21</f>
        <v>-253659.07857429984</v>
      </c>
      <c r="AV21" s="29">
        <f>'Restating Adj'!AV21+'Pro Forma Adj'!AV21</f>
        <v>0</v>
      </c>
      <c r="AW21" s="73">
        <f>'Restating Adj'!AW21+'Pro Forma Adj'!AW21</f>
        <v>0</v>
      </c>
      <c r="AX21" s="259">
        <f>'Restating Adj'!AX21+'Pro Forma Adj'!AX21</f>
        <v>573.4824085146538</v>
      </c>
      <c r="AY21" s="29">
        <f>'Restating Adj'!AY21+'Pro Forma Adj'!AY21</f>
        <v>0</v>
      </c>
      <c r="AZ21" s="72">
        <f>'Restating Adj'!AZ21+'Pro Forma Adj'!AZ21</f>
        <v>0</v>
      </c>
      <c r="BA21" s="73">
        <f>'Restating Adj'!BA21+'Pro Forma Adj'!BA21</f>
        <v>0</v>
      </c>
      <c r="BB21" s="29">
        <f>'Restating Adj'!BB21+'Pro Forma Adj'!BB21</f>
        <v>0</v>
      </c>
      <c r="BC21" s="72">
        <f>'Restating Adj'!BC21+'Pro Forma Adj'!BC21</f>
        <v>0</v>
      </c>
      <c r="BD21" s="72">
        <f>'Restating Adj'!BD21+'Pro Forma Adj'!BD21</f>
        <v>0</v>
      </c>
      <c r="BE21" s="72">
        <f>'Restating Adj'!BE21+'Pro Forma Adj'!BE21</f>
        <v>0</v>
      </c>
      <c r="BF21" s="73">
        <f>'Restating Adj'!BF21+'Pro Forma Adj'!BF21</f>
        <v>0</v>
      </c>
    </row>
    <row r="22" spans="1:58" x14ac:dyDescent="0.2">
      <c r="A22" s="14" t="s">
        <v>54</v>
      </c>
      <c r="B22" s="28">
        <f t="shared" si="9"/>
        <v>51880855.202679165</v>
      </c>
      <c r="C22" s="29">
        <f>'Restating Adj'!C22+'Pro Forma Adj'!C22</f>
        <v>0</v>
      </c>
      <c r="D22" s="72">
        <f>'Restating Adj'!D22+'Pro Forma Adj'!D22</f>
        <v>0</v>
      </c>
      <c r="E22" s="72">
        <f>'Restating Adj'!E22+'Pro Forma Adj'!E22</f>
        <v>0</v>
      </c>
      <c r="F22" s="259">
        <f>'Restating Adj'!F22+'Pro Forma Adj'!F22</f>
        <v>0</v>
      </c>
      <c r="G22" s="29">
        <f>'Restating Adj'!G22+'Pro Forma Adj'!G22</f>
        <v>38260.01958423607</v>
      </c>
      <c r="H22" s="72">
        <f>'Restating Adj'!H22+'Pro Forma Adj'!H22</f>
        <v>183845.3529629847</v>
      </c>
      <c r="I22" s="72">
        <f>'Restating Adj'!I22+'Pro Forma Adj'!I22</f>
        <v>0</v>
      </c>
      <c r="J22" s="72">
        <f>'Restating Adj'!J22+'Pro Forma Adj'!J22</f>
        <v>0</v>
      </c>
      <c r="K22" s="72">
        <f>'Restating Adj'!K22+'Pro Forma Adj'!K22</f>
        <v>0</v>
      </c>
      <c r="L22" s="73">
        <f>'Restating Adj'!L22+'Pro Forma Adj'!L22</f>
        <v>0</v>
      </c>
      <c r="M22" s="29">
        <f>'Restating Adj'!M22+'Pro Forma Adj'!M22</f>
        <v>0</v>
      </c>
      <c r="N22" s="72">
        <f>'Restating Adj'!N22+'Pro Forma Adj'!N22</f>
        <v>-68251.20896545524</v>
      </c>
      <c r="O22" s="72">
        <f>'Restating Adj'!O22+'Pro Forma Adj'!O22</f>
        <v>0</v>
      </c>
      <c r="P22" s="72">
        <f>'Restating Adj'!P22+'Pro Forma Adj'!P22</f>
        <v>0</v>
      </c>
      <c r="Q22" s="72">
        <f>'Restating Adj'!Q22+'Pro Forma Adj'!Q22</f>
        <v>0</v>
      </c>
      <c r="R22" s="73">
        <f>'Restating Adj'!R22+'Pro Forma Adj'!R22</f>
        <v>0</v>
      </c>
      <c r="S22" s="29">
        <f>'Restating Adj'!S22+'Pro Forma Adj'!S22</f>
        <v>-7141820.6973571628</v>
      </c>
      <c r="T22" s="72">
        <f>'Restating Adj'!T22+'Pro Forma Adj'!T22</f>
        <v>57721260.280890062</v>
      </c>
      <c r="U22" s="72">
        <f>'Restating Adj'!U22+'Pro Forma Adj'!U22</f>
        <v>0</v>
      </c>
      <c r="V22" s="72">
        <f>'Restating Adj'!V22+'Pro Forma Adj'!V22</f>
        <v>114140.83764662949</v>
      </c>
      <c r="W22" s="73">
        <f>'Restating Adj'!W22+'Pro Forma Adj'!W22</f>
        <v>0</v>
      </c>
      <c r="X22" s="259">
        <f>'Restating Adj'!X22+'Pro Forma Adj'!X22</f>
        <v>0</v>
      </c>
      <c r="Y22" s="29">
        <f>'Restating Adj'!Y22+'Pro Forma Adj'!Y22</f>
        <v>0</v>
      </c>
      <c r="Z22" s="72">
        <f>'Restating Adj'!Z22+'Pro Forma Adj'!Z22</f>
        <v>0</v>
      </c>
      <c r="AA22" s="72">
        <f>'Restating Adj'!AA22+'Pro Forma Adj'!AA22</f>
        <v>0</v>
      </c>
      <c r="AB22" s="29">
        <f>'Restating Adj'!AB22+'Pro Forma Adj'!AB22</f>
        <v>0</v>
      </c>
      <c r="AC22" s="73">
        <f>'Restating Adj'!AC22+'Pro Forma Adj'!AC22</f>
        <v>0</v>
      </c>
      <c r="AD22" s="29">
        <f>'Restating Adj'!AD22+'Pro Forma Adj'!AD22</f>
        <v>0</v>
      </c>
      <c r="AE22" s="72">
        <f>'Restating Adj'!AE22+'Pro Forma Adj'!AE22</f>
        <v>0</v>
      </c>
      <c r="AF22" s="72">
        <f>'Restating Adj'!AF22+'Pro Forma Adj'!AF22</f>
        <v>0</v>
      </c>
      <c r="AG22" s="72">
        <f>'Restating Adj'!AG22+'Pro Forma Adj'!AG22</f>
        <v>0</v>
      </c>
      <c r="AH22" s="72">
        <f>'Restating Adj'!AH22+'Pro Forma Adj'!AH22</f>
        <v>0</v>
      </c>
      <c r="AI22" s="73">
        <f>'Restating Adj'!AI22+'Pro Forma Adj'!AI22</f>
        <v>0</v>
      </c>
      <c r="AJ22" s="29">
        <f>'Restating Adj'!AJ22+'Pro Forma Adj'!AJ22</f>
        <v>0</v>
      </c>
      <c r="AK22" s="72">
        <f>'Restating Adj'!AK22+'Pro Forma Adj'!AK22</f>
        <v>0</v>
      </c>
      <c r="AL22" s="29">
        <f>'Restating Adj'!AL22+'Pro Forma Adj'!AL22</f>
        <v>0</v>
      </c>
      <c r="AM22" s="72">
        <f>'Restating Adj'!AM22+'Pro Forma Adj'!AM22</f>
        <v>0</v>
      </c>
      <c r="AN22" s="72">
        <f>'Restating Adj'!AN22+'Pro Forma Adj'!AN22</f>
        <v>0</v>
      </c>
      <c r="AO22" s="73">
        <f>'Restating Adj'!AO22+'Pro Forma Adj'!AO22</f>
        <v>0</v>
      </c>
      <c r="AP22" s="29">
        <f>'Restating Adj'!AP22+'Pro Forma Adj'!AP22</f>
        <v>0</v>
      </c>
      <c r="AQ22" s="72">
        <f>'Restating Adj'!AQ22+'Pro Forma Adj'!AQ22</f>
        <v>0</v>
      </c>
      <c r="AR22" s="72">
        <f>'Restating Adj'!AR22+'Pro Forma Adj'!AR22</f>
        <v>0</v>
      </c>
      <c r="AS22" s="72">
        <f>'Restating Adj'!AS22+'Pro Forma Adj'!AS22</f>
        <v>0</v>
      </c>
      <c r="AT22" s="72">
        <f>'Restating Adj'!AT22+'Pro Forma Adj'!AT22</f>
        <v>0</v>
      </c>
      <c r="AU22" s="73">
        <f>'Restating Adj'!AU22+'Pro Forma Adj'!AU22</f>
        <v>0</v>
      </c>
      <c r="AV22" s="29">
        <f>'Restating Adj'!AV22+'Pro Forma Adj'!AV22</f>
        <v>131145.17024851745</v>
      </c>
      <c r="AW22" s="73">
        <f>'Restating Adj'!AW22+'Pro Forma Adj'!AW22</f>
        <v>0</v>
      </c>
      <c r="AX22" s="259">
        <f>'Restating Adj'!AX22+'Pro Forma Adj'!AX22</f>
        <v>902275.44766935706</v>
      </c>
      <c r="AY22" s="29">
        <f>'Restating Adj'!AY22+'Pro Forma Adj'!AY22</f>
        <v>0</v>
      </c>
      <c r="AZ22" s="72">
        <f>'Restating Adj'!AZ22+'Pro Forma Adj'!AZ22</f>
        <v>0</v>
      </c>
      <c r="BA22" s="73">
        <f>'Restating Adj'!BA22+'Pro Forma Adj'!BA22</f>
        <v>0</v>
      </c>
      <c r="BB22" s="29">
        <f>'Restating Adj'!BB22+'Pro Forma Adj'!BB22</f>
        <v>0</v>
      </c>
      <c r="BC22" s="72">
        <f>'Restating Adj'!BC22+'Pro Forma Adj'!BC22</f>
        <v>0</v>
      </c>
      <c r="BD22" s="72">
        <f>'Restating Adj'!BD22+'Pro Forma Adj'!BD22</f>
        <v>0</v>
      </c>
      <c r="BE22" s="72">
        <f>'Restating Adj'!BE22+'Pro Forma Adj'!BE22</f>
        <v>0</v>
      </c>
      <c r="BF22" s="73">
        <f>'Restating Adj'!BF22+'Pro Forma Adj'!BF22</f>
        <v>0</v>
      </c>
    </row>
    <row r="23" spans="1:58" x14ac:dyDescent="0.2">
      <c r="A23" s="14" t="s">
        <v>55</v>
      </c>
      <c r="B23" s="28">
        <f t="shared" si="9"/>
        <v>1313431.2327392986</v>
      </c>
      <c r="C23" s="29">
        <f>'Restating Adj'!C23+'Pro Forma Adj'!C23</f>
        <v>0</v>
      </c>
      <c r="D23" s="72">
        <f>'Restating Adj'!D23+'Pro Forma Adj'!D23</f>
        <v>0</v>
      </c>
      <c r="E23" s="72">
        <f>'Restating Adj'!E23+'Pro Forma Adj'!E23</f>
        <v>0</v>
      </c>
      <c r="F23" s="259">
        <f>'Restating Adj'!F23+'Pro Forma Adj'!F23</f>
        <v>0</v>
      </c>
      <c r="G23" s="29">
        <f>'Restating Adj'!G23+'Pro Forma Adj'!G23</f>
        <v>37087.187348888561</v>
      </c>
      <c r="H23" s="72">
        <f>'Restating Adj'!H23+'Pro Forma Adj'!H23</f>
        <v>178209.7114077287</v>
      </c>
      <c r="I23" s="72">
        <f>'Restating Adj'!I23+'Pro Forma Adj'!I23</f>
        <v>0</v>
      </c>
      <c r="J23" s="72">
        <f>'Restating Adj'!J23+'Pro Forma Adj'!J23</f>
        <v>0</v>
      </c>
      <c r="K23" s="72">
        <f>'Restating Adj'!K23+'Pro Forma Adj'!K23</f>
        <v>0</v>
      </c>
      <c r="L23" s="73">
        <f>'Restating Adj'!L23+'Pro Forma Adj'!L23</f>
        <v>0</v>
      </c>
      <c r="M23" s="29">
        <f>'Restating Adj'!M23+'Pro Forma Adj'!M23</f>
        <v>0</v>
      </c>
      <c r="N23" s="72">
        <f>'Restating Adj'!N23+'Pro Forma Adj'!N23</f>
        <v>0</v>
      </c>
      <c r="O23" s="72">
        <f>'Restating Adj'!O23+'Pro Forma Adj'!O23</f>
        <v>0</v>
      </c>
      <c r="P23" s="72">
        <f>'Restating Adj'!P23+'Pro Forma Adj'!P23</f>
        <v>0</v>
      </c>
      <c r="Q23" s="72">
        <f>'Restating Adj'!Q23+'Pro Forma Adj'!Q23</f>
        <v>0</v>
      </c>
      <c r="R23" s="73">
        <f>'Restating Adj'!R23+'Pro Forma Adj'!R23</f>
        <v>395581.40208438708</v>
      </c>
      <c r="S23" s="29">
        <f>'Restating Adj'!S23+'Pro Forma Adj'!S23</f>
        <v>0</v>
      </c>
      <c r="T23" s="72">
        <f>'Restating Adj'!T23+'Pro Forma Adj'!T23</f>
        <v>630176.87420901121</v>
      </c>
      <c r="U23" s="72">
        <f>'Restating Adj'!U23+'Pro Forma Adj'!U23</f>
        <v>0</v>
      </c>
      <c r="V23" s="72">
        <f>'Restating Adj'!V23+'Pro Forma Adj'!V23</f>
        <v>0</v>
      </c>
      <c r="W23" s="73">
        <f>'Restating Adj'!W23+'Pro Forma Adj'!W23</f>
        <v>0</v>
      </c>
      <c r="X23" s="259">
        <f>'Restating Adj'!X23+'Pro Forma Adj'!X23</f>
        <v>0</v>
      </c>
      <c r="Y23" s="29">
        <f>'Restating Adj'!Y23+'Pro Forma Adj'!Y23</f>
        <v>0</v>
      </c>
      <c r="Z23" s="72">
        <f>'Restating Adj'!Z23+'Pro Forma Adj'!Z23</f>
        <v>0</v>
      </c>
      <c r="AA23" s="72">
        <f>'Restating Adj'!AA23+'Pro Forma Adj'!AA23</f>
        <v>0</v>
      </c>
      <c r="AB23" s="29">
        <f>'Restating Adj'!AB23+'Pro Forma Adj'!AB23</f>
        <v>0</v>
      </c>
      <c r="AC23" s="73">
        <f>'Restating Adj'!AC23+'Pro Forma Adj'!AC23</f>
        <v>0</v>
      </c>
      <c r="AD23" s="29">
        <f>'Restating Adj'!AD23+'Pro Forma Adj'!AD23</f>
        <v>0</v>
      </c>
      <c r="AE23" s="72">
        <f>'Restating Adj'!AE23+'Pro Forma Adj'!AE23</f>
        <v>0</v>
      </c>
      <c r="AF23" s="72">
        <f>'Restating Adj'!AF23+'Pro Forma Adj'!AF23</f>
        <v>0</v>
      </c>
      <c r="AG23" s="72">
        <f>'Restating Adj'!AG23+'Pro Forma Adj'!AG23</f>
        <v>0</v>
      </c>
      <c r="AH23" s="72">
        <f>'Restating Adj'!AH23+'Pro Forma Adj'!AH23</f>
        <v>0</v>
      </c>
      <c r="AI23" s="73">
        <f>'Restating Adj'!AI23+'Pro Forma Adj'!AI23</f>
        <v>0</v>
      </c>
      <c r="AJ23" s="29">
        <f>'Restating Adj'!AJ23+'Pro Forma Adj'!AJ23</f>
        <v>0</v>
      </c>
      <c r="AK23" s="72">
        <f>'Restating Adj'!AK23+'Pro Forma Adj'!AK23</f>
        <v>0</v>
      </c>
      <c r="AL23" s="29">
        <f>'Restating Adj'!AL23+'Pro Forma Adj'!AL23</f>
        <v>0</v>
      </c>
      <c r="AM23" s="72">
        <f>'Restating Adj'!AM23+'Pro Forma Adj'!AM23</f>
        <v>0</v>
      </c>
      <c r="AN23" s="72">
        <f>'Restating Adj'!AN23+'Pro Forma Adj'!AN23</f>
        <v>0</v>
      </c>
      <c r="AO23" s="73">
        <f>'Restating Adj'!AO23+'Pro Forma Adj'!AO23</f>
        <v>0</v>
      </c>
      <c r="AP23" s="29">
        <f>'Restating Adj'!AP23+'Pro Forma Adj'!AP23</f>
        <v>0</v>
      </c>
      <c r="AQ23" s="72">
        <f>'Restating Adj'!AQ23+'Pro Forma Adj'!AQ23</f>
        <v>0</v>
      </c>
      <c r="AR23" s="72">
        <f>'Restating Adj'!AR23+'Pro Forma Adj'!AR23</f>
        <v>0</v>
      </c>
      <c r="AS23" s="72">
        <f>'Restating Adj'!AS23+'Pro Forma Adj'!AS23</f>
        <v>0</v>
      </c>
      <c r="AT23" s="72">
        <f>'Restating Adj'!AT23+'Pro Forma Adj'!AT23</f>
        <v>0</v>
      </c>
      <c r="AU23" s="73">
        <f>'Restating Adj'!AU23+'Pro Forma Adj'!AU23</f>
        <v>0</v>
      </c>
      <c r="AV23" s="29">
        <f>'Restating Adj'!AV23+'Pro Forma Adj'!AV23</f>
        <v>0</v>
      </c>
      <c r="AW23" s="73">
        <f>'Restating Adj'!AW23+'Pro Forma Adj'!AW23</f>
        <v>0</v>
      </c>
      <c r="AX23" s="259">
        <f>'Restating Adj'!AX23+'Pro Forma Adj'!AX23</f>
        <v>72376.057689283043</v>
      </c>
      <c r="AY23" s="29">
        <f>'Restating Adj'!AY23+'Pro Forma Adj'!AY23</f>
        <v>0</v>
      </c>
      <c r="AZ23" s="72">
        <f>'Restating Adj'!AZ23+'Pro Forma Adj'!AZ23</f>
        <v>0</v>
      </c>
      <c r="BA23" s="73">
        <f>'Restating Adj'!BA23+'Pro Forma Adj'!BA23</f>
        <v>0</v>
      </c>
      <c r="BB23" s="29">
        <f>'Restating Adj'!BB23+'Pro Forma Adj'!BB23</f>
        <v>0</v>
      </c>
      <c r="BC23" s="72">
        <f>'Restating Adj'!BC23+'Pro Forma Adj'!BC23</f>
        <v>0</v>
      </c>
      <c r="BD23" s="72">
        <f>'Restating Adj'!BD23+'Pro Forma Adj'!BD23</f>
        <v>0</v>
      </c>
      <c r="BE23" s="72">
        <f>'Restating Adj'!BE23+'Pro Forma Adj'!BE23</f>
        <v>0</v>
      </c>
      <c r="BF23" s="73">
        <f>'Restating Adj'!BF23+'Pro Forma Adj'!BF23</f>
        <v>0</v>
      </c>
    </row>
    <row r="24" spans="1:58" x14ac:dyDescent="0.2">
      <c r="A24" s="14" t="s">
        <v>56</v>
      </c>
      <c r="B24" s="28">
        <f t="shared" si="9"/>
        <v>4495602.4101354945</v>
      </c>
      <c r="C24" s="29">
        <f>'Restating Adj'!C24+'Pro Forma Adj'!C24</f>
        <v>0</v>
      </c>
      <c r="D24" s="72">
        <f>'Restating Adj'!D24+'Pro Forma Adj'!D24</f>
        <v>0</v>
      </c>
      <c r="E24" s="72">
        <f>'Restating Adj'!E24+'Pro Forma Adj'!E24</f>
        <v>0</v>
      </c>
      <c r="F24" s="259">
        <f>'Restating Adj'!F24+'Pro Forma Adj'!F24</f>
        <v>0</v>
      </c>
      <c r="G24" s="29">
        <f>'Restating Adj'!G24+'Pro Forma Adj'!G24</f>
        <v>149316.59718380499</v>
      </c>
      <c r="H24" s="72">
        <f>'Restating Adj'!H24+'Pro Forma Adj'!H24</f>
        <v>717489.50499227876</v>
      </c>
      <c r="I24" s="72">
        <f>'Restating Adj'!I24+'Pro Forma Adj'!I24</f>
        <v>0</v>
      </c>
      <c r="J24" s="72">
        <f>'Restating Adj'!J24+'Pro Forma Adj'!J24</f>
        <v>0</v>
      </c>
      <c r="K24" s="72">
        <f>'Restating Adj'!K24+'Pro Forma Adj'!K24</f>
        <v>0</v>
      </c>
      <c r="L24" s="73">
        <f>'Restating Adj'!L24+'Pro Forma Adj'!L24</f>
        <v>0</v>
      </c>
      <c r="M24" s="29">
        <f>'Restating Adj'!M24+'Pro Forma Adj'!M24</f>
        <v>0</v>
      </c>
      <c r="N24" s="72">
        <f>'Restating Adj'!N24+'Pro Forma Adj'!N24</f>
        <v>0</v>
      </c>
      <c r="O24" s="72">
        <f>'Restating Adj'!O24+'Pro Forma Adj'!O24</f>
        <v>0</v>
      </c>
      <c r="P24" s="72">
        <f>'Restating Adj'!P24+'Pro Forma Adj'!P24</f>
        <v>0</v>
      </c>
      <c r="Q24" s="72">
        <f>'Restating Adj'!Q24+'Pro Forma Adj'!Q24</f>
        <v>0</v>
      </c>
      <c r="R24" s="73">
        <f>'Restating Adj'!R24+'Pro Forma Adj'!R24</f>
        <v>3628796.3079594113</v>
      </c>
      <c r="S24" s="29">
        <f>'Restating Adj'!S24+'Pro Forma Adj'!S24</f>
        <v>0</v>
      </c>
      <c r="T24" s="72">
        <f>'Restating Adj'!T24+'Pro Forma Adj'!T24</f>
        <v>0</v>
      </c>
      <c r="U24" s="72">
        <f>'Restating Adj'!U24+'Pro Forma Adj'!U24</f>
        <v>0</v>
      </c>
      <c r="V24" s="72">
        <f>'Restating Adj'!V24+'Pro Forma Adj'!V24</f>
        <v>0</v>
      </c>
      <c r="W24" s="73">
        <f>'Restating Adj'!W24+'Pro Forma Adj'!W24</f>
        <v>0</v>
      </c>
      <c r="X24" s="259">
        <f>'Restating Adj'!X24+'Pro Forma Adj'!X24</f>
        <v>0</v>
      </c>
      <c r="Y24" s="29">
        <f>'Restating Adj'!Y24+'Pro Forma Adj'!Y24</f>
        <v>0</v>
      </c>
      <c r="Z24" s="72">
        <f>'Restating Adj'!Z24+'Pro Forma Adj'!Z24</f>
        <v>0</v>
      </c>
      <c r="AA24" s="72">
        <f>'Restating Adj'!AA24+'Pro Forma Adj'!AA24</f>
        <v>0</v>
      </c>
      <c r="AB24" s="29">
        <f>'Restating Adj'!AB24+'Pro Forma Adj'!AB24</f>
        <v>0</v>
      </c>
      <c r="AC24" s="73">
        <f>'Restating Adj'!AC24+'Pro Forma Adj'!AC24</f>
        <v>0</v>
      </c>
      <c r="AD24" s="29">
        <f>'Restating Adj'!AD24+'Pro Forma Adj'!AD24</f>
        <v>0</v>
      </c>
      <c r="AE24" s="72">
        <f>'Restating Adj'!AE24+'Pro Forma Adj'!AE24</f>
        <v>0</v>
      </c>
      <c r="AF24" s="72">
        <f>'Restating Adj'!AF24+'Pro Forma Adj'!AF24</f>
        <v>0</v>
      </c>
      <c r="AG24" s="72">
        <f>'Restating Adj'!AG24+'Pro Forma Adj'!AG24</f>
        <v>0</v>
      </c>
      <c r="AH24" s="72">
        <f>'Restating Adj'!AH24+'Pro Forma Adj'!AH24</f>
        <v>0</v>
      </c>
      <c r="AI24" s="73">
        <f>'Restating Adj'!AI24+'Pro Forma Adj'!AI24</f>
        <v>0</v>
      </c>
      <c r="AJ24" s="29">
        <f>'Restating Adj'!AJ24+'Pro Forma Adj'!AJ24</f>
        <v>0</v>
      </c>
      <c r="AK24" s="72">
        <f>'Restating Adj'!AK24+'Pro Forma Adj'!AK24</f>
        <v>0</v>
      </c>
      <c r="AL24" s="29">
        <f>'Restating Adj'!AL24+'Pro Forma Adj'!AL24</f>
        <v>0</v>
      </c>
      <c r="AM24" s="72">
        <f>'Restating Adj'!AM24+'Pro Forma Adj'!AM24</f>
        <v>0</v>
      </c>
      <c r="AN24" s="72">
        <f>'Restating Adj'!AN24+'Pro Forma Adj'!AN24</f>
        <v>0</v>
      </c>
      <c r="AO24" s="73">
        <f>'Restating Adj'!AO24+'Pro Forma Adj'!AO24</f>
        <v>0</v>
      </c>
      <c r="AP24" s="29">
        <f>'Restating Adj'!AP24+'Pro Forma Adj'!AP24</f>
        <v>0</v>
      </c>
      <c r="AQ24" s="72">
        <f>'Restating Adj'!AQ24+'Pro Forma Adj'!AQ24</f>
        <v>0</v>
      </c>
      <c r="AR24" s="72">
        <f>'Restating Adj'!AR24+'Pro Forma Adj'!AR24</f>
        <v>0</v>
      </c>
      <c r="AS24" s="72">
        <f>'Restating Adj'!AS24+'Pro Forma Adj'!AS24</f>
        <v>0</v>
      </c>
      <c r="AT24" s="72">
        <f>'Restating Adj'!AT24+'Pro Forma Adj'!AT24</f>
        <v>0</v>
      </c>
      <c r="AU24" s="73">
        <f>'Restating Adj'!AU24+'Pro Forma Adj'!AU24</f>
        <v>0</v>
      </c>
      <c r="AV24" s="29">
        <f>'Restating Adj'!AV24+'Pro Forma Adj'!AV24</f>
        <v>0</v>
      </c>
      <c r="AW24" s="73">
        <f>'Restating Adj'!AW24+'Pro Forma Adj'!AW24</f>
        <v>0</v>
      </c>
      <c r="AX24" s="259">
        <f>'Restating Adj'!AX24+'Pro Forma Adj'!AX24</f>
        <v>0</v>
      </c>
      <c r="AY24" s="29">
        <f>'Restating Adj'!AY24+'Pro Forma Adj'!AY24</f>
        <v>0</v>
      </c>
      <c r="AZ24" s="72">
        <f>'Restating Adj'!AZ24+'Pro Forma Adj'!AZ24</f>
        <v>0</v>
      </c>
      <c r="BA24" s="73">
        <f>'Restating Adj'!BA24+'Pro Forma Adj'!BA24</f>
        <v>0</v>
      </c>
      <c r="BB24" s="29">
        <f>'Restating Adj'!BB24+'Pro Forma Adj'!BB24</f>
        <v>0</v>
      </c>
      <c r="BC24" s="72">
        <f>'Restating Adj'!BC24+'Pro Forma Adj'!BC24</f>
        <v>0</v>
      </c>
      <c r="BD24" s="72">
        <f>'Restating Adj'!BD24+'Pro Forma Adj'!BD24</f>
        <v>0</v>
      </c>
      <c r="BE24" s="72">
        <f>'Restating Adj'!BE24+'Pro Forma Adj'!BE24</f>
        <v>0</v>
      </c>
      <c r="BF24" s="73">
        <f>'Restating Adj'!BF24+'Pro Forma Adj'!BF24</f>
        <v>0</v>
      </c>
    </row>
    <row r="25" spans="1:58" x14ac:dyDescent="0.2">
      <c r="A25" s="14" t="s">
        <v>57</v>
      </c>
      <c r="B25" s="28">
        <f t="shared" si="9"/>
        <v>27612.00663405098</v>
      </c>
      <c r="C25" s="29">
        <f>'Restating Adj'!C25+'Pro Forma Adj'!C25</f>
        <v>0</v>
      </c>
      <c r="D25" s="72">
        <f>'Restating Adj'!D25+'Pro Forma Adj'!D25</f>
        <v>0</v>
      </c>
      <c r="E25" s="72">
        <f>'Restating Adj'!E25+'Pro Forma Adj'!E25</f>
        <v>0</v>
      </c>
      <c r="F25" s="259">
        <f>'Restating Adj'!F25+'Pro Forma Adj'!F25</f>
        <v>0</v>
      </c>
      <c r="G25" s="29">
        <f>'Restating Adj'!G25+'Pro Forma Adj'!G25</f>
        <v>31668.420919798504</v>
      </c>
      <c r="H25" s="72">
        <f>'Restating Adj'!H25+'Pro Forma Adj'!H25</f>
        <v>152171.69476252823</v>
      </c>
      <c r="I25" s="72">
        <f>'Restating Adj'!I25+'Pro Forma Adj'!I25</f>
        <v>0</v>
      </c>
      <c r="J25" s="72">
        <f>'Restating Adj'!J25+'Pro Forma Adj'!J25</f>
        <v>0</v>
      </c>
      <c r="K25" s="72">
        <f>'Restating Adj'!K25+'Pro Forma Adj'!K25</f>
        <v>0</v>
      </c>
      <c r="L25" s="73">
        <f>'Restating Adj'!L25+'Pro Forma Adj'!L25</f>
        <v>0</v>
      </c>
      <c r="M25" s="29">
        <f>'Restating Adj'!M25+'Pro Forma Adj'!M25</f>
        <v>-229407.07424827572</v>
      </c>
      <c r="N25" s="72">
        <f>'Restating Adj'!N25+'Pro Forma Adj'!N25</f>
        <v>0</v>
      </c>
      <c r="O25" s="72">
        <f>'Restating Adj'!O25+'Pro Forma Adj'!O25</f>
        <v>0</v>
      </c>
      <c r="P25" s="72">
        <f>'Restating Adj'!P25+'Pro Forma Adj'!P25</f>
        <v>0</v>
      </c>
      <c r="Q25" s="72">
        <f>'Restating Adj'!Q25+'Pro Forma Adj'!Q25</f>
        <v>73178.965199999977</v>
      </c>
      <c r="R25" s="73">
        <f>'Restating Adj'!R25+'Pro Forma Adj'!R25</f>
        <v>0</v>
      </c>
      <c r="S25" s="29">
        <f>'Restating Adj'!S25+'Pro Forma Adj'!S25</f>
        <v>0</v>
      </c>
      <c r="T25" s="72">
        <f>'Restating Adj'!T25+'Pro Forma Adj'!T25</f>
        <v>0</v>
      </c>
      <c r="U25" s="72">
        <f>'Restating Adj'!U25+'Pro Forma Adj'!U25</f>
        <v>0</v>
      </c>
      <c r="V25" s="72">
        <f>'Restating Adj'!V25+'Pro Forma Adj'!V25</f>
        <v>0</v>
      </c>
      <c r="W25" s="73">
        <f>'Restating Adj'!W25+'Pro Forma Adj'!W25</f>
        <v>0</v>
      </c>
      <c r="X25" s="259">
        <f>'Restating Adj'!X25+'Pro Forma Adj'!X25</f>
        <v>0</v>
      </c>
      <c r="Y25" s="29">
        <f>'Restating Adj'!Y25+'Pro Forma Adj'!Y25</f>
        <v>0</v>
      </c>
      <c r="Z25" s="72">
        <f>'Restating Adj'!Z25+'Pro Forma Adj'!Z25</f>
        <v>0</v>
      </c>
      <c r="AA25" s="72">
        <f>'Restating Adj'!AA25+'Pro Forma Adj'!AA25</f>
        <v>0</v>
      </c>
      <c r="AB25" s="29">
        <f>'Restating Adj'!AB25+'Pro Forma Adj'!AB25</f>
        <v>0</v>
      </c>
      <c r="AC25" s="73">
        <f>'Restating Adj'!AC25+'Pro Forma Adj'!AC25</f>
        <v>0</v>
      </c>
      <c r="AD25" s="29">
        <f>'Restating Adj'!AD25+'Pro Forma Adj'!AD25</f>
        <v>0</v>
      </c>
      <c r="AE25" s="72">
        <f>'Restating Adj'!AE25+'Pro Forma Adj'!AE25</f>
        <v>0</v>
      </c>
      <c r="AF25" s="72">
        <f>'Restating Adj'!AF25+'Pro Forma Adj'!AF25</f>
        <v>0</v>
      </c>
      <c r="AG25" s="72">
        <f>'Restating Adj'!AG25+'Pro Forma Adj'!AG25</f>
        <v>0</v>
      </c>
      <c r="AH25" s="72">
        <f>'Restating Adj'!AH25+'Pro Forma Adj'!AH25</f>
        <v>0</v>
      </c>
      <c r="AI25" s="73">
        <f>'Restating Adj'!AI25+'Pro Forma Adj'!AI25</f>
        <v>0</v>
      </c>
      <c r="AJ25" s="29">
        <f>'Restating Adj'!AJ25+'Pro Forma Adj'!AJ25</f>
        <v>0</v>
      </c>
      <c r="AK25" s="72">
        <f>'Restating Adj'!AK25+'Pro Forma Adj'!AK25</f>
        <v>0</v>
      </c>
      <c r="AL25" s="29">
        <f>'Restating Adj'!AL25+'Pro Forma Adj'!AL25</f>
        <v>0</v>
      </c>
      <c r="AM25" s="72">
        <f>'Restating Adj'!AM25+'Pro Forma Adj'!AM25</f>
        <v>0</v>
      </c>
      <c r="AN25" s="72">
        <f>'Restating Adj'!AN25+'Pro Forma Adj'!AN25</f>
        <v>0</v>
      </c>
      <c r="AO25" s="73">
        <f>'Restating Adj'!AO25+'Pro Forma Adj'!AO25</f>
        <v>0</v>
      </c>
      <c r="AP25" s="29">
        <f>'Restating Adj'!AP25+'Pro Forma Adj'!AP25</f>
        <v>0</v>
      </c>
      <c r="AQ25" s="72">
        <f>'Restating Adj'!AQ25+'Pro Forma Adj'!AQ25</f>
        <v>0</v>
      </c>
      <c r="AR25" s="72">
        <f>'Restating Adj'!AR25+'Pro Forma Adj'!AR25</f>
        <v>0</v>
      </c>
      <c r="AS25" s="72">
        <f>'Restating Adj'!AS25+'Pro Forma Adj'!AS25</f>
        <v>0</v>
      </c>
      <c r="AT25" s="72">
        <f>'Restating Adj'!AT25+'Pro Forma Adj'!AT25</f>
        <v>0</v>
      </c>
      <c r="AU25" s="73">
        <f>'Restating Adj'!AU25+'Pro Forma Adj'!AU25</f>
        <v>0</v>
      </c>
      <c r="AV25" s="29">
        <f>'Restating Adj'!AV25+'Pro Forma Adj'!AV25</f>
        <v>0</v>
      </c>
      <c r="AW25" s="73">
        <f>'Restating Adj'!AW25+'Pro Forma Adj'!AW25</f>
        <v>0</v>
      </c>
      <c r="AX25" s="259">
        <f>'Restating Adj'!AX25+'Pro Forma Adj'!AX25</f>
        <v>0</v>
      </c>
      <c r="AY25" s="29">
        <f>'Restating Adj'!AY25+'Pro Forma Adj'!AY25</f>
        <v>0</v>
      </c>
      <c r="AZ25" s="72">
        <f>'Restating Adj'!AZ25+'Pro Forma Adj'!AZ25</f>
        <v>0</v>
      </c>
      <c r="BA25" s="73">
        <f>'Restating Adj'!BA25+'Pro Forma Adj'!BA25</f>
        <v>0</v>
      </c>
      <c r="BB25" s="29">
        <f>'Restating Adj'!BB25+'Pro Forma Adj'!BB25</f>
        <v>0</v>
      </c>
      <c r="BC25" s="72">
        <f>'Restating Adj'!BC25+'Pro Forma Adj'!BC25</f>
        <v>0</v>
      </c>
      <c r="BD25" s="72">
        <f>'Restating Adj'!BD25+'Pro Forma Adj'!BD25</f>
        <v>0</v>
      </c>
      <c r="BE25" s="72">
        <f>'Restating Adj'!BE25+'Pro Forma Adj'!BE25</f>
        <v>0</v>
      </c>
      <c r="BF25" s="73">
        <f>'Restating Adj'!BF25+'Pro Forma Adj'!BF25</f>
        <v>0</v>
      </c>
    </row>
    <row r="26" spans="1:58" x14ac:dyDescent="0.2">
      <c r="A26" s="14" t="s">
        <v>58</v>
      </c>
      <c r="B26" s="28">
        <f t="shared" si="9"/>
        <v>44716.371428883809</v>
      </c>
      <c r="C26" s="29">
        <f>'Restating Adj'!C26+'Pro Forma Adj'!C26</f>
        <v>0</v>
      </c>
      <c r="D26" s="72">
        <f>'Restating Adj'!D26+'Pro Forma Adj'!D26</f>
        <v>0</v>
      </c>
      <c r="E26" s="72">
        <f>'Restating Adj'!E26+'Pro Forma Adj'!E26</f>
        <v>0</v>
      </c>
      <c r="F26" s="259">
        <f>'Restating Adj'!F26+'Pro Forma Adj'!F26</f>
        <v>-508.5731942273153</v>
      </c>
      <c r="G26" s="29">
        <f>'Restating Adj'!G26+'Pro Forma Adj'!G26</f>
        <v>4768.4332511350867</v>
      </c>
      <c r="H26" s="72">
        <f>'Restating Adj'!H26+'Pro Forma Adj'!H26</f>
        <v>22913.064438068472</v>
      </c>
      <c r="I26" s="72">
        <f>'Restating Adj'!I26+'Pro Forma Adj'!I26</f>
        <v>0</v>
      </c>
      <c r="J26" s="72">
        <f>'Restating Adj'!J26+'Pro Forma Adj'!J26</f>
        <v>0</v>
      </c>
      <c r="K26" s="72">
        <f>'Restating Adj'!K26+'Pro Forma Adj'!K26</f>
        <v>17543.446933907569</v>
      </c>
      <c r="L26" s="73">
        <f>'Restating Adj'!L26+'Pro Forma Adj'!L26</f>
        <v>0</v>
      </c>
      <c r="M26" s="29">
        <f>'Restating Adj'!M26+'Pro Forma Adj'!M26</f>
        <v>0</v>
      </c>
      <c r="N26" s="72">
        <f>'Restating Adj'!N26+'Pro Forma Adj'!N26</f>
        <v>0</v>
      </c>
      <c r="O26" s="72">
        <f>'Restating Adj'!O26+'Pro Forma Adj'!O26</f>
        <v>0</v>
      </c>
      <c r="P26" s="72">
        <f>'Restating Adj'!P26+'Pro Forma Adj'!P26</f>
        <v>0</v>
      </c>
      <c r="Q26" s="72">
        <f>'Restating Adj'!Q26+'Pro Forma Adj'!Q26</f>
        <v>0</v>
      </c>
      <c r="R26" s="73">
        <f>'Restating Adj'!R26+'Pro Forma Adj'!R26</f>
        <v>0</v>
      </c>
      <c r="S26" s="29">
        <f>'Restating Adj'!S26+'Pro Forma Adj'!S26</f>
        <v>0</v>
      </c>
      <c r="T26" s="72">
        <f>'Restating Adj'!T26+'Pro Forma Adj'!T26</f>
        <v>0</v>
      </c>
      <c r="U26" s="72">
        <f>'Restating Adj'!U26+'Pro Forma Adj'!U26</f>
        <v>0</v>
      </c>
      <c r="V26" s="72">
        <f>'Restating Adj'!V26+'Pro Forma Adj'!V26</f>
        <v>0</v>
      </c>
      <c r="W26" s="73">
        <f>'Restating Adj'!W26+'Pro Forma Adj'!W26</f>
        <v>0</v>
      </c>
      <c r="X26" s="259">
        <f>'Restating Adj'!X26+'Pro Forma Adj'!X26</f>
        <v>0</v>
      </c>
      <c r="Y26" s="29">
        <f>'Restating Adj'!Y26+'Pro Forma Adj'!Y26</f>
        <v>0</v>
      </c>
      <c r="Z26" s="72">
        <f>'Restating Adj'!Z26+'Pro Forma Adj'!Z26</f>
        <v>0</v>
      </c>
      <c r="AA26" s="72">
        <f>'Restating Adj'!AA26+'Pro Forma Adj'!AA26</f>
        <v>0</v>
      </c>
      <c r="AB26" s="29">
        <f>'Restating Adj'!AB26+'Pro Forma Adj'!AB26</f>
        <v>0</v>
      </c>
      <c r="AC26" s="73">
        <f>'Restating Adj'!AC26+'Pro Forma Adj'!AC26</f>
        <v>0</v>
      </c>
      <c r="AD26" s="29">
        <f>'Restating Adj'!AD26+'Pro Forma Adj'!AD26</f>
        <v>0</v>
      </c>
      <c r="AE26" s="72">
        <f>'Restating Adj'!AE26+'Pro Forma Adj'!AE26</f>
        <v>0</v>
      </c>
      <c r="AF26" s="72">
        <f>'Restating Adj'!AF26+'Pro Forma Adj'!AF26</f>
        <v>0</v>
      </c>
      <c r="AG26" s="72">
        <f>'Restating Adj'!AG26+'Pro Forma Adj'!AG26</f>
        <v>0</v>
      </c>
      <c r="AH26" s="72">
        <f>'Restating Adj'!AH26+'Pro Forma Adj'!AH26</f>
        <v>0</v>
      </c>
      <c r="AI26" s="73">
        <f>'Restating Adj'!AI26+'Pro Forma Adj'!AI26</f>
        <v>0</v>
      </c>
      <c r="AJ26" s="29">
        <f>'Restating Adj'!AJ26+'Pro Forma Adj'!AJ26</f>
        <v>0</v>
      </c>
      <c r="AK26" s="72">
        <f>'Restating Adj'!AK26+'Pro Forma Adj'!AK26</f>
        <v>0</v>
      </c>
      <c r="AL26" s="29">
        <f>'Restating Adj'!AL26+'Pro Forma Adj'!AL26</f>
        <v>0</v>
      </c>
      <c r="AM26" s="72">
        <f>'Restating Adj'!AM26+'Pro Forma Adj'!AM26</f>
        <v>0</v>
      </c>
      <c r="AN26" s="72">
        <f>'Restating Adj'!AN26+'Pro Forma Adj'!AN26</f>
        <v>0</v>
      </c>
      <c r="AO26" s="73">
        <f>'Restating Adj'!AO26+'Pro Forma Adj'!AO26</f>
        <v>0</v>
      </c>
      <c r="AP26" s="29">
        <f>'Restating Adj'!AP26+'Pro Forma Adj'!AP26</f>
        <v>0</v>
      </c>
      <c r="AQ26" s="72">
        <f>'Restating Adj'!AQ26+'Pro Forma Adj'!AQ26</f>
        <v>0</v>
      </c>
      <c r="AR26" s="72">
        <f>'Restating Adj'!AR26+'Pro Forma Adj'!AR26</f>
        <v>0</v>
      </c>
      <c r="AS26" s="72">
        <f>'Restating Adj'!AS26+'Pro Forma Adj'!AS26</f>
        <v>0</v>
      </c>
      <c r="AT26" s="72">
        <f>'Restating Adj'!AT26+'Pro Forma Adj'!AT26</f>
        <v>0</v>
      </c>
      <c r="AU26" s="73">
        <f>'Restating Adj'!AU26+'Pro Forma Adj'!AU26</f>
        <v>0</v>
      </c>
      <c r="AV26" s="29">
        <f>'Restating Adj'!AV26+'Pro Forma Adj'!AV26</f>
        <v>0</v>
      </c>
      <c r="AW26" s="73">
        <f>'Restating Adj'!AW26+'Pro Forma Adj'!AW26</f>
        <v>0</v>
      </c>
      <c r="AX26" s="259">
        <f>'Restating Adj'!AX26+'Pro Forma Adj'!AX26</f>
        <v>0</v>
      </c>
      <c r="AY26" s="29">
        <f>'Restating Adj'!AY26+'Pro Forma Adj'!AY26</f>
        <v>0</v>
      </c>
      <c r="AZ26" s="72">
        <f>'Restating Adj'!AZ26+'Pro Forma Adj'!AZ26</f>
        <v>0</v>
      </c>
      <c r="BA26" s="73">
        <f>'Restating Adj'!BA26+'Pro Forma Adj'!BA26</f>
        <v>0</v>
      </c>
      <c r="BB26" s="29">
        <f>'Restating Adj'!BB26+'Pro Forma Adj'!BB26</f>
        <v>0</v>
      </c>
      <c r="BC26" s="72">
        <f>'Restating Adj'!BC26+'Pro Forma Adj'!BC26</f>
        <v>0</v>
      </c>
      <c r="BD26" s="72">
        <f>'Restating Adj'!BD26+'Pro Forma Adj'!BD26</f>
        <v>0</v>
      </c>
      <c r="BE26" s="72">
        <f>'Restating Adj'!BE26+'Pro Forma Adj'!BE26</f>
        <v>0</v>
      </c>
      <c r="BF26" s="73">
        <f>'Restating Adj'!BF26+'Pro Forma Adj'!BF26</f>
        <v>0</v>
      </c>
    </row>
    <row r="27" spans="1:58" x14ac:dyDescent="0.2">
      <c r="A27" s="14" t="s">
        <v>59</v>
      </c>
      <c r="B27" s="28">
        <f t="shared" si="9"/>
        <v>0</v>
      </c>
      <c r="C27" s="29">
        <f>'Restating Adj'!C27+'Pro Forma Adj'!C27</f>
        <v>0</v>
      </c>
      <c r="D27" s="72">
        <f>'Restating Adj'!D27+'Pro Forma Adj'!D27</f>
        <v>0</v>
      </c>
      <c r="E27" s="72">
        <f>'Restating Adj'!E27+'Pro Forma Adj'!E27</f>
        <v>0</v>
      </c>
      <c r="F27" s="259">
        <f>'Restating Adj'!F27+'Pro Forma Adj'!F27</f>
        <v>0</v>
      </c>
      <c r="G27" s="29">
        <f>'Restating Adj'!G27+'Pro Forma Adj'!G27</f>
        <v>0</v>
      </c>
      <c r="H27" s="72">
        <f>'Restating Adj'!H27+'Pro Forma Adj'!H27</f>
        <v>0</v>
      </c>
      <c r="I27" s="72">
        <f>'Restating Adj'!I27+'Pro Forma Adj'!I27</f>
        <v>0</v>
      </c>
      <c r="J27" s="72">
        <f>'Restating Adj'!J27+'Pro Forma Adj'!J27</f>
        <v>0</v>
      </c>
      <c r="K27" s="72">
        <f>'Restating Adj'!K27+'Pro Forma Adj'!K27</f>
        <v>0</v>
      </c>
      <c r="L27" s="73">
        <f>'Restating Adj'!L27+'Pro Forma Adj'!L27</f>
        <v>0</v>
      </c>
      <c r="M27" s="29">
        <f>'Restating Adj'!M27+'Pro Forma Adj'!M27</f>
        <v>0</v>
      </c>
      <c r="N27" s="72">
        <f>'Restating Adj'!N27+'Pro Forma Adj'!N27</f>
        <v>0</v>
      </c>
      <c r="O27" s="72">
        <f>'Restating Adj'!O27+'Pro Forma Adj'!O27</f>
        <v>0</v>
      </c>
      <c r="P27" s="72">
        <f>'Restating Adj'!P27+'Pro Forma Adj'!P27</f>
        <v>0</v>
      </c>
      <c r="Q27" s="72">
        <f>'Restating Adj'!Q27+'Pro Forma Adj'!Q27</f>
        <v>0</v>
      </c>
      <c r="R27" s="73">
        <f>'Restating Adj'!R27+'Pro Forma Adj'!R27</f>
        <v>0</v>
      </c>
      <c r="S27" s="29">
        <f>'Restating Adj'!S27+'Pro Forma Adj'!S27</f>
        <v>0</v>
      </c>
      <c r="T27" s="72">
        <f>'Restating Adj'!T27+'Pro Forma Adj'!T27</f>
        <v>0</v>
      </c>
      <c r="U27" s="72">
        <f>'Restating Adj'!U27+'Pro Forma Adj'!U27</f>
        <v>0</v>
      </c>
      <c r="V27" s="72">
        <f>'Restating Adj'!V27+'Pro Forma Adj'!V27</f>
        <v>0</v>
      </c>
      <c r="W27" s="73">
        <f>'Restating Adj'!W27+'Pro Forma Adj'!W27</f>
        <v>0</v>
      </c>
      <c r="X27" s="259">
        <f>'Restating Adj'!X27+'Pro Forma Adj'!X27</f>
        <v>0</v>
      </c>
      <c r="Y27" s="29">
        <f>'Restating Adj'!Y27+'Pro Forma Adj'!Y27</f>
        <v>0</v>
      </c>
      <c r="Z27" s="72">
        <f>'Restating Adj'!Z27+'Pro Forma Adj'!Z27</f>
        <v>0</v>
      </c>
      <c r="AA27" s="72">
        <f>'Restating Adj'!AA27+'Pro Forma Adj'!AA27</f>
        <v>0</v>
      </c>
      <c r="AB27" s="29">
        <f>'Restating Adj'!AB27+'Pro Forma Adj'!AB27</f>
        <v>0</v>
      </c>
      <c r="AC27" s="73">
        <f>'Restating Adj'!AC27+'Pro Forma Adj'!AC27</f>
        <v>0</v>
      </c>
      <c r="AD27" s="29">
        <f>'Restating Adj'!AD27+'Pro Forma Adj'!AD27</f>
        <v>0</v>
      </c>
      <c r="AE27" s="72">
        <f>'Restating Adj'!AE27+'Pro Forma Adj'!AE27</f>
        <v>0</v>
      </c>
      <c r="AF27" s="72">
        <f>'Restating Adj'!AF27+'Pro Forma Adj'!AF27</f>
        <v>0</v>
      </c>
      <c r="AG27" s="72">
        <f>'Restating Adj'!AG27+'Pro Forma Adj'!AG27</f>
        <v>0</v>
      </c>
      <c r="AH27" s="72">
        <f>'Restating Adj'!AH27+'Pro Forma Adj'!AH27</f>
        <v>0</v>
      </c>
      <c r="AI27" s="73">
        <f>'Restating Adj'!AI27+'Pro Forma Adj'!AI27</f>
        <v>0</v>
      </c>
      <c r="AJ27" s="29">
        <f>'Restating Adj'!AJ27+'Pro Forma Adj'!AJ27</f>
        <v>0</v>
      </c>
      <c r="AK27" s="72">
        <f>'Restating Adj'!AK27+'Pro Forma Adj'!AK27</f>
        <v>0</v>
      </c>
      <c r="AL27" s="29">
        <f>'Restating Adj'!AL27+'Pro Forma Adj'!AL27</f>
        <v>0</v>
      </c>
      <c r="AM27" s="72">
        <f>'Restating Adj'!AM27+'Pro Forma Adj'!AM27</f>
        <v>0</v>
      </c>
      <c r="AN27" s="72">
        <f>'Restating Adj'!AN27+'Pro Forma Adj'!AN27</f>
        <v>0</v>
      </c>
      <c r="AO27" s="73">
        <f>'Restating Adj'!AO27+'Pro Forma Adj'!AO27</f>
        <v>0</v>
      </c>
      <c r="AP27" s="29">
        <f>'Restating Adj'!AP27+'Pro Forma Adj'!AP27</f>
        <v>0</v>
      </c>
      <c r="AQ27" s="72">
        <f>'Restating Adj'!AQ27+'Pro Forma Adj'!AQ27</f>
        <v>0</v>
      </c>
      <c r="AR27" s="72">
        <f>'Restating Adj'!AR27+'Pro Forma Adj'!AR27</f>
        <v>0</v>
      </c>
      <c r="AS27" s="72">
        <f>'Restating Adj'!AS27+'Pro Forma Adj'!AS27</f>
        <v>0</v>
      </c>
      <c r="AT27" s="72">
        <f>'Restating Adj'!AT27+'Pro Forma Adj'!AT27</f>
        <v>0</v>
      </c>
      <c r="AU27" s="73">
        <f>'Restating Adj'!AU27+'Pro Forma Adj'!AU27</f>
        <v>0</v>
      </c>
      <c r="AV27" s="29">
        <f>'Restating Adj'!AV27+'Pro Forma Adj'!AV27</f>
        <v>0</v>
      </c>
      <c r="AW27" s="73">
        <f>'Restating Adj'!AW27+'Pro Forma Adj'!AW27</f>
        <v>0</v>
      </c>
      <c r="AX27" s="259">
        <f>'Restating Adj'!AX27+'Pro Forma Adj'!AX27</f>
        <v>0</v>
      </c>
      <c r="AY27" s="29">
        <f>'Restating Adj'!AY27+'Pro Forma Adj'!AY27</f>
        <v>0</v>
      </c>
      <c r="AZ27" s="72">
        <f>'Restating Adj'!AZ27+'Pro Forma Adj'!AZ27</f>
        <v>0</v>
      </c>
      <c r="BA27" s="73">
        <f>'Restating Adj'!BA27+'Pro Forma Adj'!BA27</f>
        <v>0</v>
      </c>
      <c r="BB27" s="29">
        <f>'Restating Adj'!BB27+'Pro Forma Adj'!BB27</f>
        <v>0</v>
      </c>
      <c r="BC27" s="72">
        <f>'Restating Adj'!BC27+'Pro Forma Adj'!BC27</f>
        <v>0</v>
      </c>
      <c r="BD27" s="72">
        <f>'Restating Adj'!BD27+'Pro Forma Adj'!BD27</f>
        <v>0</v>
      </c>
      <c r="BE27" s="72">
        <f>'Restating Adj'!BE27+'Pro Forma Adj'!BE27</f>
        <v>0</v>
      </c>
      <c r="BF27" s="73">
        <f>'Restating Adj'!BF27+'Pro Forma Adj'!BF27</f>
        <v>0</v>
      </c>
    </row>
    <row r="28" spans="1:58" x14ac:dyDescent="0.2">
      <c r="A28" s="14" t="s">
        <v>60</v>
      </c>
      <c r="B28" s="28">
        <f t="shared" si="9"/>
        <v>-2377453.4111121222</v>
      </c>
      <c r="C28" s="31">
        <f>'Restating Adj'!C28+'Pro Forma Adj'!C28</f>
        <v>0</v>
      </c>
      <c r="D28" s="77">
        <f>'Restating Adj'!D28+'Pro Forma Adj'!D28</f>
        <v>0</v>
      </c>
      <c r="E28" s="77">
        <f>'Restating Adj'!E28+'Pro Forma Adj'!E28</f>
        <v>0</v>
      </c>
      <c r="F28" s="260">
        <f>'Restating Adj'!F28+'Pro Forma Adj'!F28</f>
        <v>93809.123439928429</v>
      </c>
      <c r="G28" s="31">
        <f>'Restating Adj'!G28+'Pro Forma Adj'!G28</f>
        <v>27845.414699581903</v>
      </c>
      <c r="H28" s="77">
        <f>'Restating Adj'!H28+'Pro Forma Adj'!H28</f>
        <v>133801.55445488991</v>
      </c>
      <c r="I28" s="77">
        <f>'Restating Adj'!I28+'Pro Forma Adj'!I28</f>
        <v>-609471.75052286382</v>
      </c>
      <c r="J28" s="77">
        <f>'Restating Adj'!J28+'Pro Forma Adj'!J28</f>
        <v>-3532011.4621380032</v>
      </c>
      <c r="K28" s="77">
        <f>'Restating Adj'!K28+'Pro Forma Adj'!K28</f>
        <v>-636.50426369283355</v>
      </c>
      <c r="L28" s="79">
        <f>'Restating Adj'!L28+'Pro Forma Adj'!L28</f>
        <v>-767.83106542847236</v>
      </c>
      <c r="M28" s="31">
        <f>'Restating Adj'!M28+'Pro Forma Adj'!M28</f>
        <v>774942.94549049344</v>
      </c>
      <c r="N28" s="77">
        <f>'Restating Adj'!N28+'Pro Forma Adj'!N28</f>
        <v>-561028.14210245886</v>
      </c>
      <c r="O28" s="77">
        <f>'Restating Adj'!O28+'Pro Forma Adj'!O28</f>
        <v>0</v>
      </c>
      <c r="P28" s="77">
        <f>'Restating Adj'!P28+'Pro Forma Adj'!P28</f>
        <v>1273483.376388011</v>
      </c>
      <c r="Q28" s="77">
        <f>'Restating Adj'!Q28+'Pro Forma Adj'!Q28</f>
        <v>0</v>
      </c>
      <c r="R28" s="79">
        <f>'Restating Adj'!R28+'Pro Forma Adj'!R28</f>
        <v>0</v>
      </c>
      <c r="S28" s="31">
        <f>'Restating Adj'!S28+'Pro Forma Adj'!S28</f>
        <v>0</v>
      </c>
      <c r="T28" s="77">
        <f>'Restating Adj'!T28+'Pro Forma Adj'!T28</f>
        <v>0</v>
      </c>
      <c r="U28" s="77">
        <f>'Restating Adj'!U28+'Pro Forma Adj'!U28</f>
        <v>0</v>
      </c>
      <c r="V28" s="77">
        <f>'Restating Adj'!V28+'Pro Forma Adj'!V28</f>
        <v>0</v>
      </c>
      <c r="W28" s="79">
        <f>'Restating Adj'!W28+'Pro Forma Adj'!W28</f>
        <v>37776</v>
      </c>
      <c r="X28" s="260">
        <f>'Restating Adj'!X28+'Pro Forma Adj'!X28</f>
        <v>0</v>
      </c>
      <c r="Y28" s="31">
        <f>'Restating Adj'!Y28+'Pro Forma Adj'!Y28</f>
        <v>0</v>
      </c>
      <c r="Z28" s="77">
        <f>'Restating Adj'!Z28+'Pro Forma Adj'!Z28</f>
        <v>0</v>
      </c>
      <c r="AA28" s="77">
        <f>'Restating Adj'!AA28+'Pro Forma Adj'!AA28</f>
        <v>0</v>
      </c>
      <c r="AB28" s="31">
        <f>'Restating Adj'!AB28+'Pro Forma Adj'!AB28</f>
        <v>0</v>
      </c>
      <c r="AC28" s="79">
        <f>'Restating Adj'!AC28+'Pro Forma Adj'!AC28</f>
        <v>0</v>
      </c>
      <c r="AD28" s="31">
        <f>'Restating Adj'!AD28+'Pro Forma Adj'!AD28</f>
        <v>0</v>
      </c>
      <c r="AE28" s="77">
        <f>'Restating Adj'!AE28+'Pro Forma Adj'!AE28</f>
        <v>0</v>
      </c>
      <c r="AF28" s="77">
        <f>'Restating Adj'!AF28+'Pro Forma Adj'!AF28</f>
        <v>0</v>
      </c>
      <c r="AG28" s="77">
        <f>'Restating Adj'!AG28+'Pro Forma Adj'!AG28</f>
        <v>0</v>
      </c>
      <c r="AH28" s="77">
        <f>'Restating Adj'!AH28+'Pro Forma Adj'!AH28</f>
        <v>0</v>
      </c>
      <c r="AI28" s="79">
        <f>'Restating Adj'!AI28+'Pro Forma Adj'!AI28</f>
        <v>0</v>
      </c>
      <c r="AJ28" s="31">
        <f>'Restating Adj'!AJ28+'Pro Forma Adj'!AJ28</f>
        <v>0</v>
      </c>
      <c r="AK28" s="77">
        <f>'Restating Adj'!AK28+'Pro Forma Adj'!AK28</f>
        <v>0</v>
      </c>
      <c r="AL28" s="31">
        <f>'Restating Adj'!AL28+'Pro Forma Adj'!AL28</f>
        <v>0</v>
      </c>
      <c r="AM28" s="77">
        <f>'Restating Adj'!AM28+'Pro Forma Adj'!AM28</f>
        <v>0</v>
      </c>
      <c r="AN28" s="77">
        <f>'Restating Adj'!AN28+'Pro Forma Adj'!AN28</f>
        <v>0</v>
      </c>
      <c r="AO28" s="79">
        <f>'Restating Adj'!AO28+'Pro Forma Adj'!AO28</f>
        <v>0</v>
      </c>
      <c r="AP28" s="31">
        <f>'Restating Adj'!AP28+'Pro Forma Adj'!AP28</f>
        <v>0</v>
      </c>
      <c r="AQ28" s="77">
        <f>'Restating Adj'!AQ28+'Pro Forma Adj'!AQ28</f>
        <v>0</v>
      </c>
      <c r="AR28" s="77">
        <f>'Restating Adj'!AR28+'Pro Forma Adj'!AR28</f>
        <v>0</v>
      </c>
      <c r="AS28" s="77">
        <f>'Restating Adj'!AS28+'Pro Forma Adj'!AS28</f>
        <v>0</v>
      </c>
      <c r="AT28" s="77">
        <f>'Restating Adj'!AT28+'Pro Forma Adj'!AT28</f>
        <v>0</v>
      </c>
      <c r="AU28" s="79">
        <f>'Restating Adj'!AU28+'Pro Forma Adj'!AU28</f>
        <v>0</v>
      </c>
      <c r="AV28" s="31">
        <f>'Restating Adj'!AV28+'Pro Forma Adj'!AV28</f>
        <v>0</v>
      </c>
      <c r="AW28" s="79">
        <f>'Restating Adj'!AW28+'Pro Forma Adj'!AW28</f>
        <v>0</v>
      </c>
      <c r="AX28" s="260">
        <f>'Restating Adj'!AX28+'Pro Forma Adj'!AX28</f>
        <v>0</v>
      </c>
      <c r="AY28" s="31">
        <f>'Restating Adj'!AY28+'Pro Forma Adj'!AY28</f>
        <v>0</v>
      </c>
      <c r="AZ28" s="77">
        <f>'Restating Adj'!AZ28+'Pro Forma Adj'!AZ28</f>
        <v>0</v>
      </c>
      <c r="BA28" s="79">
        <f>'Restating Adj'!BA28+'Pro Forma Adj'!BA28</f>
        <v>-15196.135492579706</v>
      </c>
      <c r="BB28" s="31">
        <f>'Restating Adj'!BB28+'Pro Forma Adj'!BB28</f>
        <v>0</v>
      </c>
      <c r="BC28" s="77">
        <f>'Restating Adj'!BC28+'Pro Forma Adj'!BC28</f>
        <v>0</v>
      </c>
      <c r="BD28" s="77">
        <f>'Restating Adj'!BD28+'Pro Forma Adj'!BD28</f>
        <v>0</v>
      </c>
      <c r="BE28" s="77">
        <f>'Restating Adj'!BE28+'Pro Forma Adj'!BE28</f>
        <v>0</v>
      </c>
      <c r="BF28" s="79">
        <f>'Restating Adj'!BF28+'Pro Forma Adj'!BF28</f>
        <v>0</v>
      </c>
    </row>
    <row r="29" spans="1:58" x14ac:dyDescent="0.2">
      <c r="A29" s="14" t="s">
        <v>61</v>
      </c>
      <c r="B29" s="254">
        <f t="shared" si="9"/>
        <v>56809055.890087329</v>
      </c>
      <c r="C29" s="27">
        <f>SUM(C19:C28)</f>
        <v>0</v>
      </c>
      <c r="D29" s="12">
        <f t="shared" ref="D29:AO29" si="10">SUM(D19:D28)</f>
        <v>0</v>
      </c>
      <c r="E29" s="12">
        <f t="shared" si="10"/>
        <v>0</v>
      </c>
      <c r="F29" s="69">
        <f t="shared" si="10"/>
        <v>93300.550245701117</v>
      </c>
      <c r="G29" s="27">
        <f t="shared" si="10"/>
        <v>376068.13367364765</v>
      </c>
      <c r="H29" s="12">
        <f t="shared" si="10"/>
        <v>1807065.9535639419</v>
      </c>
      <c r="I29" s="12">
        <f t="shared" si="10"/>
        <v>-609471.75052286382</v>
      </c>
      <c r="J29" s="12">
        <f t="shared" si="10"/>
        <v>-3532011.4621380032</v>
      </c>
      <c r="K29" s="12">
        <f t="shared" si="10"/>
        <v>16906.942670214736</v>
      </c>
      <c r="L29" s="68">
        <f t="shared" si="10"/>
        <v>-767.83106542847236</v>
      </c>
      <c r="M29" s="27">
        <f t="shared" si="10"/>
        <v>545535.87124221772</v>
      </c>
      <c r="N29" s="12">
        <f t="shared" si="10"/>
        <v>-629279.35106791416</v>
      </c>
      <c r="O29" s="12">
        <f t="shared" si="10"/>
        <v>2006742.3164071133</v>
      </c>
      <c r="P29" s="12">
        <f t="shared" si="10"/>
        <v>1273483.376388011</v>
      </c>
      <c r="Q29" s="12">
        <f t="shared" si="10"/>
        <v>73178.965199999977</v>
      </c>
      <c r="R29" s="68">
        <f t="shared" si="10"/>
        <v>4130186.2725003762</v>
      </c>
      <c r="S29" s="27">
        <f t="shared" ref="S29:T29" si="11">SUM(S19:S28)</f>
        <v>-7141820.6973571628</v>
      </c>
      <c r="T29" s="12">
        <f t="shared" si="11"/>
        <v>56166403.843724281</v>
      </c>
      <c r="U29" s="12">
        <f t="shared" ref="U29:V29" si="12">SUM(U19:U28)</f>
        <v>0</v>
      </c>
      <c r="V29" s="12">
        <f t="shared" si="12"/>
        <v>114140.83764662949</v>
      </c>
      <c r="W29" s="68">
        <f t="shared" ref="W29" si="13">SUM(W19:W28)</f>
        <v>37776</v>
      </c>
      <c r="X29" s="69">
        <f t="shared" si="10"/>
        <v>0</v>
      </c>
      <c r="Y29" s="27">
        <f t="shared" si="10"/>
        <v>0</v>
      </c>
      <c r="Z29" s="12">
        <f t="shared" si="10"/>
        <v>0</v>
      </c>
      <c r="AA29" s="12">
        <f t="shared" si="10"/>
        <v>2233092.2074194313</v>
      </c>
      <c r="AB29" s="27">
        <f t="shared" si="10"/>
        <v>0</v>
      </c>
      <c r="AC29" s="68">
        <f t="shared" si="10"/>
        <v>0</v>
      </c>
      <c r="AD29" s="27">
        <f t="shared" si="10"/>
        <v>0</v>
      </c>
      <c r="AE29" s="12">
        <f t="shared" si="10"/>
        <v>0</v>
      </c>
      <c r="AF29" s="12">
        <f t="shared" si="10"/>
        <v>0</v>
      </c>
      <c r="AG29" s="12">
        <f t="shared" si="10"/>
        <v>0</v>
      </c>
      <c r="AH29" s="12">
        <f t="shared" si="10"/>
        <v>0</v>
      </c>
      <c r="AI29" s="68">
        <f>SUM(AI19:AI28)</f>
        <v>0</v>
      </c>
      <c r="AJ29" s="27">
        <f t="shared" si="10"/>
        <v>0</v>
      </c>
      <c r="AK29" s="12">
        <f t="shared" ref="AK29" si="14">SUM(AK19:AK28)</f>
        <v>0</v>
      </c>
      <c r="AL29" s="27">
        <f t="shared" si="10"/>
        <v>0</v>
      </c>
      <c r="AM29" s="12">
        <f t="shared" si="10"/>
        <v>0</v>
      </c>
      <c r="AN29" s="12">
        <f t="shared" si="10"/>
        <v>0</v>
      </c>
      <c r="AO29" s="68">
        <f t="shared" si="10"/>
        <v>0</v>
      </c>
      <c r="AP29" s="27">
        <f t="shared" ref="AP29:AW29" si="15">SUM(AP19:AP28)</f>
        <v>0</v>
      </c>
      <c r="AQ29" s="12">
        <f t="shared" si="15"/>
        <v>0</v>
      </c>
      <c r="AR29" s="12">
        <f t="shared" si="15"/>
        <v>0</v>
      </c>
      <c r="AS29" s="12">
        <f t="shared" si="15"/>
        <v>0</v>
      </c>
      <c r="AT29" s="12">
        <f t="shared" si="15"/>
        <v>0</v>
      </c>
      <c r="AU29" s="68">
        <f t="shared" si="15"/>
        <v>-253659.07857429984</v>
      </c>
      <c r="AV29" s="27">
        <f t="shared" si="15"/>
        <v>131145.17024851745</v>
      </c>
      <c r="AW29" s="68">
        <f t="shared" si="15"/>
        <v>0</v>
      </c>
      <c r="AX29" s="69">
        <f t="shared" ref="AX29:BA29" si="16">SUM(AX19:AX28)</f>
        <v>1188168.2792218798</v>
      </c>
      <c r="AY29" s="27">
        <f t="shared" si="16"/>
        <v>0</v>
      </c>
      <c r="AZ29" s="12">
        <f t="shared" si="16"/>
        <v>0</v>
      </c>
      <c r="BA29" s="68">
        <f t="shared" si="16"/>
        <v>-1217128.6593389532</v>
      </c>
      <c r="BB29" s="27">
        <f t="shared" ref="BB29:BE29" si="17">SUM(BB19:BB28)</f>
        <v>0</v>
      </c>
      <c r="BC29" s="12">
        <f t="shared" si="17"/>
        <v>0</v>
      </c>
      <c r="BD29" s="12">
        <f t="shared" si="17"/>
        <v>0</v>
      </c>
      <c r="BE29" s="12">
        <f t="shared" si="17"/>
        <v>0</v>
      </c>
      <c r="BF29" s="68">
        <f t="shared" ref="BF29" si="18">SUM(BF19:BF28)</f>
        <v>0</v>
      </c>
    </row>
    <row r="30" spans="1:58" x14ac:dyDescent="0.2">
      <c r="A30" s="14" t="s">
        <v>62</v>
      </c>
      <c r="B30" s="28">
        <f t="shared" si="9"/>
        <v>-11998389.233632291</v>
      </c>
      <c r="C30" s="29">
        <f>'Restating Adj'!C30+'Pro Forma Adj'!C30</f>
        <v>0</v>
      </c>
      <c r="D30" s="72">
        <f>'Restating Adj'!D30+'Pro Forma Adj'!D30</f>
        <v>0</v>
      </c>
      <c r="E30" s="72">
        <f>'Restating Adj'!E30+'Pro Forma Adj'!E30</f>
        <v>0</v>
      </c>
      <c r="F30" s="259">
        <f>'Restating Adj'!F30+'Pro Forma Adj'!F30</f>
        <v>0</v>
      </c>
      <c r="G30" s="29">
        <f>'Restating Adj'!G30+'Pro Forma Adj'!G30</f>
        <v>0</v>
      </c>
      <c r="H30" s="72">
        <f>'Restating Adj'!H30+'Pro Forma Adj'!H30</f>
        <v>0</v>
      </c>
      <c r="I30" s="72">
        <f>'Restating Adj'!I30+'Pro Forma Adj'!I30</f>
        <v>0</v>
      </c>
      <c r="J30" s="72">
        <f>'Restating Adj'!J30+'Pro Forma Adj'!J30</f>
        <v>0</v>
      </c>
      <c r="K30" s="72">
        <f>'Restating Adj'!K30+'Pro Forma Adj'!K30</f>
        <v>0</v>
      </c>
      <c r="L30" s="73">
        <f>'Restating Adj'!L30+'Pro Forma Adj'!L30</f>
        <v>0</v>
      </c>
      <c r="M30" s="29">
        <f>'Restating Adj'!M30+'Pro Forma Adj'!M30</f>
        <v>0</v>
      </c>
      <c r="N30" s="72">
        <f>'Restating Adj'!N30+'Pro Forma Adj'!N30</f>
        <v>0</v>
      </c>
      <c r="O30" s="72">
        <f>'Restating Adj'!O30+'Pro Forma Adj'!O30</f>
        <v>0</v>
      </c>
      <c r="P30" s="72">
        <f>'Restating Adj'!P30+'Pro Forma Adj'!P30</f>
        <v>0</v>
      </c>
      <c r="Q30" s="72">
        <f>'Restating Adj'!Q30+'Pro Forma Adj'!Q30</f>
        <v>0</v>
      </c>
      <c r="R30" s="73">
        <f>'Restating Adj'!R30+'Pro Forma Adj'!R30</f>
        <v>0</v>
      </c>
      <c r="S30" s="29">
        <f>'Restating Adj'!S30+'Pro Forma Adj'!S30</f>
        <v>0</v>
      </c>
      <c r="T30" s="72">
        <f>'Restating Adj'!T30+'Pro Forma Adj'!T30</f>
        <v>0</v>
      </c>
      <c r="U30" s="72">
        <f>'Restating Adj'!U30+'Pro Forma Adj'!U30</f>
        <v>0</v>
      </c>
      <c r="V30" s="72">
        <f>'Restating Adj'!V30+'Pro Forma Adj'!V30</f>
        <v>0</v>
      </c>
      <c r="W30" s="73">
        <f>'Restating Adj'!W30+'Pro Forma Adj'!W30</f>
        <v>0</v>
      </c>
      <c r="X30" s="259">
        <f>'Restating Adj'!X30+'Pro Forma Adj'!X30</f>
        <v>-16220473.329020642</v>
      </c>
      <c r="Y30" s="29">
        <f>'Restating Adj'!Y30+'Pro Forma Adj'!Y30</f>
        <v>0</v>
      </c>
      <c r="Z30" s="72">
        <f>'Restating Adj'!Z30+'Pro Forma Adj'!Z30</f>
        <v>0</v>
      </c>
      <c r="AA30" s="72">
        <f>'Restating Adj'!AA30+'Pro Forma Adj'!AA30</f>
        <v>0</v>
      </c>
      <c r="AB30" s="29">
        <f>'Restating Adj'!AB30+'Pro Forma Adj'!AB30</f>
        <v>0</v>
      </c>
      <c r="AC30" s="73">
        <f>'Restating Adj'!AC30+'Pro Forma Adj'!AC30</f>
        <v>0</v>
      </c>
      <c r="AD30" s="29">
        <f>'Restating Adj'!AD30+'Pro Forma Adj'!AD30</f>
        <v>0</v>
      </c>
      <c r="AE30" s="72">
        <f>'Restating Adj'!AE30+'Pro Forma Adj'!AE30</f>
        <v>0</v>
      </c>
      <c r="AF30" s="72">
        <f>'Restating Adj'!AF30+'Pro Forma Adj'!AF30</f>
        <v>0</v>
      </c>
      <c r="AG30" s="72">
        <f>'Restating Adj'!AG30+'Pro Forma Adj'!AG30</f>
        <v>0</v>
      </c>
      <c r="AH30" s="72">
        <f>'Restating Adj'!AH30+'Pro Forma Adj'!AH30</f>
        <v>0</v>
      </c>
      <c r="AI30" s="73">
        <f>'Restating Adj'!AI30+'Pro Forma Adj'!AI30</f>
        <v>0</v>
      </c>
      <c r="AJ30" s="29">
        <f>'Restating Adj'!AJ30+'Pro Forma Adj'!AJ30</f>
        <v>0</v>
      </c>
      <c r="AK30" s="72">
        <f>'Restating Adj'!AK30+'Pro Forma Adj'!AK30</f>
        <v>0</v>
      </c>
      <c r="AL30" s="29">
        <f>'Restating Adj'!AL30+'Pro Forma Adj'!AL30</f>
        <v>0</v>
      </c>
      <c r="AM30" s="72">
        <f>'Restating Adj'!AM30+'Pro Forma Adj'!AM30</f>
        <v>0</v>
      </c>
      <c r="AN30" s="72">
        <f>'Restating Adj'!AN30+'Pro Forma Adj'!AN30</f>
        <v>0</v>
      </c>
      <c r="AO30" s="73">
        <f>'Restating Adj'!AO30+'Pro Forma Adj'!AO30</f>
        <v>0</v>
      </c>
      <c r="AP30" s="29">
        <f>'Restating Adj'!AP30+'Pro Forma Adj'!AP30</f>
        <v>0</v>
      </c>
      <c r="AQ30" s="72">
        <f>'Restating Adj'!AQ30+'Pro Forma Adj'!AQ30</f>
        <v>0</v>
      </c>
      <c r="AR30" s="72">
        <f>'Restating Adj'!AR30+'Pro Forma Adj'!AR30</f>
        <v>0</v>
      </c>
      <c r="AS30" s="72">
        <f>'Restating Adj'!AS30+'Pro Forma Adj'!AS30</f>
        <v>0</v>
      </c>
      <c r="AT30" s="72">
        <f>'Restating Adj'!AT30+'Pro Forma Adj'!AT30</f>
        <v>0</v>
      </c>
      <c r="AU30" s="73">
        <f>'Restating Adj'!AU30+'Pro Forma Adj'!AU30</f>
        <v>0</v>
      </c>
      <c r="AV30" s="29">
        <f>'Restating Adj'!AV30+'Pro Forma Adj'!AV30</f>
        <v>97710.70532217549</v>
      </c>
      <c r="AW30" s="73">
        <f>'Restating Adj'!AW30+'Pro Forma Adj'!AW30</f>
        <v>646845.05196292081</v>
      </c>
      <c r="AX30" s="259">
        <f>'Restating Adj'!AX30+'Pro Forma Adj'!AX30</f>
        <v>23210.389051953243</v>
      </c>
      <c r="AY30" s="29">
        <f>'Restating Adj'!AY30+'Pro Forma Adj'!AY30</f>
        <v>0</v>
      </c>
      <c r="AZ30" s="72">
        <f>'Restating Adj'!AZ30+'Pro Forma Adj'!AZ30</f>
        <v>418474.67101061583</v>
      </c>
      <c r="BA30" s="73">
        <f>'Restating Adj'!BA30+'Pro Forma Adj'!BA30</f>
        <v>0</v>
      </c>
      <c r="BB30" s="29">
        <f>'Restating Adj'!BB30+'Pro Forma Adj'!BB30</f>
        <v>0</v>
      </c>
      <c r="BC30" s="72">
        <f>'Restating Adj'!BC30+'Pro Forma Adj'!BC30</f>
        <v>2952540.8917818591</v>
      </c>
      <c r="BD30" s="72">
        <f>'Restating Adj'!BD30+'Pro Forma Adj'!BD30</f>
        <v>46519.892542761663</v>
      </c>
      <c r="BE30" s="72">
        <f>'Restating Adj'!BE30+'Pro Forma Adj'!BE30</f>
        <v>36782.493716064644</v>
      </c>
      <c r="BF30" s="73">
        <f>'Restating Adj'!BF30+'Pro Forma Adj'!BF30</f>
        <v>0</v>
      </c>
    </row>
    <row r="31" spans="1:58" x14ac:dyDescent="0.2">
      <c r="A31" s="14" t="s">
        <v>63</v>
      </c>
      <c r="B31" s="28">
        <f t="shared" si="9"/>
        <v>11403896.282430222</v>
      </c>
      <c r="C31" s="29">
        <f>'Restating Adj'!C31+'Pro Forma Adj'!C31</f>
        <v>0</v>
      </c>
      <c r="D31" s="72">
        <f>'Restating Adj'!D31+'Pro Forma Adj'!D31</f>
        <v>0</v>
      </c>
      <c r="E31" s="72">
        <f>'Restating Adj'!E31+'Pro Forma Adj'!E31</f>
        <v>0</v>
      </c>
      <c r="F31" s="259">
        <f>'Restating Adj'!F31+'Pro Forma Adj'!F31</f>
        <v>0</v>
      </c>
      <c r="G31" s="29">
        <f>'Restating Adj'!G31+'Pro Forma Adj'!G31</f>
        <v>0</v>
      </c>
      <c r="H31" s="72">
        <f>'Restating Adj'!H31+'Pro Forma Adj'!H31</f>
        <v>0</v>
      </c>
      <c r="I31" s="72">
        <f>'Restating Adj'!I31+'Pro Forma Adj'!I31</f>
        <v>0</v>
      </c>
      <c r="J31" s="72">
        <f>'Restating Adj'!J31+'Pro Forma Adj'!J31</f>
        <v>0</v>
      </c>
      <c r="K31" s="72">
        <f>'Restating Adj'!K31+'Pro Forma Adj'!K31</f>
        <v>0</v>
      </c>
      <c r="L31" s="73">
        <f>'Restating Adj'!L31+'Pro Forma Adj'!L31</f>
        <v>0</v>
      </c>
      <c r="M31" s="29">
        <f>'Restating Adj'!M31+'Pro Forma Adj'!M31</f>
        <v>0</v>
      </c>
      <c r="N31" s="72">
        <f>'Restating Adj'!N31+'Pro Forma Adj'!N31</f>
        <v>0</v>
      </c>
      <c r="O31" s="72">
        <f>'Restating Adj'!O31+'Pro Forma Adj'!O31</f>
        <v>0</v>
      </c>
      <c r="P31" s="72">
        <f>'Restating Adj'!P31+'Pro Forma Adj'!P31</f>
        <v>0</v>
      </c>
      <c r="Q31" s="72">
        <f>'Restating Adj'!Q31+'Pro Forma Adj'!Q31</f>
        <v>0</v>
      </c>
      <c r="R31" s="73">
        <f>'Restating Adj'!R31+'Pro Forma Adj'!R31</f>
        <v>0</v>
      </c>
      <c r="S31" s="29">
        <f>'Restating Adj'!S31+'Pro Forma Adj'!S31</f>
        <v>0</v>
      </c>
      <c r="T31" s="72">
        <f>'Restating Adj'!T31+'Pro Forma Adj'!T31</f>
        <v>0</v>
      </c>
      <c r="U31" s="72">
        <f>'Restating Adj'!U31+'Pro Forma Adj'!U31</f>
        <v>0</v>
      </c>
      <c r="V31" s="72">
        <f>'Restating Adj'!V31+'Pro Forma Adj'!V31</f>
        <v>0</v>
      </c>
      <c r="W31" s="73">
        <f>'Restating Adj'!W31+'Pro Forma Adj'!W31</f>
        <v>0</v>
      </c>
      <c r="X31" s="259">
        <f>'Restating Adj'!X31+'Pro Forma Adj'!X31</f>
        <v>615859.06737593689</v>
      </c>
      <c r="Y31" s="29">
        <f>'Restating Adj'!Y31+'Pro Forma Adj'!Y31</f>
        <v>0</v>
      </c>
      <c r="Z31" s="72">
        <f>'Restating Adj'!Z31+'Pro Forma Adj'!Z31</f>
        <v>0</v>
      </c>
      <c r="AA31" s="72">
        <f>'Restating Adj'!AA31+'Pro Forma Adj'!AA31</f>
        <v>3700582.6343244445</v>
      </c>
      <c r="AB31" s="29">
        <f>'Restating Adj'!AB31+'Pro Forma Adj'!AB31</f>
        <v>0</v>
      </c>
      <c r="AC31" s="73">
        <f>'Restating Adj'!AC31+'Pro Forma Adj'!AC31</f>
        <v>0</v>
      </c>
      <c r="AD31" s="29">
        <f>'Restating Adj'!AD31+'Pro Forma Adj'!AD31</f>
        <v>0</v>
      </c>
      <c r="AE31" s="72">
        <f>'Restating Adj'!AE31+'Pro Forma Adj'!AE31</f>
        <v>0</v>
      </c>
      <c r="AF31" s="72">
        <f>'Restating Adj'!AF31+'Pro Forma Adj'!AF31</f>
        <v>0</v>
      </c>
      <c r="AG31" s="72">
        <f>'Restating Adj'!AG31+'Pro Forma Adj'!AG31</f>
        <v>0</v>
      </c>
      <c r="AH31" s="72">
        <f>'Restating Adj'!AH31+'Pro Forma Adj'!AH31</f>
        <v>0</v>
      </c>
      <c r="AI31" s="73">
        <f>'Restating Adj'!AI31+'Pro Forma Adj'!AI31</f>
        <v>0</v>
      </c>
      <c r="AJ31" s="29">
        <f>'Restating Adj'!AJ31+'Pro Forma Adj'!AJ31</f>
        <v>0</v>
      </c>
      <c r="AK31" s="72">
        <f>'Restating Adj'!AK31+'Pro Forma Adj'!AK31</f>
        <v>0</v>
      </c>
      <c r="AL31" s="29">
        <f>'Restating Adj'!AL31+'Pro Forma Adj'!AL31</f>
        <v>0</v>
      </c>
      <c r="AM31" s="72">
        <f>'Restating Adj'!AM31+'Pro Forma Adj'!AM31</f>
        <v>7011257.8506784029</v>
      </c>
      <c r="AN31" s="72">
        <f>'Restating Adj'!AN31+'Pro Forma Adj'!AN31</f>
        <v>0</v>
      </c>
      <c r="AO31" s="73">
        <f>'Restating Adj'!AO31+'Pro Forma Adj'!AO31</f>
        <v>0</v>
      </c>
      <c r="AP31" s="29">
        <f>'Restating Adj'!AP31+'Pro Forma Adj'!AP31</f>
        <v>0</v>
      </c>
      <c r="AQ31" s="72">
        <f>'Restating Adj'!AQ31+'Pro Forma Adj'!AQ31</f>
        <v>0</v>
      </c>
      <c r="AR31" s="72">
        <f>'Restating Adj'!AR31+'Pro Forma Adj'!AR31</f>
        <v>0</v>
      </c>
      <c r="AS31" s="72">
        <f>'Restating Adj'!AS31+'Pro Forma Adj'!AS31</f>
        <v>0</v>
      </c>
      <c r="AT31" s="72">
        <f>'Restating Adj'!AT31+'Pro Forma Adj'!AT31</f>
        <v>0</v>
      </c>
      <c r="AU31" s="73">
        <f>'Restating Adj'!AU31+'Pro Forma Adj'!AU31</f>
        <v>76196.730051437393</v>
      </c>
      <c r="AV31" s="29">
        <f>'Restating Adj'!AV31+'Pro Forma Adj'!AV31</f>
        <v>0</v>
      </c>
      <c r="AW31" s="73">
        <f>'Restating Adj'!AW31+'Pro Forma Adj'!AW31</f>
        <v>0</v>
      </c>
      <c r="AX31" s="259">
        <f>'Restating Adj'!AX31+'Pro Forma Adj'!AX31</f>
        <v>0</v>
      </c>
      <c r="AY31" s="29">
        <f>'Restating Adj'!AY31+'Pro Forma Adj'!AY31</f>
        <v>0</v>
      </c>
      <c r="AZ31" s="72">
        <f>'Restating Adj'!AZ31+'Pro Forma Adj'!AZ31</f>
        <v>0</v>
      </c>
      <c r="BA31" s="73">
        <f>'Restating Adj'!BA31+'Pro Forma Adj'!BA31</f>
        <v>0</v>
      </c>
      <c r="BB31" s="29">
        <f>'Restating Adj'!BB31+'Pro Forma Adj'!BB31</f>
        <v>0</v>
      </c>
      <c r="BC31" s="72">
        <f>'Restating Adj'!BC31+'Pro Forma Adj'!BC31</f>
        <v>0</v>
      </c>
      <c r="BD31" s="72">
        <f>'Restating Adj'!BD31+'Pro Forma Adj'!BD31</f>
        <v>0</v>
      </c>
      <c r="BE31" s="72">
        <f>'Restating Adj'!BE31+'Pro Forma Adj'!BE31</f>
        <v>0</v>
      </c>
      <c r="BF31" s="73">
        <f>'Restating Adj'!BF31+'Pro Forma Adj'!BF31</f>
        <v>0</v>
      </c>
    </row>
    <row r="32" spans="1:58" x14ac:dyDescent="0.2">
      <c r="A32" s="14" t="s">
        <v>64</v>
      </c>
      <c r="B32" s="28">
        <f t="shared" si="9"/>
        <v>2275333.1479943478</v>
      </c>
      <c r="C32" s="29">
        <f>'Restating Adj'!C32+'Pro Forma Adj'!C32</f>
        <v>0</v>
      </c>
      <c r="D32" s="72">
        <f>'Restating Adj'!D32+'Pro Forma Adj'!D32</f>
        <v>0</v>
      </c>
      <c r="E32" s="72">
        <f>'Restating Adj'!E32+'Pro Forma Adj'!E32</f>
        <v>0</v>
      </c>
      <c r="F32" s="259">
        <f>'Restating Adj'!F32+'Pro Forma Adj'!F32</f>
        <v>0</v>
      </c>
      <c r="G32" s="29">
        <f>'Restating Adj'!G32+'Pro Forma Adj'!G32</f>
        <v>0</v>
      </c>
      <c r="H32" s="72">
        <f>'Restating Adj'!H32+'Pro Forma Adj'!H32</f>
        <v>0</v>
      </c>
      <c r="I32" s="72">
        <f>'Restating Adj'!I32+'Pro Forma Adj'!I32</f>
        <v>0</v>
      </c>
      <c r="J32" s="72">
        <f>'Restating Adj'!J32+'Pro Forma Adj'!J32</f>
        <v>0</v>
      </c>
      <c r="K32" s="72">
        <f>'Restating Adj'!K32+'Pro Forma Adj'!K32</f>
        <v>0</v>
      </c>
      <c r="L32" s="73">
        <f>'Restating Adj'!L32+'Pro Forma Adj'!L32</f>
        <v>0</v>
      </c>
      <c r="M32" s="29">
        <f>'Restating Adj'!M32+'Pro Forma Adj'!M32</f>
        <v>0</v>
      </c>
      <c r="N32" s="72">
        <f>'Restating Adj'!N32+'Pro Forma Adj'!N32</f>
        <v>0</v>
      </c>
      <c r="O32" s="72">
        <f>'Restating Adj'!O32+'Pro Forma Adj'!O32</f>
        <v>0</v>
      </c>
      <c r="P32" s="72">
        <f>'Restating Adj'!P32+'Pro Forma Adj'!P32</f>
        <v>0</v>
      </c>
      <c r="Q32" s="72">
        <f>'Restating Adj'!Q32+'Pro Forma Adj'!Q32</f>
        <v>0</v>
      </c>
      <c r="R32" s="73">
        <f>'Restating Adj'!R32+'Pro Forma Adj'!R32</f>
        <v>0</v>
      </c>
      <c r="S32" s="29">
        <f>'Restating Adj'!S32+'Pro Forma Adj'!S32</f>
        <v>0</v>
      </c>
      <c r="T32" s="72">
        <f>'Restating Adj'!T32+'Pro Forma Adj'!T32</f>
        <v>0</v>
      </c>
      <c r="U32" s="72">
        <f>'Restating Adj'!U32+'Pro Forma Adj'!U32</f>
        <v>0</v>
      </c>
      <c r="V32" s="72">
        <f>'Restating Adj'!V32+'Pro Forma Adj'!V32</f>
        <v>0</v>
      </c>
      <c r="W32" s="73">
        <f>'Restating Adj'!W32+'Pro Forma Adj'!W32</f>
        <v>0</v>
      </c>
      <c r="X32" s="259">
        <f>'Restating Adj'!X32+'Pro Forma Adj'!X32</f>
        <v>0</v>
      </c>
      <c r="Y32" s="29">
        <f>'Restating Adj'!Y32+'Pro Forma Adj'!Y32</f>
        <v>0</v>
      </c>
      <c r="Z32" s="72">
        <f>'Restating Adj'!Z32+'Pro Forma Adj'!Z32</f>
        <v>0</v>
      </c>
      <c r="AA32" s="72">
        <f>'Restating Adj'!AA32+'Pro Forma Adj'!AA32</f>
        <v>0</v>
      </c>
      <c r="AB32" s="29">
        <f>'Restating Adj'!AB32+'Pro Forma Adj'!AB32</f>
        <v>0</v>
      </c>
      <c r="AC32" s="73">
        <f>'Restating Adj'!AC32+'Pro Forma Adj'!AC32</f>
        <v>843808.66439033335</v>
      </c>
      <c r="AD32" s="29">
        <f>'Restating Adj'!AD32+'Pro Forma Adj'!AD32</f>
        <v>0</v>
      </c>
      <c r="AE32" s="72">
        <f>'Restating Adj'!AE32+'Pro Forma Adj'!AE32</f>
        <v>0</v>
      </c>
      <c r="AF32" s="72">
        <f>'Restating Adj'!AF32+'Pro Forma Adj'!AF32</f>
        <v>0</v>
      </c>
      <c r="AG32" s="72">
        <f>'Restating Adj'!AG32+'Pro Forma Adj'!AG32</f>
        <v>0</v>
      </c>
      <c r="AH32" s="72">
        <f>'Restating Adj'!AH32+'Pro Forma Adj'!AH32</f>
        <v>1290521</v>
      </c>
      <c r="AI32" s="73">
        <f>'Restating Adj'!AI32+'Pro Forma Adj'!AI32</f>
        <v>0</v>
      </c>
      <c r="AJ32" s="29">
        <f>'Restating Adj'!AJ32+'Pro Forma Adj'!AJ32</f>
        <v>-16672</v>
      </c>
      <c r="AK32" s="72">
        <f>'Restating Adj'!AK32+'Pro Forma Adj'!AK32</f>
        <v>232524.95270601709</v>
      </c>
      <c r="AL32" s="29">
        <f>'Restating Adj'!AL32+'Pro Forma Adj'!AL32</f>
        <v>0</v>
      </c>
      <c r="AM32" s="72">
        <f>'Restating Adj'!AM32+'Pro Forma Adj'!AM32</f>
        <v>0</v>
      </c>
      <c r="AN32" s="72">
        <f>'Restating Adj'!AN32+'Pro Forma Adj'!AN32</f>
        <v>0</v>
      </c>
      <c r="AO32" s="73">
        <f>'Restating Adj'!AO32+'Pro Forma Adj'!AO32</f>
        <v>0</v>
      </c>
      <c r="AP32" s="29">
        <f>'Restating Adj'!AP32+'Pro Forma Adj'!AP32</f>
        <v>0</v>
      </c>
      <c r="AQ32" s="72">
        <f>'Restating Adj'!AQ32+'Pro Forma Adj'!AQ32</f>
        <v>0</v>
      </c>
      <c r="AR32" s="72">
        <f>'Restating Adj'!AR32+'Pro Forma Adj'!AR32</f>
        <v>0</v>
      </c>
      <c r="AS32" s="72">
        <f>'Restating Adj'!AS32+'Pro Forma Adj'!AS32</f>
        <v>0</v>
      </c>
      <c r="AT32" s="72">
        <f>'Restating Adj'!AT32+'Pro Forma Adj'!AT32</f>
        <v>0</v>
      </c>
      <c r="AU32" s="73">
        <f>'Restating Adj'!AU32+'Pro Forma Adj'!AU32</f>
        <v>0</v>
      </c>
      <c r="AV32" s="29">
        <f>'Restating Adj'!AV32+'Pro Forma Adj'!AV32</f>
        <v>0</v>
      </c>
      <c r="AW32" s="73">
        <f>'Restating Adj'!AW32+'Pro Forma Adj'!AW32</f>
        <v>0</v>
      </c>
      <c r="AX32" s="259">
        <f>'Restating Adj'!AX32+'Pro Forma Adj'!AX32</f>
        <v>1260.2852436666144</v>
      </c>
      <c r="AY32" s="29">
        <f>'Restating Adj'!AY32+'Pro Forma Adj'!AY32</f>
        <v>0</v>
      </c>
      <c r="AZ32" s="72">
        <f>'Restating Adj'!AZ32+'Pro Forma Adj'!AZ32</f>
        <v>0</v>
      </c>
      <c r="BA32" s="73">
        <f>'Restating Adj'!BA32+'Pro Forma Adj'!BA32</f>
        <v>-76109.754345669193</v>
      </c>
      <c r="BB32" s="29">
        <f>'Restating Adj'!BB32+'Pro Forma Adj'!BB32</f>
        <v>0</v>
      </c>
      <c r="BC32" s="72">
        <f>'Restating Adj'!BC32+'Pro Forma Adj'!BC32</f>
        <v>0</v>
      </c>
      <c r="BD32" s="72">
        <f>'Restating Adj'!BD32+'Pro Forma Adj'!BD32</f>
        <v>0</v>
      </c>
      <c r="BE32" s="72">
        <f>'Restating Adj'!BE32+'Pro Forma Adj'!BE32</f>
        <v>0</v>
      </c>
      <c r="BF32" s="73">
        <f>'Restating Adj'!BF32+'Pro Forma Adj'!BF32</f>
        <v>0</v>
      </c>
    </row>
    <row r="33" spans="1:58" x14ac:dyDescent="0.2">
      <c r="A33" s="14" t="s">
        <v>65</v>
      </c>
      <c r="B33" s="28">
        <f t="shared" si="9"/>
        <v>-2607896.5636372841</v>
      </c>
      <c r="C33" s="29">
        <f>'Restating Adj'!C33+'Pro Forma Adj'!C33</f>
        <v>-470512.70644908928</v>
      </c>
      <c r="D33" s="72">
        <f>'Restating Adj'!D33+'Pro Forma Adj'!D33</f>
        <v>7079779.7759037716</v>
      </c>
      <c r="E33" s="72">
        <f>'Restating Adj'!E33+'Pro Forma Adj'!E33</f>
        <v>294634.62007747515</v>
      </c>
      <c r="F33" s="259">
        <f>'Restating Adj'!F33+'Pro Forma Adj'!F33</f>
        <v>-36296.118705378431</v>
      </c>
      <c r="G33" s="29">
        <f>'Restating Adj'!G33+'Pro Forma Adj'!G33</f>
        <v>-78974.308071466003</v>
      </c>
      <c r="H33" s="72">
        <f>'Restating Adj'!H33+'Pro Forma Adj'!H33</f>
        <v>-379483.85024842777</v>
      </c>
      <c r="I33" s="72">
        <f>'Restating Adj'!I33+'Pro Forma Adj'!I33</f>
        <v>127989.06760980138</v>
      </c>
      <c r="J33" s="72">
        <f>'Restating Adj'!J33+'Pro Forma Adj'!J33</f>
        <v>741722.40704898059</v>
      </c>
      <c r="K33" s="72">
        <f>'Restating Adj'!K33+'Pro Forma Adj'!K33</f>
        <v>-3550.4579607450942</v>
      </c>
      <c r="L33" s="73">
        <f>'Restating Adj'!L33+'Pro Forma Adj'!L33</f>
        <v>161.2445237399792</v>
      </c>
      <c r="M33" s="29">
        <f>'Restating Adj'!M33+'Pro Forma Adj'!M33</f>
        <v>-114562.53296086572</v>
      </c>
      <c r="N33" s="72">
        <f>'Restating Adj'!N33+'Pro Forma Adj'!N33</f>
        <v>132148.66372426198</v>
      </c>
      <c r="O33" s="72">
        <f>'Restating Adj'!O33+'Pro Forma Adj'!O33</f>
        <v>-421415.88644549379</v>
      </c>
      <c r="P33" s="72">
        <f>'Restating Adj'!P33+'Pro Forma Adj'!P33</f>
        <v>-516298.53014673828</v>
      </c>
      <c r="Q33" s="72">
        <f>'Restating Adj'!Q33+'Pro Forma Adj'!Q33</f>
        <v>-15367.582691999994</v>
      </c>
      <c r="R33" s="73">
        <f>'Restating Adj'!R33+'Pro Forma Adj'!R33</f>
        <v>-867339.11722507898</v>
      </c>
      <c r="S33" s="29">
        <f>'Restating Adj'!S33+'Pro Forma Adj'!S33</f>
        <v>1499782.3464450042</v>
      </c>
      <c r="T33" s="72">
        <f>'Restating Adj'!T33+'Pro Forma Adj'!T33</f>
        <v>-7796896.0742585408</v>
      </c>
      <c r="U33" s="72">
        <f>'Restating Adj'!U33+'Pro Forma Adj'!U33</f>
        <v>55812.570729027124</v>
      </c>
      <c r="V33" s="72">
        <f>'Restating Adj'!V33+'Pro Forma Adj'!V33</f>
        <v>-23969.57590579219</v>
      </c>
      <c r="W33" s="73">
        <f>'Restating Adj'!W33+'Pro Forma Adj'!W33</f>
        <v>-7932.96</v>
      </c>
      <c r="X33" s="259">
        <f>'Restating Adj'!X33+'Pro Forma Adj'!X33</f>
        <v>3276968.9949453878</v>
      </c>
      <c r="Y33" s="29">
        <f>'Restating Adj'!Y33+'Pro Forma Adj'!Y33</f>
        <v>0</v>
      </c>
      <c r="Z33" s="72">
        <f>'Restating Adj'!Z33+'Pro Forma Adj'!Z33</f>
        <v>0</v>
      </c>
      <c r="AA33" s="72">
        <f>'Restating Adj'!AA33+'Pro Forma Adj'!AA33</f>
        <v>-820080.22513484117</v>
      </c>
      <c r="AB33" s="29">
        <f>'Restating Adj'!AB33+'Pro Forma Adj'!AB33</f>
        <v>498225.90267910622</v>
      </c>
      <c r="AC33" s="73">
        <f>'Restating Adj'!AC33+'Pro Forma Adj'!AC33</f>
        <v>-177199.81952197</v>
      </c>
      <c r="AD33" s="29">
        <f>'Restating Adj'!AD33+'Pro Forma Adj'!AD33</f>
        <v>-6025906.1791799143</v>
      </c>
      <c r="AE33" s="72">
        <f>'Restating Adj'!AE33+'Pro Forma Adj'!AE33</f>
        <v>-603661.48159468232</v>
      </c>
      <c r="AF33" s="72">
        <f>'Restating Adj'!AF33+'Pro Forma Adj'!AF33</f>
        <v>302035.50370207359</v>
      </c>
      <c r="AG33" s="72">
        <f>'Restating Adj'!AG33+'Pro Forma Adj'!AG33</f>
        <v>0</v>
      </c>
      <c r="AH33" s="72">
        <f>'Restating Adj'!AH33+'Pro Forma Adj'!AH33</f>
        <v>-271009.40999999997</v>
      </c>
      <c r="AI33" s="73">
        <f>'Restating Adj'!AI33+'Pro Forma Adj'!AI33</f>
        <v>0</v>
      </c>
      <c r="AJ33" s="29">
        <f>'Restating Adj'!AJ33+'Pro Forma Adj'!AJ33</f>
        <v>3501.12</v>
      </c>
      <c r="AK33" s="72">
        <f>'Restating Adj'!AK33+'Pro Forma Adj'!AK33</f>
        <v>-48830.240068263585</v>
      </c>
      <c r="AL33" s="29">
        <f>'Restating Adj'!AL33+'Pro Forma Adj'!AL33</f>
        <v>0</v>
      </c>
      <c r="AM33" s="72">
        <f>'Restating Adj'!AM33+'Pro Forma Adj'!AM33</f>
        <v>2508555.5122575355</v>
      </c>
      <c r="AN33" s="72">
        <f>'Restating Adj'!AN33+'Pro Forma Adj'!AN33</f>
        <v>0</v>
      </c>
      <c r="AO33" s="73">
        <f>'Restating Adj'!AO33+'Pro Forma Adj'!AO33</f>
        <v>468935.98046481365</v>
      </c>
      <c r="AP33" s="29">
        <f>'Restating Adj'!AP33+'Pro Forma Adj'!AP33</f>
        <v>0</v>
      </c>
      <c r="AQ33" s="72">
        <f>'Restating Adj'!AQ33+'Pro Forma Adj'!AQ33</f>
        <v>-490.75529999999992</v>
      </c>
      <c r="AR33" s="72">
        <f>'Restating Adj'!AR33+'Pro Forma Adj'!AR33</f>
        <v>0</v>
      </c>
      <c r="AS33" s="72">
        <f>'Restating Adj'!AS33+'Pro Forma Adj'!AS33</f>
        <v>0</v>
      </c>
      <c r="AT33" s="72">
        <f>'Restating Adj'!AT33+'Pro Forma Adj'!AT33</f>
        <v>0</v>
      </c>
      <c r="AU33" s="73">
        <f>'Restating Adj'!AU33+'Pro Forma Adj'!AU33</f>
        <v>53268.406500602963</v>
      </c>
      <c r="AV33" s="29">
        <f>'Restating Adj'!AV33+'Pro Forma Adj'!AV33</f>
        <v>-48059.733869845513</v>
      </c>
      <c r="AW33" s="73">
        <f>'Restating Adj'!AW33+'Pro Forma Adj'!AW33</f>
        <v>-135837.46091221337</v>
      </c>
      <c r="AX33" s="259">
        <f>'Restating Adj'!AX33+'Pro Forma Adj'!AX33</f>
        <v>-265343.54372185015</v>
      </c>
      <c r="AY33" s="29">
        <f>'Restating Adj'!AY33+'Pro Forma Adj'!AY33</f>
        <v>0</v>
      </c>
      <c r="AZ33" s="72">
        <f>'Restating Adj'!AZ33+'Pro Forma Adj'!AZ33</f>
        <v>0</v>
      </c>
      <c r="BA33" s="73">
        <f>'Restating Adj'!BA33+'Pro Forma Adj'!BA33</f>
        <v>-198407.34058301197</v>
      </c>
      <c r="BB33" s="29">
        <f>'Restating Adj'!BB33+'Pro Forma Adj'!BB33</f>
        <v>0</v>
      </c>
      <c r="BC33" s="72">
        <f>'Restating Adj'!BC33+'Pro Forma Adj'!BC33</f>
        <v>0</v>
      </c>
      <c r="BD33" s="72">
        <f>'Restating Adj'!BD33+'Pro Forma Adj'!BD33</f>
        <v>-61331.487434897295</v>
      </c>
      <c r="BE33" s="72">
        <f>'Restating Adj'!BE33+'Pro Forma Adj'!BE33</f>
        <v>-48287.412867807012</v>
      </c>
      <c r="BF33" s="73">
        <f>'Restating Adj'!BF33+'Pro Forma Adj'!BF33</f>
        <v>-214373.88898995286</v>
      </c>
    </row>
    <row r="34" spans="1:58" x14ac:dyDescent="0.2">
      <c r="A34" s="14" t="s">
        <v>66</v>
      </c>
      <c r="B34" s="28">
        <f t="shared" si="9"/>
        <v>0</v>
      </c>
      <c r="C34" s="28">
        <f>'Restating Adj'!C34+'Pro Forma Adj'!C34</f>
        <v>0</v>
      </c>
      <c r="D34" s="70">
        <f>'Restating Adj'!D34+'Pro Forma Adj'!D34</f>
        <v>0</v>
      </c>
      <c r="E34" s="70">
        <f>'Restating Adj'!E34+'Pro Forma Adj'!E34</f>
        <v>0</v>
      </c>
      <c r="F34" s="80">
        <f>'Restating Adj'!F34+'Pro Forma Adj'!F34</f>
        <v>0</v>
      </c>
      <c r="G34" s="28">
        <f>'Restating Adj'!G34+'Pro Forma Adj'!G34</f>
        <v>0</v>
      </c>
      <c r="H34" s="70">
        <f>'Restating Adj'!H34+'Pro Forma Adj'!H34</f>
        <v>0</v>
      </c>
      <c r="I34" s="70">
        <f>'Restating Adj'!I34+'Pro Forma Adj'!I34</f>
        <v>0</v>
      </c>
      <c r="J34" s="70">
        <f>'Restating Adj'!J34+'Pro Forma Adj'!J34</f>
        <v>0</v>
      </c>
      <c r="K34" s="70">
        <f>'Restating Adj'!K34+'Pro Forma Adj'!K34</f>
        <v>0</v>
      </c>
      <c r="L34" s="71">
        <f>'Restating Adj'!L34+'Pro Forma Adj'!L34</f>
        <v>0</v>
      </c>
      <c r="M34" s="28">
        <f>'Restating Adj'!M34+'Pro Forma Adj'!M34</f>
        <v>0</v>
      </c>
      <c r="N34" s="70">
        <f>'Restating Adj'!N34+'Pro Forma Adj'!N34</f>
        <v>0</v>
      </c>
      <c r="O34" s="70">
        <f>'Restating Adj'!O34+'Pro Forma Adj'!O34</f>
        <v>0</v>
      </c>
      <c r="P34" s="70">
        <f>'Restating Adj'!P34+'Pro Forma Adj'!P34</f>
        <v>0</v>
      </c>
      <c r="Q34" s="70">
        <f>'Restating Adj'!Q34+'Pro Forma Adj'!Q34</f>
        <v>0</v>
      </c>
      <c r="R34" s="71">
        <f>'Restating Adj'!R34+'Pro Forma Adj'!R34</f>
        <v>0</v>
      </c>
      <c r="S34" s="28">
        <f>'Restating Adj'!S34+'Pro Forma Adj'!S34</f>
        <v>0</v>
      </c>
      <c r="T34" s="70">
        <f>'Restating Adj'!T34+'Pro Forma Adj'!T34</f>
        <v>0</v>
      </c>
      <c r="U34" s="70">
        <f>'Restating Adj'!U34+'Pro Forma Adj'!U34</f>
        <v>0</v>
      </c>
      <c r="V34" s="70">
        <f>'Restating Adj'!V34+'Pro Forma Adj'!V34</f>
        <v>0</v>
      </c>
      <c r="W34" s="71">
        <f>'Restating Adj'!W34+'Pro Forma Adj'!W34</f>
        <v>0</v>
      </c>
      <c r="X34" s="80">
        <f>'Restating Adj'!X34+'Pro Forma Adj'!X34</f>
        <v>0</v>
      </c>
      <c r="Y34" s="28">
        <f>'Restating Adj'!Y34+'Pro Forma Adj'!Y34</f>
        <v>0</v>
      </c>
      <c r="Z34" s="70">
        <f>'Restating Adj'!Z34+'Pro Forma Adj'!Z34</f>
        <v>0</v>
      </c>
      <c r="AA34" s="70">
        <f>'Restating Adj'!AA34+'Pro Forma Adj'!AA34</f>
        <v>0</v>
      </c>
      <c r="AB34" s="28">
        <f>'Restating Adj'!AB34+'Pro Forma Adj'!AB34</f>
        <v>0</v>
      </c>
      <c r="AC34" s="71">
        <f>'Restating Adj'!AC34+'Pro Forma Adj'!AC34</f>
        <v>0</v>
      </c>
      <c r="AD34" s="28">
        <f>'Restating Adj'!AD34+'Pro Forma Adj'!AD34</f>
        <v>0</v>
      </c>
      <c r="AE34" s="70">
        <f>'Restating Adj'!AE34+'Pro Forma Adj'!AE34</f>
        <v>0</v>
      </c>
      <c r="AF34" s="70">
        <f>'Restating Adj'!AF34+'Pro Forma Adj'!AF34</f>
        <v>0</v>
      </c>
      <c r="AG34" s="70">
        <f>'Restating Adj'!AG34+'Pro Forma Adj'!AG34</f>
        <v>0</v>
      </c>
      <c r="AH34" s="70">
        <f>'Restating Adj'!AH34+'Pro Forma Adj'!AH34</f>
        <v>0</v>
      </c>
      <c r="AI34" s="71">
        <f>'Restating Adj'!AI34+'Pro Forma Adj'!AI34</f>
        <v>0</v>
      </c>
      <c r="AJ34" s="28">
        <f>'Restating Adj'!AJ34+'Pro Forma Adj'!AJ34</f>
        <v>0</v>
      </c>
      <c r="AK34" s="70">
        <f>'Restating Adj'!AK34+'Pro Forma Adj'!AK34</f>
        <v>0</v>
      </c>
      <c r="AL34" s="28">
        <f>'Restating Adj'!AL34+'Pro Forma Adj'!AL34</f>
        <v>0</v>
      </c>
      <c r="AM34" s="70">
        <f>'Restating Adj'!AM34+'Pro Forma Adj'!AM34</f>
        <v>0</v>
      </c>
      <c r="AN34" s="70">
        <f>'Restating Adj'!AN34+'Pro Forma Adj'!AN34</f>
        <v>0</v>
      </c>
      <c r="AO34" s="71">
        <f>'Restating Adj'!AO34+'Pro Forma Adj'!AO34</f>
        <v>0</v>
      </c>
      <c r="AP34" s="28">
        <f>'Restating Adj'!AP34+'Pro Forma Adj'!AP34</f>
        <v>0</v>
      </c>
      <c r="AQ34" s="70">
        <f>'Restating Adj'!AQ34+'Pro Forma Adj'!AQ34</f>
        <v>0</v>
      </c>
      <c r="AR34" s="70">
        <f>'Restating Adj'!AR34+'Pro Forma Adj'!AR34</f>
        <v>0</v>
      </c>
      <c r="AS34" s="70">
        <f>'Restating Adj'!AS34+'Pro Forma Adj'!AS34</f>
        <v>0</v>
      </c>
      <c r="AT34" s="70">
        <f>'Restating Adj'!AT34+'Pro Forma Adj'!AT34</f>
        <v>0</v>
      </c>
      <c r="AU34" s="71">
        <f>'Restating Adj'!AU34+'Pro Forma Adj'!AU34</f>
        <v>0</v>
      </c>
      <c r="AV34" s="28">
        <f>'Restating Adj'!AV34+'Pro Forma Adj'!AV34</f>
        <v>0</v>
      </c>
      <c r="AW34" s="71">
        <f>'Restating Adj'!AW34+'Pro Forma Adj'!AW34</f>
        <v>0</v>
      </c>
      <c r="AX34" s="80">
        <f>'Restating Adj'!AX34+'Pro Forma Adj'!AX34</f>
        <v>0</v>
      </c>
      <c r="AY34" s="28">
        <f>'Restating Adj'!AY34+'Pro Forma Adj'!AY34</f>
        <v>0</v>
      </c>
      <c r="AZ34" s="70">
        <f>'Restating Adj'!AZ34+'Pro Forma Adj'!AZ34</f>
        <v>0</v>
      </c>
      <c r="BA34" s="71">
        <f>'Restating Adj'!BA34+'Pro Forma Adj'!BA34</f>
        <v>0</v>
      </c>
      <c r="BB34" s="28">
        <f>'Restating Adj'!BB34+'Pro Forma Adj'!BB34</f>
        <v>0</v>
      </c>
      <c r="BC34" s="70">
        <f>'Restating Adj'!BC34+'Pro Forma Adj'!BC34</f>
        <v>0</v>
      </c>
      <c r="BD34" s="70">
        <f>'Restating Adj'!BD34+'Pro Forma Adj'!BD34</f>
        <v>0</v>
      </c>
      <c r="BE34" s="70">
        <f>'Restating Adj'!BE34+'Pro Forma Adj'!BE34</f>
        <v>0</v>
      </c>
      <c r="BF34" s="71">
        <f>'Restating Adj'!BF34+'Pro Forma Adj'!BF34</f>
        <v>0</v>
      </c>
    </row>
    <row r="35" spans="1:58" x14ac:dyDescent="0.2">
      <c r="A35" s="14" t="s">
        <v>67</v>
      </c>
      <c r="B35" s="28">
        <f t="shared" si="9"/>
        <v>-310728.12412218965</v>
      </c>
      <c r="C35" s="29">
        <f>'Restating Adj'!C35+'Pro Forma Adj'!C35</f>
        <v>0</v>
      </c>
      <c r="D35" s="72">
        <f>'Restating Adj'!D35+'Pro Forma Adj'!D35</f>
        <v>0</v>
      </c>
      <c r="E35" s="72">
        <f>'Restating Adj'!E35+'Pro Forma Adj'!E35</f>
        <v>0</v>
      </c>
      <c r="F35" s="259">
        <f>'Restating Adj'!F35+'Pro Forma Adj'!F35</f>
        <v>0</v>
      </c>
      <c r="G35" s="29">
        <f>'Restating Adj'!G35+'Pro Forma Adj'!G35</f>
        <v>0</v>
      </c>
      <c r="H35" s="72">
        <f>'Restating Adj'!H35+'Pro Forma Adj'!H35</f>
        <v>0</v>
      </c>
      <c r="I35" s="72">
        <f>'Restating Adj'!I35+'Pro Forma Adj'!I35</f>
        <v>0</v>
      </c>
      <c r="J35" s="72">
        <f>'Restating Adj'!J35+'Pro Forma Adj'!J35</f>
        <v>0</v>
      </c>
      <c r="K35" s="72">
        <f>'Restating Adj'!K35+'Pro Forma Adj'!K35</f>
        <v>0</v>
      </c>
      <c r="L35" s="73">
        <f>'Restating Adj'!L35+'Pro Forma Adj'!L35</f>
        <v>0</v>
      </c>
      <c r="M35" s="29">
        <f>'Restating Adj'!M35+'Pro Forma Adj'!M35</f>
        <v>0</v>
      </c>
      <c r="N35" s="72">
        <f>'Restating Adj'!N35+'Pro Forma Adj'!N35</f>
        <v>0</v>
      </c>
      <c r="O35" s="72">
        <f>'Restating Adj'!O35+'Pro Forma Adj'!O35</f>
        <v>0</v>
      </c>
      <c r="P35" s="72">
        <f>'Restating Adj'!P35+'Pro Forma Adj'!P35</f>
        <v>291371.44046879199</v>
      </c>
      <c r="Q35" s="72">
        <f>'Restating Adj'!Q35+'Pro Forma Adj'!Q35</f>
        <v>0</v>
      </c>
      <c r="R35" s="73">
        <f>'Restating Adj'!R35+'Pro Forma Adj'!R35</f>
        <v>0</v>
      </c>
      <c r="S35" s="29">
        <f>'Restating Adj'!S35+'Pro Forma Adj'!S35</f>
        <v>0</v>
      </c>
      <c r="T35" s="72">
        <f>'Restating Adj'!T35+'Pro Forma Adj'!T35</f>
        <v>0</v>
      </c>
      <c r="U35" s="72">
        <f>'Restating Adj'!U35+'Pro Forma Adj'!U35</f>
        <v>0</v>
      </c>
      <c r="V35" s="72">
        <f>'Restating Adj'!V35+'Pro Forma Adj'!V35</f>
        <v>0</v>
      </c>
      <c r="W35" s="73">
        <f>'Restating Adj'!W35+'Pro Forma Adj'!W35</f>
        <v>0</v>
      </c>
      <c r="X35" s="259">
        <f>'Restating Adj'!X35+'Pro Forma Adj'!X35</f>
        <v>0</v>
      </c>
      <c r="Y35" s="29">
        <f>'Restating Adj'!Y35+'Pro Forma Adj'!Y35</f>
        <v>0</v>
      </c>
      <c r="Z35" s="72">
        <f>'Restating Adj'!Z35+'Pro Forma Adj'!Z35</f>
        <v>0</v>
      </c>
      <c r="AA35" s="72">
        <f>'Restating Adj'!AA35+'Pro Forma Adj'!AA35</f>
        <v>-498746.1113269059</v>
      </c>
      <c r="AB35" s="29">
        <f>'Restating Adj'!AB35+'Pro Forma Adj'!AB35</f>
        <v>0</v>
      </c>
      <c r="AC35" s="73">
        <f>'Restating Adj'!AC35+'Pro Forma Adj'!AC35</f>
        <v>0</v>
      </c>
      <c r="AD35" s="29">
        <f>'Restating Adj'!AD35+'Pro Forma Adj'!AD35</f>
        <v>0</v>
      </c>
      <c r="AE35" s="72">
        <f>'Restating Adj'!AE35+'Pro Forma Adj'!AE35</f>
        <v>-3302495.7363095949</v>
      </c>
      <c r="AF35" s="72">
        <f>'Restating Adj'!AF35+'Pro Forma Adj'!AF35</f>
        <v>0</v>
      </c>
      <c r="AG35" s="72">
        <f>'Restating Adj'!AG35+'Pro Forma Adj'!AG35</f>
        <v>123664</v>
      </c>
      <c r="AH35" s="72">
        <f>'Restating Adj'!AH35+'Pro Forma Adj'!AH35</f>
        <v>0</v>
      </c>
      <c r="AI35" s="73">
        <f>'Restating Adj'!AI35+'Pro Forma Adj'!AI35</f>
        <v>8451410.0260689482</v>
      </c>
      <c r="AJ35" s="29">
        <f>'Restating Adj'!AJ35+'Pro Forma Adj'!AJ35</f>
        <v>0</v>
      </c>
      <c r="AK35" s="72">
        <f>'Restating Adj'!AK35+'Pro Forma Adj'!AK35</f>
        <v>0</v>
      </c>
      <c r="AL35" s="29">
        <f>'Restating Adj'!AL35+'Pro Forma Adj'!AL35</f>
        <v>0</v>
      </c>
      <c r="AM35" s="72">
        <f>'Restating Adj'!AM35+'Pro Forma Adj'!AM35</f>
        <v>-4660822.8254611399</v>
      </c>
      <c r="AN35" s="72">
        <f>'Restating Adj'!AN35+'Pro Forma Adj'!AN35</f>
        <v>0</v>
      </c>
      <c r="AO35" s="73">
        <f>'Restating Adj'!AO35+'Pro Forma Adj'!AO35</f>
        <v>-549026.01771629031</v>
      </c>
      <c r="AP35" s="29">
        <f>'Restating Adj'!AP35+'Pro Forma Adj'!AP35</f>
        <v>0</v>
      </c>
      <c r="AQ35" s="72">
        <f>'Restating Adj'!AQ35+'Pro Forma Adj'!AQ35</f>
        <v>0</v>
      </c>
      <c r="AR35" s="72">
        <f>'Restating Adj'!AR35+'Pro Forma Adj'!AR35</f>
        <v>0</v>
      </c>
      <c r="AS35" s="72">
        <f>'Restating Adj'!AS35+'Pro Forma Adj'!AS35</f>
        <v>0</v>
      </c>
      <c r="AT35" s="72">
        <f>'Restating Adj'!AT35+'Pro Forma Adj'!AT35</f>
        <v>0</v>
      </c>
      <c r="AU35" s="73">
        <f>'Restating Adj'!AU35+'Pro Forma Adj'!AU35</f>
        <v>-18734.185230826712</v>
      </c>
      <c r="AV35" s="29">
        <f>'Restating Adj'!AV35+'Pro Forma Adj'!AV35</f>
        <v>0</v>
      </c>
      <c r="AW35" s="73">
        <f>'Restating Adj'!AW35+'Pro Forma Adj'!AW35</f>
        <v>0</v>
      </c>
      <c r="AX35" s="259">
        <f>'Restating Adj'!AX35+'Pro Forma Adj'!AX35</f>
        <v>0</v>
      </c>
      <c r="AY35" s="29">
        <f>'Restating Adj'!AY35+'Pro Forma Adj'!AY35</f>
        <v>0</v>
      </c>
      <c r="AZ35" s="72">
        <f>'Restating Adj'!AZ35+'Pro Forma Adj'!AZ35</f>
        <v>-102888.69346269607</v>
      </c>
      <c r="BA35" s="73">
        <f>'Restating Adj'!BA35+'Pro Forma Adj'!BA35</f>
        <v>573609.27845505753</v>
      </c>
      <c r="BB35" s="29">
        <f>'Restating Adj'!BB35+'Pro Forma Adj'!BB35</f>
        <v>0</v>
      </c>
      <c r="BC35" s="72">
        <f>'Restating Adj'!BC35+'Pro Forma Adj'!BC35</f>
        <v>-725929.44531510258</v>
      </c>
      <c r="BD35" s="72">
        <f>'Restating Adj'!BD35+'Pro Forma Adj'!BD35</f>
        <v>60368.86265113343</v>
      </c>
      <c r="BE35" s="72">
        <f>'Restating Adj'!BE35+'Pro Forma Adj'!BE35</f>
        <v>47491.283056435255</v>
      </c>
      <c r="BF35" s="73">
        <f>'Restating Adj'!BF35+'Pro Forma Adj'!BF35</f>
        <v>0</v>
      </c>
    </row>
    <row r="36" spans="1:58" ht="11.25" customHeight="1" x14ac:dyDescent="0.2">
      <c r="A36" s="14" t="s">
        <v>68</v>
      </c>
      <c r="B36" s="28">
        <f t="shared" si="9"/>
        <v>0</v>
      </c>
      <c r="C36" s="29">
        <f>'Restating Adj'!C36+'Pro Forma Adj'!C36</f>
        <v>0</v>
      </c>
      <c r="D36" s="72">
        <f>'Restating Adj'!D36+'Pro Forma Adj'!D36</f>
        <v>0</v>
      </c>
      <c r="E36" s="72">
        <f>'Restating Adj'!E36+'Pro Forma Adj'!E36</f>
        <v>0</v>
      </c>
      <c r="F36" s="259">
        <f>'Restating Adj'!F36+'Pro Forma Adj'!F36</f>
        <v>0</v>
      </c>
      <c r="G36" s="29">
        <f>'Restating Adj'!G36+'Pro Forma Adj'!G36</f>
        <v>0</v>
      </c>
      <c r="H36" s="72">
        <f>'Restating Adj'!H36+'Pro Forma Adj'!H36</f>
        <v>0</v>
      </c>
      <c r="I36" s="72">
        <f>'Restating Adj'!I36+'Pro Forma Adj'!I36</f>
        <v>0</v>
      </c>
      <c r="J36" s="72">
        <f>'Restating Adj'!J36+'Pro Forma Adj'!J36</f>
        <v>0</v>
      </c>
      <c r="K36" s="72">
        <f>'Restating Adj'!K36+'Pro Forma Adj'!K36</f>
        <v>0</v>
      </c>
      <c r="L36" s="73">
        <f>'Restating Adj'!L36+'Pro Forma Adj'!L36</f>
        <v>0</v>
      </c>
      <c r="M36" s="29">
        <f>'Restating Adj'!M36+'Pro Forma Adj'!M36</f>
        <v>0</v>
      </c>
      <c r="N36" s="72">
        <f>'Restating Adj'!N36+'Pro Forma Adj'!N36</f>
        <v>0</v>
      </c>
      <c r="O36" s="72">
        <f>'Restating Adj'!O36+'Pro Forma Adj'!O36</f>
        <v>0</v>
      </c>
      <c r="P36" s="72">
        <f>'Restating Adj'!P36+'Pro Forma Adj'!P36</f>
        <v>0</v>
      </c>
      <c r="Q36" s="72">
        <f>'Restating Adj'!Q36+'Pro Forma Adj'!Q36</f>
        <v>0</v>
      </c>
      <c r="R36" s="73">
        <f>'Restating Adj'!R36+'Pro Forma Adj'!R36</f>
        <v>0</v>
      </c>
      <c r="S36" s="29">
        <f>'Restating Adj'!S36+'Pro Forma Adj'!S36</f>
        <v>0</v>
      </c>
      <c r="T36" s="72">
        <f>'Restating Adj'!T36+'Pro Forma Adj'!T36</f>
        <v>0</v>
      </c>
      <c r="U36" s="72">
        <f>'Restating Adj'!U36+'Pro Forma Adj'!U36</f>
        <v>0</v>
      </c>
      <c r="V36" s="72">
        <f>'Restating Adj'!V36+'Pro Forma Adj'!V36</f>
        <v>0</v>
      </c>
      <c r="W36" s="73">
        <f>'Restating Adj'!W36+'Pro Forma Adj'!W36</f>
        <v>0</v>
      </c>
      <c r="X36" s="259">
        <f>'Restating Adj'!X36+'Pro Forma Adj'!X36</f>
        <v>0</v>
      </c>
      <c r="Y36" s="29">
        <f>'Restating Adj'!Y36+'Pro Forma Adj'!Y36</f>
        <v>0</v>
      </c>
      <c r="Z36" s="72">
        <f>'Restating Adj'!Z36+'Pro Forma Adj'!Z36</f>
        <v>0</v>
      </c>
      <c r="AA36" s="72">
        <f>'Restating Adj'!AA36+'Pro Forma Adj'!AA36</f>
        <v>0</v>
      </c>
      <c r="AB36" s="29">
        <f>'Restating Adj'!AB36+'Pro Forma Adj'!AB36</f>
        <v>0</v>
      </c>
      <c r="AC36" s="73">
        <f>'Restating Adj'!AC36+'Pro Forma Adj'!AC36</f>
        <v>0</v>
      </c>
      <c r="AD36" s="29">
        <f>'Restating Adj'!AD36+'Pro Forma Adj'!AD36</f>
        <v>0</v>
      </c>
      <c r="AE36" s="72">
        <f>'Restating Adj'!AE36+'Pro Forma Adj'!AE36</f>
        <v>0</v>
      </c>
      <c r="AF36" s="72">
        <f>'Restating Adj'!AF36+'Pro Forma Adj'!AF36</f>
        <v>0</v>
      </c>
      <c r="AG36" s="72">
        <f>'Restating Adj'!AG36+'Pro Forma Adj'!AG36</f>
        <v>0</v>
      </c>
      <c r="AH36" s="72">
        <f>'Restating Adj'!AH36+'Pro Forma Adj'!AH36</f>
        <v>0</v>
      </c>
      <c r="AI36" s="73">
        <f>'Restating Adj'!AI36+'Pro Forma Adj'!AI36</f>
        <v>0</v>
      </c>
      <c r="AJ36" s="29">
        <f>'Restating Adj'!AJ36+'Pro Forma Adj'!AJ36</f>
        <v>0</v>
      </c>
      <c r="AK36" s="72">
        <f>'Restating Adj'!AK36+'Pro Forma Adj'!AK36</f>
        <v>0</v>
      </c>
      <c r="AL36" s="29">
        <f>'Restating Adj'!AL36+'Pro Forma Adj'!AL36</f>
        <v>0</v>
      </c>
      <c r="AM36" s="72">
        <f>'Restating Adj'!AM36+'Pro Forma Adj'!AM36</f>
        <v>0</v>
      </c>
      <c r="AN36" s="72">
        <f>'Restating Adj'!AN36+'Pro Forma Adj'!AN36</f>
        <v>0</v>
      </c>
      <c r="AO36" s="73">
        <f>'Restating Adj'!AO36+'Pro Forma Adj'!AO36</f>
        <v>0</v>
      </c>
      <c r="AP36" s="29">
        <f>'Restating Adj'!AP36+'Pro Forma Adj'!AP36</f>
        <v>0</v>
      </c>
      <c r="AQ36" s="72">
        <f>'Restating Adj'!AQ36+'Pro Forma Adj'!AQ36</f>
        <v>0</v>
      </c>
      <c r="AR36" s="72">
        <f>'Restating Adj'!AR36+'Pro Forma Adj'!AR36</f>
        <v>0</v>
      </c>
      <c r="AS36" s="72">
        <f>'Restating Adj'!AS36+'Pro Forma Adj'!AS36</f>
        <v>0</v>
      </c>
      <c r="AT36" s="72">
        <f>'Restating Adj'!AT36+'Pro Forma Adj'!AT36</f>
        <v>0</v>
      </c>
      <c r="AU36" s="73">
        <f>'Restating Adj'!AU36+'Pro Forma Adj'!AU36</f>
        <v>0</v>
      </c>
      <c r="AV36" s="29">
        <f>'Restating Adj'!AV36+'Pro Forma Adj'!AV36</f>
        <v>0</v>
      </c>
      <c r="AW36" s="73">
        <f>'Restating Adj'!AW36+'Pro Forma Adj'!AW36</f>
        <v>0</v>
      </c>
      <c r="AX36" s="259">
        <f>'Restating Adj'!AX36+'Pro Forma Adj'!AX36</f>
        <v>0</v>
      </c>
      <c r="AY36" s="29">
        <f>'Restating Adj'!AY36+'Pro Forma Adj'!AY36</f>
        <v>0</v>
      </c>
      <c r="AZ36" s="72">
        <f>'Restating Adj'!AZ36+'Pro Forma Adj'!AZ36</f>
        <v>0</v>
      </c>
      <c r="BA36" s="73">
        <f>'Restating Adj'!BA36+'Pro Forma Adj'!BA36</f>
        <v>0</v>
      </c>
      <c r="BB36" s="29">
        <f>'Restating Adj'!BB36+'Pro Forma Adj'!BB36</f>
        <v>0</v>
      </c>
      <c r="BC36" s="72">
        <f>'Restating Adj'!BC36+'Pro Forma Adj'!BC36</f>
        <v>0</v>
      </c>
      <c r="BD36" s="72">
        <f>'Restating Adj'!BD36+'Pro Forma Adj'!BD36</f>
        <v>0</v>
      </c>
      <c r="BE36" s="72">
        <f>'Restating Adj'!BE36+'Pro Forma Adj'!BE36</f>
        <v>0</v>
      </c>
      <c r="BF36" s="73">
        <f>'Restating Adj'!BF36+'Pro Forma Adj'!BF36</f>
        <v>0</v>
      </c>
    </row>
    <row r="37" spans="1:58" x14ac:dyDescent="0.2">
      <c r="A37" s="14" t="s">
        <v>69</v>
      </c>
      <c r="B37" s="28">
        <f t="shared" si="9"/>
        <v>81875.040256100925</v>
      </c>
      <c r="C37" s="29">
        <f>'Restating Adj'!C37+'Pro Forma Adj'!C37</f>
        <v>0</v>
      </c>
      <c r="D37" s="72">
        <f>'Restating Adj'!D37+'Pro Forma Adj'!D37</f>
        <v>0</v>
      </c>
      <c r="E37" s="72">
        <f>'Restating Adj'!E37+'Pro Forma Adj'!E37</f>
        <v>0</v>
      </c>
      <c r="F37" s="259">
        <f>'Restating Adj'!F37+'Pro Forma Adj'!F37</f>
        <v>79538.110256100932</v>
      </c>
      <c r="G37" s="29">
        <f>'Restating Adj'!G37+'Pro Forma Adj'!G37</f>
        <v>0</v>
      </c>
      <c r="H37" s="72">
        <f>'Restating Adj'!H37+'Pro Forma Adj'!H37</f>
        <v>0</v>
      </c>
      <c r="I37" s="72">
        <f>'Restating Adj'!I37+'Pro Forma Adj'!I37</f>
        <v>0</v>
      </c>
      <c r="J37" s="72">
        <f>'Restating Adj'!J37+'Pro Forma Adj'!J37</f>
        <v>0</v>
      </c>
      <c r="K37" s="72">
        <f>'Restating Adj'!K37+'Pro Forma Adj'!K37</f>
        <v>0</v>
      </c>
      <c r="L37" s="73">
        <f>'Restating Adj'!L37+'Pro Forma Adj'!L37</f>
        <v>0</v>
      </c>
      <c r="M37" s="29">
        <f>'Restating Adj'!M37+'Pro Forma Adj'!M37</f>
        <v>0</v>
      </c>
      <c r="N37" s="72">
        <f>'Restating Adj'!N37+'Pro Forma Adj'!N37</f>
        <v>0</v>
      </c>
      <c r="O37" s="72">
        <f>'Restating Adj'!O37+'Pro Forma Adj'!O37</f>
        <v>0</v>
      </c>
      <c r="P37" s="72">
        <f>'Restating Adj'!P37+'Pro Forma Adj'!P37</f>
        <v>0</v>
      </c>
      <c r="Q37" s="72">
        <f>'Restating Adj'!Q37+'Pro Forma Adj'!Q37</f>
        <v>0</v>
      </c>
      <c r="R37" s="73">
        <f>'Restating Adj'!R37+'Pro Forma Adj'!R37</f>
        <v>0</v>
      </c>
      <c r="S37" s="29">
        <f>'Restating Adj'!S37+'Pro Forma Adj'!S37</f>
        <v>0</v>
      </c>
      <c r="T37" s="72">
        <f>'Restating Adj'!T37+'Pro Forma Adj'!T37</f>
        <v>0</v>
      </c>
      <c r="U37" s="72">
        <f>'Restating Adj'!U37+'Pro Forma Adj'!U37</f>
        <v>0</v>
      </c>
      <c r="V37" s="72">
        <f>'Restating Adj'!V37+'Pro Forma Adj'!V37</f>
        <v>0</v>
      </c>
      <c r="W37" s="73">
        <f>'Restating Adj'!W37+'Pro Forma Adj'!W37</f>
        <v>0</v>
      </c>
      <c r="X37" s="259">
        <f>'Restating Adj'!X37+'Pro Forma Adj'!X37</f>
        <v>0</v>
      </c>
      <c r="Y37" s="29">
        <f>'Restating Adj'!Y37+'Pro Forma Adj'!Y37</f>
        <v>0</v>
      </c>
      <c r="Z37" s="72">
        <f>'Restating Adj'!Z37+'Pro Forma Adj'!Z37</f>
        <v>0</v>
      </c>
      <c r="AA37" s="72">
        <f>'Restating Adj'!AA37+'Pro Forma Adj'!AA37</f>
        <v>0</v>
      </c>
      <c r="AB37" s="29">
        <f>'Restating Adj'!AB37+'Pro Forma Adj'!AB37</f>
        <v>0</v>
      </c>
      <c r="AC37" s="73">
        <f>'Restating Adj'!AC37+'Pro Forma Adj'!AC37</f>
        <v>0</v>
      </c>
      <c r="AD37" s="29">
        <f>'Restating Adj'!AD37+'Pro Forma Adj'!AD37</f>
        <v>0</v>
      </c>
      <c r="AE37" s="72">
        <f>'Restating Adj'!AE37+'Pro Forma Adj'!AE37</f>
        <v>0</v>
      </c>
      <c r="AF37" s="72">
        <f>'Restating Adj'!AF37+'Pro Forma Adj'!AF37</f>
        <v>0</v>
      </c>
      <c r="AG37" s="72">
        <f>'Restating Adj'!AG37+'Pro Forma Adj'!AG37</f>
        <v>0</v>
      </c>
      <c r="AH37" s="72">
        <f>'Restating Adj'!AH37+'Pro Forma Adj'!AH37</f>
        <v>0</v>
      </c>
      <c r="AI37" s="73">
        <f>'Restating Adj'!AI37+'Pro Forma Adj'!AI37</f>
        <v>0</v>
      </c>
      <c r="AJ37" s="29">
        <f>'Restating Adj'!AJ37+'Pro Forma Adj'!AJ37</f>
        <v>0</v>
      </c>
      <c r="AK37" s="72">
        <f>'Restating Adj'!AK37+'Pro Forma Adj'!AK37</f>
        <v>0</v>
      </c>
      <c r="AL37" s="29">
        <f>'Restating Adj'!AL37+'Pro Forma Adj'!AL37</f>
        <v>0</v>
      </c>
      <c r="AM37" s="72">
        <f>'Restating Adj'!AM37+'Pro Forma Adj'!AM37</f>
        <v>0</v>
      </c>
      <c r="AN37" s="72">
        <f>'Restating Adj'!AN37+'Pro Forma Adj'!AN37</f>
        <v>0</v>
      </c>
      <c r="AO37" s="73">
        <f>'Restating Adj'!AO37+'Pro Forma Adj'!AO37</f>
        <v>0</v>
      </c>
      <c r="AP37" s="29">
        <f>'Restating Adj'!AP37+'Pro Forma Adj'!AP37</f>
        <v>0</v>
      </c>
      <c r="AQ37" s="72">
        <f>'Restating Adj'!AQ37+'Pro Forma Adj'!AQ37</f>
        <v>2336.9299999999998</v>
      </c>
      <c r="AR37" s="72">
        <f>'Restating Adj'!AR37+'Pro Forma Adj'!AR37</f>
        <v>0</v>
      </c>
      <c r="AS37" s="72">
        <f>'Restating Adj'!AS37+'Pro Forma Adj'!AS37</f>
        <v>0</v>
      </c>
      <c r="AT37" s="72">
        <f>'Restating Adj'!AT37+'Pro Forma Adj'!AT37</f>
        <v>0</v>
      </c>
      <c r="AU37" s="73">
        <f>'Restating Adj'!AU37+'Pro Forma Adj'!AU37</f>
        <v>0</v>
      </c>
      <c r="AV37" s="29">
        <f>'Restating Adj'!AV37+'Pro Forma Adj'!AV37</f>
        <v>0</v>
      </c>
      <c r="AW37" s="73">
        <f>'Restating Adj'!AW37+'Pro Forma Adj'!AW37</f>
        <v>0</v>
      </c>
      <c r="AX37" s="259">
        <f>'Restating Adj'!AX37+'Pro Forma Adj'!AX37</f>
        <v>0</v>
      </c>
      <c r="AY37" s="29">
        <f>'Restating Adj'!AY37+'Pro Forma Adj'!AY37</f>
        <v>0</v>
      </c>
      <c r="AZ37" s="72">
        <f>'Restating Adj'!AZ37+'Pro Forma Adj'!AZ37</f>
        <v>0</v>
      </c>
      <c r="BA37" s="73">
        <f>'Restating Adj'!BA37+'Pro Forma Adj'!BA37</f>
        <v>0</v>
      </c>
      <c r="BB37" s="29">
        <f>'Restating Adj'!BB37+'Pro Forma Adj'!BB37</f>
        <v>0</v>
      </c>
      <c r="BC37" s="72">
        <f>'Restating Adj'!BC37+'Pro Forma Adj'!BC37</f>
        <v>0</v>
      </c>
      <c r="BD37" s="72">
        <f>'Restating Adj'!BD37+'Pro Forma Adj'!BD37</f>
        <v>0</v>
      </c>
      <c r="BE37" s="72">
        <f>'Restating Adj'!BE37+'Pro Forma Adj'!BE37</f>
        <v>0</v>
      </c>
      <c r="BF37" s="73">
        <f>'Restating Adj'!BF37+'Pro Forma Adj'!BF37</f>
        <v>0</v>
      </c>
    </row>
    <row r="38" spans="1:58" x14ac:dyDescent="0.2">
      <c r="A38" s="14" t="s">
        <v>70</v>
      </c>
      <c r="B38" s="30">
        <f t="shared" si="9"/>
        <v>55653146.439376235</v>
      </c>
      <c r="C38" s="30">
        <f>SUM(C29:C37)</f>
        <v>-470512.70644908928</v>
      </c>
      <c r="D38" s="74">
        <f t="shared" ref="D38:AO38" si="19">SUM(D29:D37)</f>
        <v>7079779.7759037716</v>
      </c>
      <c r="E38" s="74">
        <f t="shared" si="19"/>
        <v>294634.62007747515</v>
      </c>
      <c r="F38" s="143">
        <f t="shared" si="19"/>
        <v>136542.54179642361</v>
      </c>
      <c r="G38" s="30">
        <f t="shared" si="19"/>
        <v>297093.82560218166</v>
      </c>
      <c r="H38" s="74">
        <f t="shared" si="19"/>
        <v>1427582.103315514</v>
      </c>
      <c r="I38" s="74">
        <f t="shared" si="19"/>
        <v>-481482.68291306245</v>
      </c>
      <c r="J38" s="74">
        <f t="shared" si="19"/>
        <v>-2790289.0550890225</v>
      </c>
      <c r="K38" s="74">
        <f t="shared" si="19"/>
        <v>13356.484709469642</v>
      </c>
      <c r="L38" s="75">
        <f t="shared" si="19"/>
        <v>-606.58654168849318</v>
      </c>
      <c r="M38" s="30">
        <f t="shared" si="19"/>
        <v>430973.33828135201</v>
      </c>
      <c r="N38" s="74">
        <f t="shared" si="19"/>
        <v>-497130.68734365219</v>
      </c>
      <c r="O38" s="74">
        <f t="shared" si="19"/>
        <v>1585326.4299616194</v>
      </c>
      <c r="P38" s="74">
        <f t="shared" si="19"/>
        <v>1048556.2867100647</v>
      </c>
      <c r="Q38" s="74">
        <f t="shared" si="19"/>
        <v>57811.382507999981</v>
      </c>
      <c r="R38" s="75">
        <f t="shared" si="19"/>
        <v>3262847.1552752974</v>
      </c>
      <c r="S38" s="30">
        <f t="shared" ref="S38:T38" si="20">SUM(S29:S37)</f>
        <v>-5642038.3509121584</v>
      </c>
      <c r="T38" s="74">
        <f t="shared" si="20"/>
        <v>48369507.769465737</v>
      </c>
      <c r="U38" s="74">
        <f t="shared" ref="U38:V38" si="21">SUM(U29:U37)</f>
        <v>55812.570729027124</v>
      </c>
      <c r="V38" s="74">
        <f t="shared" si="21"/>
        <v>90171.261740837304</v>
      </c>
      <c r="W38" s="75">
        <f t="shared" ref="W38" si="22">SUM(W29:W37)</f>
        <v>29843.040000000001</v>
      </c>
      <c r="X38" s="143">
        <f t="shared" si="19"/>
        <v>-12327645.266699316</v>
      </c>
      <c r="Y38" s="30">
        <f t="shared" si="19"/>
        <v>0</v>
      </c>
      <c r="Z38" s="74">
        <f t="shared" si="19"/>
        <v>0</v>
      </c>
      <c r="AA38" s="74">
        <f t="shared" si="19"/>
        <v>4614848.5052821282</v>
      </c>
      <c r="AB38" s="30">
        <f t="shared" si="19"/>
        <v>498225.90267910622</v>
      </c>
      <c r="AC38" s="75">
        <f t="shared" si="19"/>
        <v>666608.84486836335</v>
      </c>
      <c r="AD38" s="30">
        <f t="shared" si="19"/>
        <v>-6025906.1791799143</v>
      </c>
      <c r="AE38" s="74">
        <f t="shared" si="19"/>
        <v>-3906157.2179042771</v>
      </c>
      <c r="AF38" s="74">
        <f t="shared" si="19"/>
        <v>302035.50370207359</v>
      </c>
      <c r="AG38" s="74">
        <f t="shared" si="19"/>
        <v>123664</v>
      </c>
      <c r="AH38" s="74">
        <f t="shared" si="19"/>
        <v>1019511.5900000001</v>
      </c>
      <c r="AI38" s="75">
        <f>SUM(AI29:AI37)</f>
        <v>8451410.0260689482</v>
      </c>
      <c r="AJ38" s="30">
        <f>SUM(AJ29:AJ37)</f>
        <v>-13170.880000000001</v>
      </c>
      <c r="AK38" s="74">
        <f t="shared" ref="AK38" si="23">SUM(AK29:AK37)</f>
        <v>183694.71263775352</v>
      </c>
      <c r="AL38" s="30">
        <f t="shared" si="19"/>
        <v>0</v>
      </c>
      <c r="AM38" s="74">
        <f t="shared" si="19"/>
        <v>4858990.537474798</v>
      </c>
      <c r="AN38" s="74">
        <f t="shared" si="19"/>
        <v>0</v>
      </c>
      <c r="AO38" s="75">
        <f t="shared" si="19"/>
        <v>-80090.037251476664</v>
      </c>
      <c r="AP38" s="30">
        <f t="shared" ref="AP38:AW38" si="24">SUM(AP29:AP37)</f>
        <v>0</v>
      </c>
      <c r="AQ38" s="74">
        <f t="shared" si="24"/>
        <v>1846.1747</v>
      </c>
      <c r="AR38" s="74">
        <f t="shared" si="24"/>
        <v>0</v>
      </c>
      <c r="AS38" s="74">
        <f t="shared" si="24"/>
        <v>0</v>
      </c>
      <c r="AT38" s="74">
        <f t="shared" si="24"/>
        <v>0</v>
      </c>
      <c r="AU38" s="75">
        <f t="shared" si="24"/>
        <v>-142928.12725308619</v>
      </c>
      <c r="AV38" s="30">
        <f t="shared" si="24"/>
        <v>180796.14170084742</v>
      </c>
      <c r="AW38" s="75">
        <f t="shared" si="24"/>
        <v>511007.59105070744</v>
      </c>
      <c r="AX38" s="143">
        <f t="shared" ref="AX38:BA38" si="25">SUM(AX29:AX37)</f>
        <v>947295.4097956497</v>
      </c>
      <c r="AY38" s="30">
        <f t="shared" si="25"/>
        <v>0</v>
      </c>
      <c r="AZ38" s="74">
        <f t="shared" si="25"/>
        <v>315585.97754791973</v>
      </c>
      <c r="BA38" s="75">
        <f t="shared" si="25"/>
        <v>-918036.47581257683</v>
      </c>
      <c r="BB38" s="30">
        <f t="shared" ref="BB38:BE38" si="26">SUM(BB29:BB37)</f>
        <v>0</v>
      </c>
      <c r="BC38" s="74">
        <f t="shared" si="26"/>
        <v>2226611.4464667565</v>
      </c>
      <c r="BD38" s="74">
        <f t="shared" si="26"/>
        <v>45557.267758997798</v>
      </c>
      <c r="BE38" s="74">
        <f t="shared" si="26"/>
        <v>35986.363904692887</v>
      </c>
      <c r="BF38" s="75">
        <f t="shared" ref="BF38" si="27">SUM(BF29:BF37)</f>
        <v>-214373.88898995286</v>
      </c>
    </row>
    <row r="39" spans="1:58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68"/>
      <c r="AX39" s="69"/>
      <c r="AY39" s="27"/>
      <c r="AZ39" s="12"/>
      <c r="BA39" s="68"/>
      <c r="BB39" s="27"/>
      <c r="BC39" s="12"/>
      <c r="BD39" s="12"/>
      <c r="BE39" s="12"/>
      <c r="BF39" s="68"/>
    </row>
    <row r="40" spans="1:58" ht="13.5" thickBot="1" x14ac:dyDescent="0.25">
      <c r="A40" s="14" t="s">
        <v>71</v>
      </c>
      <c r="B40" s="32">
        <f>SUM(C40:BF40)</f>
        <v>-4389526.6669820966</v>
      </c>
      <c r="C40" s="32">
        <f t="shared" ref="C40" si="28">C16-C38</f>
        <v>-1770023.9909275265</v>
      </c>
      <c r="D40" s="81">
        <f t="shared" ref="D40:AO40" si="29">D16-D38</f>
        <v>26633457.252209429</v>
      </c>
      <c r="E40" s="81">
        <f t="shared" si="29"/>
        <v>1108387.380291454</v>
      </c>
      <c r="F40" s="144">
        <f t="shared" si="29"/>
        <v>-136542.54179642361</v>
      </c>
      <c r="G40" s="32">
        <f t="shared" si="29"/>
        <v>-297093.82560218166</v>
      </c>
      <c r="H40" s="81">
        <f t="shared" si="29"/>
        <v>-1427582.103315514</v>
      </c>
      <c r="I40" s="81">
        <f t="shared" si="29"/>
        <v>481482.68291306245</v>
      </c>
      <c r="J40" s="81">
        <f t="shared" si="29"/>
        <v>2790289.0550890225</v>
      </c>
      <c r="K40" s="81">
        <f t="shared" si="29"/>
        <v>-13356.484709469642</v>
      </c>
      <c r="L40" s="82">
        <f t="shared" si="29"/>
        <v>606.58654168849318</v>
      </c>
      <c r="M40" s="32">
        <f t="shared" si="29"/>
        <v>-430973.33828135201</v>
      </c>
      <c r="N40" s="81">
        <f t="shared" si="29"/>
        <v>497130.68734365219</v>
      </c>
      <c r="O40" s="81">
        <f t="shared" si="29"/>
        <v>-1585326.4299616194</v>
      </c>
      <c r="P40" s="81">
        <f t="shared" si="29"/>
        <v>-1048556.2867100647</v>
      </c>
      <c r="Q40" s="81">
        <f t="shared" si="29"/>
        <v>-57811.382507999981</v>
      </c>
      <c r="R40" s="82">
        <f t="shared" si="29"/>
        <v>-3262847.1552752974</v>
      </c>
      <c r="S40" s="32">
        <f t="shared" ref="S40:T40" si="30">S16-S38</f>
        <v>5642038.3509121584</v>
      </c>
      <c r="T40" s="81">
        <f t="shared" si="30"/>
        <v>-29331180.469829749</v>
      </c>
      <c r="U40" s="81">
        <f t="shared" ref="U40:V40" si="31">U16-U38</f>
        <v>209961.57559967347</v>
      </c>
      <c r="V40" s="81">
        <f t="shared" si="31"/>
        <v>-90171.261740837304</v>
      </c>
      <c r="W40" s="82">
        <f t="shared" ref="W40" si="32">W16-W38</f>
        <v>-29843.040000000001</v>
      </c>
      <c r="X40" s="144">
        <f t="shared" si="29"/>
        <v>12327645.266699316</v>
      </c>
      <c r="Y40" s="32">
        <f t="shared" si="29"/>
        <v>0</v>
      </c>
      <c r="Z40" s="81">
        <f t="shared" si="29"/>
        <v>0</v>
      </c>
      <c r="AA40" s="81">
        <f t="shared" si="29"/>
        <v>-4614848.5052821282</v>
      </c>
      <c r="AB40" s="32">
        <f t="shared" si="29"/>
        <v>-498225.90267910622</v>
      </c>
      <c r="AC40" s="82">
        <f t="shared" si="29"/>
        <v>-666608.84486836335</v>
      </c>
      <c r="AD40" s="32">
        <f t="shared" si="29"/>
        <v>6025906.1791799143</v>
      </c>
      <c r="AE40" s="81">
        <f t="shared" si="29"/>
        <v>3906157.2179042771</v>
      </c>
      <c r="AF40" s="81">
        <f t="shared" si="29"/>
        <v>-302035.50370207359</v>
      </c>
      <c r="AG40" s="81">
        <f t="shared" si="29"/>
        <v>-123664</v>
      </c>
      <c r="AH40" s="81">
        <f t="shared" si="29"/>
        <v>-1019511.5900000001</v>
      </c>
      <c r="AI40" s="82">
        <f>AI16-AI38</f>
        <v>-8451410.0260689482</v>
      </c>
      <c r="AJ40" s="32">
        <f t="shared" si="29"/>
        <v>13170.880000000001</v>
      </c>
      <c r="AK40" s="81">
        <f t="shared" ref="AK40" si="33">AK16-AK38</f>
        <v>-183694.71263775352</v>
      </c>
      <c r="AL40" s="32">
        <f t="shared" si="29"/>
        <v>0</v>
      </c>
      <c r="AM40" s="81">
        <f t="shared" si="29"/>
        <v>-4858990.537474798</v>
      </c>
      <c r="AN40" s="81">
        <f t="shared" si="29"/>
        <v>0</v>
      </c>
      <c r="AO40" s="82">
        <f t="shared" si="29"/>
        <v>80090.037251476664</v>
      </c>
      <c r="AP40" s="32">
        <f t="shared" ref="AP40:AW40" si="34">AP16-AP38</f>
        <v>0</v>
      </c>
      <c r="AQ40" s="81">
        <f t="shared" si="34"/>
        <v>-1846.1747</v>
      </c>
      <c r="AR40" s="81">
        <f t="shared" si="34"/>
        <v>0</v>
      </c>
      <c r="AS40" s="81">
        <f t="shared" si="34"/>
        <v>0</v>
      </c>
      <c r="AT40" s="81">
        <f t="shared" si="34"/>
        <v>0</v>
      </c>
      <c r="AU40" s="82">
        <f t="shared" si="34"/>
        <v>142928.12725308619</v>
      </c>
      <c r="AV40" s="32">
        <f t="shared" si="34"/>
        <v>-180796.14170084742</v>
      </c>
      <c r="AW40" s="82">
        <f t="shared" si="34"/>
        <v>-511007.59105070744</v>
      </c>
      <c r="AX40" s="144">
        <f t="shared" ref="AX40:BA40" si="35">AX16-AX38</f>
        <v>-842671.37166241417</v>
      </c>
      <c r="AY40" s="32">
        <f t="shared" si="35"/>
        <v>0</v>
      </c>
      <c r="AZ40" s="81">
        <f t="shared" si="35"/>
        <v>-315585.97754791973</v>
      </c>
      <c r="BA40" s="82">
        <f t="shared" si="35"/>
        <v>918036.47581257683</v>
      </c>
      <c r="BB40" s="32">
        <f t="shared" ref="BB40:BE40" si="36">BB16-BB38</f>
        <v>0</v>
      </c>
      <c r="BC40" s="81">
        <f t="shared" si="36"/>
        <v>-2226611.4464667565</v>
      </c>
      <c r="BD40" s="81">
        <f t="shared" si="36"/>
        <v>-45557.267758997798</v>
      </c>
      <c r="BE40" s="81">
        <f t="shared" si="36"/>
        <v>-35986.363904692887</v>
      </c>
      <c r="BF40" s="82">
        <f t="shared" ref="BF40" si="37">BF16-BF38</f>
        <v>-806454.15381934645</v>
      </c>
    </row>
    <row r="41" spans="1:58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68"/>
      <c r="AX41" s="69"/>
      <c r="AY41" s="27"/>
      <c r="AZ41" s="12"/>
      <c r="BA41" s="68"/>
      <c r="BB41" s="27"/>
      <c r="BC41" s="12"/>
      <c r="BD41" s="12"/>
      <c r="BE41" s="12"/>
      <c r="BF41" s="68"/>
    </row>
    <row r="42" spans="1:58" x14ac:dyDescent="0.2">
      <c r="A42" s="14" t="s">
        <v>72</v>
      </c>
      <c r="B42" s="27">
        <f>SUM(C42:AW42)</f>
        <v>0</v>
      </c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68"/>
      <c r="AX42" s="69"/>
      <c r="AY42" s="27"/>
      <c r="AZ42" s="12"/>
      <c r="BA42" s="68"/>
      <c r="BB42" s="27"/>
      <c r="BC42" s="12"/>
      <c r="BD42" s="12"/>
      <c r="BE42" s="12"/>
      <c r="BF42" s="68"/>
    </row>
    <row r="43" spans="1:58" x14ac:dyDescent="0.2">
      <c r="A43" s="14" t="s">
        <v>73</v>
      </c>
      <c r="B43" s="28">
        <f t="shared" ref="B43:B54" si="38">SUM(C43:BF43)</f>
        <v>144994742.28321511</v>
      </c>
      <c r="C43" s="29">
        <f>'Restating Adj'!C43+'Pro Forma Adj'!C43</f>
        <v>0</v>
      </c>
      <c r="D43" s="72">
        <f>'Restating Adj'!D43+'Pro Forma Adj'!D43</f>
        <v>0</v>
      </c>
      <c r="E43" s="72">
        <f>'Restating Adj'!E43+'Pro Forma Adj'!E43</f>
        <v>0</v>
      </c>
      <c r="F43" s="259">
        <f>'Restating Adj'!F43+'Pro Forma Adj'!F43</f>
        <v>0</v>
      </c>
      <c r="G43" s="29">
        <f>'Restating Adj'!G43+'Pro Forma Adj'!G43</f>
        <v>0</v>
      </c>
      <c r="H43" s="72">
        <f>'Restating Adj'!H43+'Pro Forma Adj'!H43</f>
        <v>0</v>
      </c>
      <c r="I43" s="72">
        <f>'Restating Adj'!I43+'Pro Forma Adj'!I43</f>
        <v>0</v>
      </c>
      <c r="J43" s="72">
        <f>'Restating Adj'!J43+'Pro Forma Adj'!J43</f>
        <v>0</v>
      </c>
      <c r="K43" s="72">
        <f>'Restating Adj'!K43+'Pro Forma Adj'!K43</f>
        <v>0</v>
      </c>
      <c r="L43" s="73">
        <f>'Restating Adj'!L43+'Pro Forma Adj'!L43</f>
        <v>0</v>
      </c>
      <c r="M43" s="29">
        <f>'Restating Adj'!M43+'Pro Forma Adj'!M43</f>
        <v>0</v>
      </c>
      <c r="N43" s="72">
        <f>'Restating Adj'!N43+'Pro Forma Adj'!N43</f>
        <v>0</v>
      </c>
      <c r="O43" s="72">
        <f>'Restating Adj'!O43+'Pro Forma Adj'!O43</f>
        <v>0</v>
      </c>
      <c r="P43" s="72">
        <f>'Restating Adj'!P43+'Pro Forma Adj'!P43</f>
        <v>0</v>
      </c>
      <c r="Q43" s="72">
        <f>'Restating Adj'!Q43+'Pro Forma Adj'!Q43</f>
        <v>0</v>
      </c>
      <c r="R43" s="73">
        <f>'Restating Adj'!R43+'Pro Forma Adj'!R43</f>
        <v>0</v>
      </c>
      <c r="S43" s="29">
        <f>'Restating Adj'!S43+'Pro Forma Adj'!S43</f>
        <v>0</v>
      </c>
      <c r="T43" s="72">
        <f>'Restating Adj'!T43+'Pro Forma Adj'!T43</f>
        <v>0</v>
      </c>
      <c r="U43" s="72">
        <f>'Restating Adj'!U43+'Pro Forma Adj'!U43</f>
        <v>0</v>
      </c>
      <c r="V43" s="72">
        <f>'Restating Adj'!V43+'Pro Forma Adj'!V43</f>
        <v>0</v>
      </c>
      <c r="W43" s="73">
        <f>'Restating Adj'!W43+'Pro Forma Adj'!W43</f>
        <v>0</v>
      </c>
      <c r="X43" s="259">
        <f>'Restating Adj'!X43+'Pro Forma Adj'!X43</f>
        <v>0</v>
      </c>
      <c r="Y43" s="29">
        <f>'Restating Adj'!Y43+'Pro Forma Adj'!Y43</f>
        <v>0</v>
      </c>
      <c r="Z43" s="72">
        <f>'Restating Adj'!Z43+'Pro Forma Adj'!Z43</f>
        <v>0</v>
      </c>
      <c r="AA43" s="72">
        <f>'Restating Adj'!AA43+'Pro Forma Adj'!AA43</f>
        <v>0</v>
      </c>
      <c r="AB43" s="29">
        <f>'Restating Adj'!AB43+'Pro Forma Adj'!AB43</f>
        <v>0</v>
      </c>
      <c r="AC43" s="73">
        <f>'Restating Adj'!AC43+'Pro Forma Adj'!AC43</f>
        <v>0</v>
      </c>
      <c r="AD43" s="29">
        <f>'Restating Adj'!AD43+'Pro Forma Adj'!AD43</f>
        <v>0</v>
      </c>
      <c r="AE43" s="72">
        <f>'Restating Adj'!AE43+'Pro Forma Adj'!AE43</f>
        <v>0</v>
      </c>
      <c r="AF43" s="72">
        <f>'Restating Adj'!AF43+'Pro Forma Adj'!AF43</f>
        <v>0</v>
      </c>
      <c r="AG43" s="72">
        <f>'Restating Adj'!AG43+'Pro Forma Adj'!AG43</f>
        <v>0</v>
      </c>
      <c r="AH43" s="72">
        <f>'Restating Adj'!AH43+'Pro Forma Adj'!AH43</f>
        <v>0</v>
      </c>
      <c r="AI43" s="73">
        <f>'Restating Adj'!AI43+'Pro Forma Adj'!AI43</f>
        <v>0</v>
      </c>
      <c r="AJ43" s="29">
        <f>'Restating Adj'!AJ43+'Pro Forma Adj'!AJ43</f>
        <v>0</v>
      </c>
      <c r="AK43" s="72">
        <f>'Restating Adj'!AK43+'Pro Forma Adj'!AK43</f>
        <v>0</v>
      </c>
      <c r="AL43" s="29">
        <f>'Restating Adj'!AL43+'Pro Forma Adj'!AL43</f>
        <v>30000111.714042757</v>
      </c>
      <c r="AM43" s="72">
        <f>'Restating Adj'!AM43+'Pro Forma Adj'!AM43</f>
        <v>0</v>
      </c>
      <c r="AN43" s="72">
        <f>'Restating Adj'!AN43+'Pro Forma Adj'!AN43</f>
        <v>0</v>
      </c>
      <c r="AO43" s="73">
        <f>'Restating Adj'!AO43+'Pro Forma Adj'!AO43</f>
        <v>132654631.34508099</v>
      </c>
      <c r="AP43" s="29">
        <f>'Restating Adj'!AP43+'Pro Forma Adj'!AP43</f>
        <v>0</v>
      </c>
      <c r="AQ43" s="72">
        <f>'Restating Adj'!AQ43+'Pro Forma Adj'!AQ43</f>
        <v>0</v>
      </c>
      <c r="AR43" s="72">
        <f>'Restating Adj'!AR43+'Pro Forma Adj'!AR43</f>
        <v>0</v>
      </c>
      <c r="AS43" s="72">
        <f>'Restating Adj'!AS43+'Pro Forma Adj'!AS43</f>
        <v>-17855800.813332476</v>
      </c>
      <c r="AT43" s="72">
        <f>'Restating Adj'!AT43+'Pro Forma Adj'!AT43</f>
        <v>-10948499.351675939</v>
      </c>
      <c r="AU43" s="73">
        <f>'Restating Adj'!AU43+'Pro Forma Adj'!AU43</f>
        <v>-426745.98026253679</v>
      </c>
      <c r="AV43" s="29">
        <f>'Restating Adj'!AV43+'Pro Forma Adj'!AV43</f>
        <v>2321668.5741803152</v>
      </c>
      <c r="AW43" s="73">
        <f>'Restating Adj'!AW43+'Pro Forma Adj'!AW43</f>
        <v>37741371.808252543</v>
      </c>
      <c r="AX43" s="259">
        <f>'Restating Adj'!AX43+'Pro Forma Adj'!AX43</f>
        <v>192349.41342615057</v>
      </c>
      <c r="AY43" s="29">
        <f>'Restating Adj'!AY43+'Pro Forma Adj'!AY43</f>
        <v>-298414624.88005912</v>
      </c>
      <c r="AZ43" s="72">
        <f>'Restating Adj'!AZ43+'Pro Forma Adj'!AZ43</f>
        <v>-49457131.536262572</v>
      </c>
      <c r="BA43" s="73">
        <f>'Restating Adj'!BA43+'Pro Forma Adj'!BA43</f>
        <v>-29244710.019220922</v>
      </c>
      <c r="BB43" s="29">
        <f>'Restating Adj'!BB43+'Pro Forma Adj'!BB43</f>
        <v>40072259.394654654</v>
      </c>
      <c r="BC43" s="72">
        <f>'Restating Adj'!BC43+'Pro Forma Adj'!BC43</f>
        <v>300463387.54772812</v>
      </c>
      <c r="BD43" s="72">
        <f>'Restating Adj'!BD43+'Pro Forma Adj'!BD43</f>
        <v>3803939.4690655638</v>
      </c>
      <c r="BE43" s="72">
        <f>'Restating Adj'!BE43+'Pro Forma Adj'!BE43</f>
        <v>4092535.5975975292</v>
      </c>
      <c r="BF43" s="73">
        <f>'Restating Adj'!BF43+'Pro Forma Adj'!BF43</f>
        <v>0</v>
      </c>
    </row>
    <row r="44" spans="1:58" x14ac:dyDescent="0.2">
      <c r="A44" s="14" t="s">
        <v>74</v>
      </c>
      <c r="B44" s="28">
        <f t="shared" si="38"/>
        <v>0</v>
      </c>
      <c r="C44" s="29">
        <f>'Restating Adj'!C44+'Pro Forma Adj'!C44</f>
        <v>0</v>
      </c>
      <c r="D44" s="72">
        <f>'Restating Adj'!D44+'Pro Forma Adj'!D44</f>
        <v>0</v>
      </c>
      <c r="E44" s="72">
        <f>'Restating Adj'!E44+'Pro Forma Adj'!E44</f>
        <v>0</v>
      </c>
      <c r="F44" s="259">
        <f>'Restating Adj'!F44+'Pro Forma Adj'!F44</f>
        <v>0</v>
      </c>
      <c r="G44" s="29">
        <f>'Restating Adj'!G44+'Pro Forma Adj'!G44</f>
        <v>0</v>
      </c>
      <c r="H44" s="72">
        <f>'Restating Adj'!H44+'Pro Forma Adj'!H44</f>
        <v>0</v>
      </c>
      <c r="I44" s="72">
        <f>'Restating Adj'!I44+'Pro Forma Adj'!I44</f>
        <v>0</v>
      </c>
      <c r="J44" s="72">
        <f>'Restating Adj'!J44+'Pro Forma Adj'!J44</f>
        <v>0</v>
      </c>
      <c r="K44" s="72">
        <f>'Restating Adj'!K44+'Pro Forma Adj'!K44</f>
        <v>0</v>
      </c>
      <c r="L44" s="73">
        <f>'Restating Adj'!L44+'Pro Forma Adj'!L44</f>
        <v>0</v>
      </c>
      <c r="M44" s="29">
        <f>'Restating Adj'!M44+'Pro Forma Adj'!M44</f>
        <v>0</v>
      </c>
      <c r="N44" s="72">
        <f>'Restating Adj'!N44+'Pro Forma Adj'!N44</f>
        <v>0</v>
      </c>
      <c r="O44" s="72">
        <f>'Restating Adj'!O44+'Pro Forma Adj'!O44</f>
        <v>0</v>
      </c>
      <c r="P44" s="72">
        <f>'Restating Adj'!P44+'Pro Forma Adj'!P44</f>
        <v>0</v>
      </c>
      <c r="Q44" s="72">
        <f>'Restating Adj'!Q44+'Pro Forma Adj'!Q44</f>
        <v>0</v>
      </c>
      <c r="R44" s="73">
        <f>'Restating Adj'!R44+'Pro Forma Adj'!R44</f>
        <v>0</v>
      </c>
      <c r="S44" s="29">
        <f>'Restating Adj'!S44+'Pro Forma Adj'!S44</f>
        <v>0</v>
      </c>
      <c r="T44" s="72">
        <f>'Restating Adj'!T44+'Pro Forma Adj'!T44</f>
        <v>0</v>
      </c>
      <c r="U44" s="72">
        <f>'Restating Adj'!U44+'Pro Forma Adj'!U44</f>
        <v>0</v>
      </c>
      <c r="V44" s="72">
        <f>'Restating Adj'!V44+'Pro Forma Adj'!V44</f>
        <v>0</v>
      </c>
      <c r="W44" s="73">
        <f>'Restating Adj'!W44+'Pro Forma Adj'!W44</f>
        <v>0</v>
      </c>
      <c r="X44" s="259">
        <f>'Restating Adj'!X44+'Pro Forma Adj'!X44</f>
        <v>0</v>
      </c>
      <c r="Y44" s="29">
        <f>'Restating Adj'!Y44+'Pro Forma Adj'!Y44</f>
        <v>0</v>
      </c>
      <c r="Z44" s="72">
        <f>'Restating Adj'!Z44+'Pro Forma Adj'!Z44</f>
        <v>0</v>
      </c>
      <c r="AA44" s="72">
        <f>'Restating Adj'!AA44+'Pro Forma Adj'!AA44</f>
        <v>0</v>
      </c>
      <c r="AB44" s="29">
        <f>'Restating Adj'!AB44+'Pro Forma Adj'!AB44</f>
        <v>0</v>
      </c>
      <c r="AC44" s="73">
        <f>'Restating Adj'!AC44+'Pro Forma Adj'!AC44</f>
        <v>0</v>
      </c>
      <c r="AD44" s="29">
        <f>'Restating Adj'!AD44+'Pro Forma Adj'!AD44</f>
        <v>0</v>
      </c>
      <c r="AE44" s="72">
        <f>'Restating Adj'!AE44+'Pro Forma Adj'!AE44</f>
        <v>0</v>
      </c>
      <c r="AF44" s="72">
        <f>'Restating Adj'!AF44+'Pro Forma Adj'!AF44</f>
        <v>0</v>
      </c>
      <c r="AG44" s="72">
        <f>'Restating Adj'!AG44+'Pro Forma Adj'!AG44</f>
        <v>0</v>
      </c>
      <c r="AH44" s="72">
        <f>'Restating Adj'!AH44+'Pro Forma Adj'!AH44</f>
        <v>0</v>
      </c>
      <c r="AI44" s="73">
        <f>'Restating Adj'!AI44+'Pro Forma Adj'!AI44</f>
        <v>0</v>
      </c>
      <c r="AJ44" s="29">
        <f>'Restating Adj'!AJ44+'Pro Forma Adj'!AJ44</f>
        <v>0</v>
      </c>
      <c r="AK44" s="72">
        <f>'Restating Adj'!AK44+'Pro Forma Adj'!AK44</f>
        <v>0</v>
      </c>
      <c r="AL44" s="29">
        <f>'Restating Adj'!AL44+'Pro Forma Adj'!AL44</f>
        <v>0</v>
      </c>
      <c r="AM44" s="72">
        <f>'Restating Adj'!AM44+'Pro Forma Adj'!AM44</f>
        <v>0</v>
      </c>
      <c r="AN44" s="72">
        <f>'Restating Adj'!AN44+'Pro Forma Adj'!AN44</f>
        <v>0</v>
      </c>
      <c r="AO44" s="73">
        <f>'Restating Adj'!AO44+'Pro Forma Adj'!AO44</f>
        <v>0</v>
      </c>
      <c r="AP44" s="29">
        <f>'Restating Adj'!AP44+'Pro Forma Adj'!AP44</f>
        <v>0</v>
      </c>
      <c r="AQ44" s="72">
        <f>'Restating Adj'!AQ44+'Pro Forma Adj'!AQ44</f>
        <v>0</v>
      </c>
      <c r="AR44" s="72">
        <f>'Restating Adj'!AR44+'Pro Forma Adj'!AR44</f>
        <v>0</v>
      </c>
      <c r="AS44" s="72">
        <f>'Restating Adj'!AS44+'Pro Forma Adj'!AS44</f>
        <v>0</v>
      </c>
      <c r="AT44" s="72">
        <f>'Restating Adj'!AT44+'Pro Forma Adj'!AT44</f>
        <v>0</v>
      </c>
      <c r="AU44" s="73">
        <f>'Restating Adj'!AU44+'Pro Forma Adj'!AU44</f>
        <v>0</v>
      </c>
      <c r="AV44" s="29">
        <f>'Restating Adj'!AV44+'Pro Forma Adj'!AV44</f>
        <v>0</v>
      </c>
      <c r="AW44" s="73">
        <f>'Restating Adj'!AW44+'Pro Forma Adj'!AW44</f>
        <v>0</v>
      </c>
      <c r="AX44" s="259">
        <f>'Restating Adj'!AX44+'Pro Forma Adj'!AX44</f>
        <v>0</v>
      </c>
      <c r="AY44" s="29">
        <f>'Restating Adj'!AY44+'Pro Forma Adj'!AY44</f>
        <v>0</v>
      </c>
      <c r="AZ44" s="72">
        <f>'Restating Adj'!AZ44+'Pro Forma Adj'!AZ44</f>
        <v>0</v>
      </c>
      <c r="BA44" s="73">
        <f>'Restating Adj'!BA44+'Pro Forma Adj'!BA44</f>
        <v>0</v>
      </c>
      <c r="BB44" s="29">
        <f>'Restating Adj'!BB44+'Pro Forma Adj'!BB44</f>
        <v>0</v>
      </c>
      <c r="BC44" s="72">
        <f>'Restating Adj'!BC44+'Pro Forma Adj'!BC44</f>
        <v>0</v>
      </c>
      <c r="BD44" s="72">
        <f>'Restating Adj'!BD44+'Pro Forma Adj'!BD44</f>
        <v>0</v>
      </c>
      <c r="BE44" s="72">
        <f>'Restating Adj'!BE44+'Pro Forma Adj'!BE44</f>
        <v>0</v>
      </c>
      <c r="BF44" s="73">
        <f>'Restating Adj'!BF44+'Pro Forma Adj'!BF44</f>
        <v>0</v>
      </c>
    </row>
    <row r="45" spans="1:58" x14ac:dyDescent="0.2">
      <c r="A45" s="14" t="s">
        <v>75</v>
      </c>
      <c r="B45" s="28">
        <f t="shared" si="38"/>
        <v>-9567567.1148098409</v>
      </c>
      <c r="C45" s="29">
        <f>'Restating Adj'!C45+'Pro Forma Adj'!C45</f>
        <v>0</v>
      </c>
      <c r="D45" s="72">
        <f>'Restating Adj'!D45+'Pro Forma Adj'!D45</f>
        <v>0</v>
      </c>
      <c r="E45" s="72">
        <f>'Restating Adj'!E45+'Pro Forma Adj'!E45</f>
        <v>0</v>
      </c>
      <c r="F45" s="259">
        <f>'Restating Adj'!F45+'Pro Forma Adj'!F45</f>
        <v>0</v>
      </c>
      <c r="G45" s="29">
        <f>'Restating Adj'!G45+'Pro Forma Adj'!G45</f>
        <v>0</v>
      </c>
      <c r="H45" s="72">
        <f>'Restating Adj'!H45+'Pro Forma Adj'!H45</f>
        <v>0</v>
      </c>
      <c r="I45" s="72">
        <f>'Restating Adj'!I45+'Pro Forma Adj'!I45</f>
        <v>0</v>
      </c>
      <c r="J45" s="72">
        <f>'Restating Adj'!J45+'Pro Forma Adj'!J45</f>
        <v>0</v>
      </c>
      <c r="K45" s="72">
        <f>'Restating Adj'!K45+'Pro Forma Adj'!K45</f>
        <v>0</v>
      </c>
      <c r="L45" s="73">
        <f>'Restating Adj'!L45+'Pro Forma Adj'!L45</f>
        <v>0</v>
      </c>
      <c r="M45" s="29">
        <f>'Restating Adj'!M45+'Pro Forma Adj'!M45</f>
        <v>0</v>
      </c>
      <c r="N45" s="72">
        <f>'Restating Adj'!N45+'Pro Forma Adj'!N45</f>
        <v>0</v>
      </c>
      <c r="O45" s="72">
        <f>'Restating Adj'!O45+'Pro Forma Adj'!O45</f>
        <v>0</v>
      </c>
      <c r="P45" s="72">
        <f>'Restating Adj'!P45+'Pro Forma Adj'!P45</f>
        <v>0</v>
      </c>
      <c r="Q45" s="72">
        <f>'Restating Adj'!Q45+'Pro Forma Adj'!Q45</f>
        <v>0</v>
      </c>
      <c r="R45" s="73">
        <f>'Restating Adj'!R45+'Pro Forma Adj'!R45</f>
        <v>0</v>
      </c>
      <c r="S45" s="29">
        <f>'Restating Adj'!S45+'Pro Forma Adj'!S45</f>
        <v>0</v>
      </c>
      <c r="T45" s="72">
        <f>'Restating Adj'!T45+'Pro Forma Adj'!T45</f>
        <v>0</v>
      </c>
      <c r="U45" s="72">
        <f>'Restating Adj'!U45+'Pro Forma Adj'!U45</f>
        <v>0</v>
      </c>
      <c r="V45" s="72">
        <f>'Restating Adj'!V45+'Pro Forma Adj'!V45</f>
        <v>0</v>
      </c>
      <c r="W45" s="73">
        <f>'Restating Adj'!W45+'Pro Forma Adj'!W45</f>
        <v>0</v>
      </c>
      <c r="X45" s="259">
        <f>'Restating Adj'!X45+'Pro Forma Adj'!X45</f>
        <v>0</v>
      </c>
      <c r="Y45" s="29">
        <f>'Restating Adj'!Y45+'Pro Forma Adj'!Y45</f>
        <v>0</v>
      </c>
      <c r="Z45" s="72">
        <f>'Restating Adj'!Z45+'Pro Forma Adj'!Z45</f>
        <v>0</v>
      </c>
      <c r="AA45" s="72">
        <f>'Restating Adj'!AA45+'Pro Forma Adj'!AA45</f>
        <v>0</v>
      </c>
      <c r="AB45" s="29">
        <f>'Restating Adj'!AB45+'Pro Forma Adj'!AB45</f>
        <v>0</v>
      </c>
      <c r="AC45" s="73">
        <f>'Restating Adj'!AC45+'Pro Forma Adj'!AC45</f>
        <v>0</v>
      </c>
      <c r="AD45" s="29">
        <f>'Restating Adj'!AD45+'Pro Forma Adj'!AD45</f>
        <v>0</v>
      </c>
      <c r="AE45" s="72">
        <f>'Restating Adj'!AE45+'Pro Forma Adj'!AE45</f>
        <v>0</v>
      </c>
      <c r="AF45" s="72">
        <f>'Restating Adj'!AF45+'Pro Forma Adj'!AF45</f>
        <v>0</v>
      </c>
      <c r="AG45" s="72">
        <f>'Restating Adj'!AG45+'Pro Forma Adj'!AG45</f>
        <v>0</v>
      </c>
      <c r="AH45" s="72">
        <f>'Restating Adj'!AH45+'Pro Forma Adj'!AH45</f>
        <v>0</v>
      </c>
      <c r="AI45" s="73">
        <f>'Restating Adj'!AI45+'Pro Forma Adj'!AI45</f>
        <v>0</v>
      </c>
      <c r="AJ45" s="29">
        <f>'Restating Adj'!AJ45+'Pro Forma Adj'!AJ45</f>
        <v>0</v>
      </c>
      <c r="AK45" s="72">
        <f>'Restating Adj'!AK45+'Pro Forma Adj'!AK45</f>
        <v>0</v>
      </c>
      <c r="AL45" s="29">
        <f>'Restating Adj'!AL45+'Pro Forma Adj'!AL45</f>
        <v>0</v>
      </c>
      <c r="AM45" s="72">
        <f>'Restating Adj'!AM45+'Pro Forma Adj'!AM45</f>
        <v>49361.323333333014</v>
      </c>
      <c r="AN45" s="72">
        <f>'Restating Adj'!AN45+'Pro Forma Adj'!AN45</f>
        <v>0</v>
      </c>
      <c r="AO45" s="73">
        <f>'Restating Adj'!AO45+'Pro Forma Adj'!AO45</f>
        <v>0</v>
      </c>
      <c r="AP45" s="29">
        <f>'Restating Adj'!AP45+'Pro Forma Adj'!AP45</f>
        <v>-9959813.7233746424</v>
      </c>
      <c r="AQ45" s="72">
        <f>'Restating Adj'!AQ45+'Pro Forma Adj'!AQ45</f>
        <v>0</v>
      </c>
      <c r="AR45" s="72">
        <f>'Restating Adj'!AR45+'Pro Forma Adj'!AR45</f>
        <v>0</v>
      </c>
      <c r="AS45" s="72">
        <f>'Restating Adj'!AS45+'Pro Forma Adj'!AS45</f>
        <v>0</v>
      </c>
      <c r="AT45" s="72">
        <f>'Restating Adj'!AT45+'Pro Forma Adj'!AT45</f>
        <v>0</v>
      </c>
      <c r="AU45" s="73">
        <f>'Restating Adj'!AU45+'Pro Forma Adj'!AU45</f>
        <v>342885.28523146838</v>
      </c>
      <c r="AV45" s="29">
        <f>'Restating Adj'!AV45+'Pro Forma Adj'!AV45</f>
        <v>0</v>
      </c>
      <c r="AW45" s="73">
        <f>'Restating Adj'!AW45+'Pro Forma Adj'!AW45</f>
        <v>0</v>
      </c>
      <c r="AX45" s="259">
        <f>'Restating Adj'!AX45+'Pro Forma Adj'!AX45</f>
        <v>0</v>
      </c>
      <c r="AY45" s="29">
        <f>'Restating Adj'!AY45+'Pro Forma Adj'!AY45</f>
        <v>0</v>
      </c>
      <c r="AZ45" s="72">
        <f>'Restating Adj'!AZ45+'Pro Forma Adj'!AZ45</f>
        <v>0</v>
      </c>
      <c r="BA45" s="73">
        <f>'Restating Adj'!BA45+'Pro Forma Adj'!BA45</f>
        <v>0</v>
      </c>
      <c r="BB45" s="29">
        <f>'Restating Adj'!BB45+'Pro Forma Adj'!BB45</f>
        <v>0</v>
      </c>
      <c r="BC45" s="72">
        <f>'Restating Adj'!BC45+'Pro Forma Adj'!BC45</f>
        <v>0</v>
      </c>
      <c r="BD45" s="72">
        <f>'Restating Adj'!BD45+'Pro Forma Adj'!BD45</f>
        <v>0</v>
      </c>
      <c r="BE45" s="72">
        <f>'Restating Adj'!BE45+'Pro Forma Adj'!BE45</f>
        <v>0</v>
      </c>
      <c r="BF45" s="73">
        <f>'Restating Adj'!BF45+'Pro Forma Adj'!BF45</f>
        <v>0</v>
      </c>
    </row>
    <row r="46" spans="1:58" x14ac:dyDescent="0.2">
      <c r="A46" s="14" t="s">
        <v>76</v>
      </c>
      <c r="B46" s="28">
        <f t="shared" si="38"/>
        <v>0</v>
      </c>
      <c r="C46" s="29">
        <f>'Restating Adj'!C46+'Pro Forma Adj'!C46</f>
        <v>0</v>
      </c>
      <c r="D46" s="72">
        <f>'Restating Adj'!D46+'Pro Forma Adj'!D46</f>
        <v>0</v>
      </c>
      <c r="E46" s="72">
        <f>'Restating Adj'!E46+'Pro Forma Adj'!E46</f>
        <v>0</v>
      </c>
      <c r="F46" s="259">
        <f>'Restating Adj'!F46+'Pro Forma Adj'!F46</f>
        <v>0</v>
      </c>
      <c r="G46" s="29">
        <f>'Restating Adj'!G46+'Pro Forma Adj'!G46</f>
        <v>0</v>
      </c>
      <c r="H46" s="72">
        <f>'Restating Adj'!H46+'Pro Forma Adj'!H46</f>
        <v>0</v>
      </c>
      <c r="I46" s="72">
        <f>'Restating Adj'!I46+'Pro Forma Adj'!I46</f>
        <v>0</v>
      </c>
      <c r="J46" s="72">
        <f>'Restating Adj'!J46+'Pro Forma Adj'!J46</f>
        <v>0</v>
      </c>
      <c r="K46" s="72">
        <f>'Restating Adj'!K46+'Pro Forma Adj'!K46</f>
        <v>0</v>
      </c>
      <c r="L46" s="73">
        <f>'Restating Adj'!L46+'Pro Forma Adj'!L46</f>
        <v>0</v>
      </c>
      <c r="M46" s="29">
        <f>'Restating Adj'!M46+'Pro Forma Adj'!M46</f>
        <v>0</v>
      </c>
      <c r="N46" s="72">
        <f>'Restating Adj'!N46+'Pro Forma Adj'!N46</f>
        <v>0</v>
      </c>
      <c r="O46" s="72">
        <f>'Restating Adj'!O46+'Pro Forma Adj'!O46</f>
        <v>0</v>
      </c>
      <c r="P46" s="72">
        <f>'Restating Adj'!P46+'Pro Forma Adj'!P46</f>
        <v>0</v>
      </c>
      <c r="Q46" s="72">
        <f>'Restating Adj'!Q46+'Pro Forma Adj'!Q46</f>
        <v>0</v>
      </c>
      <c r="R46" s="73">
        <f>'Restating Adj'!R46+'Pro Forma Adj'!R46</f>
        <v>0</v>
      </c>
      <c r="S46" s="29">
        <f>'Restating Adj'!S46+'Pro Forma Adj'!S46</f>
        <v>0</v>
      </c>
      <c r="T46" s="72">
        <f>'Restating Adj'!T46+'Pro Forma Adj'!T46</f>
        <v>0</v>
      </c>
      <c r="U46" s="72">
        <f>'Restating Adj'!U46+'Pro Forma Adj'!U46</f>
        <v>0</v>
      </c>
      <c r="V46" s="72">
        <f>'Restating Adj'!V46+'Pro Forma Adj'!V46</f>
        <v>0</v>
      </c>
      <c r="W46" s="73">
        <f>'Restating Adj'!W46+'Pro Forma Adj'!W46</f>
        <v>0</v>
      </c>
      <c r="X46" s="259">
        <f>'Restating Adj'!X46+'Pro Forma Adj'!X46</f>
        <v>0</v>
      </c>
      <c r="Y46" s="29">
        <f>'Restating Adj'!Y46+'Pro Forma Adj'!Y46</f>
        <v>0</v>
      </c>
      <c r="Z46" s="72">
        <f>'Restating Adj'!Z46+'Pro Forma Adj'!Z46</f>
        <v>0</v>
      </c>
      <c r="AA46" s="72">
        <f>'Restating Adj'!AA46+'Pro Forma Adj'!AA46</f>
        <v>0</v>
      </c>
      <c r="AB46" s="29">
        <f>'Restating Adj'!AB46+'Pro Forma Adj'!AB46</f>
        <v>0</v>
      </c>
      <c r="AC46" s="73">
        <f>'Restating Adj'!AC46+'Pro Forma Adj'!AC46</f>
        <v>0</v>
      </c>
      <c r="AD46" s="29">
        <f>'Restating Adj'!AD46+'Pro Forma Adj'!AD46</f>
        <v>0</v>
      </c>
      <c r="AE46" s="72">
        <f>'Restating Adj'!AE46+'Pro Forma Adj'!AE46</f>
        <v>0</v>
      </c>
      <c r="AF46" s="72">
        <f>'Restating Adj'!AF46+'Pro Forma Adj'!AF46</f>
        <v>0</v>
      </c>
      <c r="AG46" s="72">
        <f>'Restating Adj'!AG46+'Pro Forma Adj'!AG46</f>
        <v>0</v>
      </c>
      <c r="AH46" s="72">
        <f>'Restating Adj'!AH46+'Pro Forma Adj'!AH46</f>
        <v>0</v>
      </c>
      <c r="AI46" s="73">
        <f>'Restating Adj'!AI46+'Pro Forma Adj'!AI46</f>
        <v>0</v>
      </c>
      <c r="AJ46" s="29">
        <f>'Restating Adj'!AJ46+'Pro Forma Adj'!AJ46</f>
        <v>0</v>
      </c>
      <c r="AK46" s="72">
        <f>'Restating Adj'!AK46+'Pro Forma Adj'!AK46</f>
        <v>0</v>
      </c>
      <c r="AL46" s="29">
        <f>'Restating Adj'!AL46+'Pro Forma Adj'!AL46</f>
        <v>0</v>
      </c>
      <c r="AM46" s="72">
        <f>'Restating Adj'!AM46+'Pro Forma Adj'!AM46</f>
        <v>0</v>
      </c>
      <c r="AN46" s="72">
        <f>'Restating Adj'!AN46+'Pro Forma Adj'!AN46</f>
        <v>0</v>
      </c>
      <c r="AO46" s="73">
        <f>'Restating Adj'!AO46+'Pro Forma Adj'!AO46</f>
        <v>0</v>
      </c>
      <c r="AP46" s="29">
        <f>'Restating Adj'!AP46+'Pro Forma Adj'!AP46</f>
        <v>0</v>
      </c>
      <c r="AQ46" s="72">
        <f>'Restating Adj'!AQ46+'Pro Forma Adj'!AQ46</f>
        <v>0</v>
      </c>
      <c r="AR46" s="72">
        <f>'Restating Adj'!AR46+'Pro Forma Adj'!AR46</f>
        <v>0</v>
      </c>
      <c r="AS46" s="72">
        <f>'Restating Adj'!AS46+'Pro Forma Adj'!AS46</f>
        <v>0</v>
      </c>
      <c r="AT46" s="72">
        <f>'Restating Adj'!AT46+'Pro Forma Adj'!AT46</f>
        <v>0</v>
      </c>
      <c r="AU46" s="73">
        <f>'Restating Adj'!AU46+'Pro Forma Adj'!AU46</f>
        <v>0</v>
      </c>
      <c r="AV46" s="29">
        <f>'Restating Adj'!AV46+'Pro Forma Adj'!AV46</f>
        <v>0</v>
      </c>
      <c r="AW46" s="73">
        <f>'Restating Adj'!AW46+'Pro Forma Adj'!AW46</f>
        <v>0</v>
      </c>
      <c r="AX46" s="259">
        <f>'Restating Adj'!AX46+'Pro Forma Adj'!AX46</f>
        <v>0</v>
      </c>
      <c r="AY46" s="29">
        <f>'Restating Adj'!AY46+'Pro Forma Adj'!AY46</f>
        <v>0</v>
      </c>
      <c r="AZ46" s="72">
        <f>'Restating Adj'!AZ46+'Pro Forma Adj'!AZ46</f>
        <v>0</v>
      </c>
      <c r="BA46" s="73">
        <f>'Restating Adj'!BA46+'Pro Forma Adj'!BA46</f>
        <v>0</v>
      </c>
      <c r="BB46" s="29">
        <f>'Restating Adj'!BB46+'Pro Forma Adj'!BB46</f>
        <v>0</v>
      </c>
      <c r="BC46" s="72">
        <f>'Restating Adj'!BC46+'Pro Forma Adj'!BC46</f>
        <v>0</v>
      </c>
      <c r="BD46" s="72">
        <f>'Restating Adj'!BD46+'Pro Forma Adj'!BD46</f>
        <v>0</v>
      </c>
      <c r="BE46" s="72">
        <f>'Restating Adj'!BE46+'Pro Forma Adj'!BE46</f>
        <v>0</v>
      </c>
      <c r="BF46" s="73">
        <f>'Restating Adj'!BF46+'Pro Forma Adj'!BF46</f>
        <v>0</v>
      </c>
    </row>
    <row r="47" spans="1:58" x14ac:dyDescent="0.2">
      <c r="A47" s="14" t="s">
        <v>77</v>
      </c>
      <c r="B47" s="28">
        <f t="shared" si="38"/>
        <v>0</v>
      </c>
      <c r="C47" s="29">
        <f>'Restating Adj'!C47+'Pro Forma Adj'!C47</f>
        <v>0</v>
      </c>
      <c r="D47" s="72">
        <f>'Restating Adj'!D47+'Pro Forma Adj'!D47</f>
        <v>0</v>
      </c>
      <c r="E47" s="72">
        <f>'Restating Adj'!E47+'Pro Forma Adj'!E47</f>
        <v>0</v>
      </c>
      <c r="F47" s="259">
        <f>'Restating Adj'!F47+'Pro Forma Adj'!F47</f>
        <v>0</v>
      </c>
      <c r="G47" s="29">
        <f>'Restating Adj'!G47+'Pro Forma Adj'!G47</f>
        <v>0</v>
      </c>
      <c r="H47" s="72">
        <f>'Restating Adj'!H47+'Pro Forma Adj'!H47</f>
        <v>0</v>
      </c>
      <c r="I47" s="72">
        <f>'Restating Adj'!I47+'Pro Forma Adj'!I47</f>
        <v>0</v>
      </c>
      <c r="J47" s="72">
        <f>'Restating Adj'!J47+'Pro Forma Adj'!J47</f>
        <v>0</v>
      </c>
      <c r="K47" s="72">
        <f>'Restating Adj'!K47+'Pro Forma Adj'!K47</f>
        <v>0</v>
      </c>
      <c r="L47" s="73">
        <f>'Restating Adj'!L47+'Pro Forma Adj'!L47</f>
        <v>0</v>
      </c>
      <c r="M47" s="29">
        <f>'Restating Adj'!M47+'Pro Forma Adj'!M47</f>
        <v>0</v>
      </c>
      <c r="N47" s="72">
        <f>'Restating Adj'!N47+'Pro Forma Adj'!N47</f>
        <v>0</v>
      </c>
      <c r="O47" s="72">
        <f>'Restating Adj'!O47+'Pro Forma Adj'!O47</f>
        <v>0</v>
      </c>
      <c r="P47" s="72">
        <f>'Restating Adj'!P47+'Pro Forma Adj'!P47</f>
        <v>0</v>
      </c>
      <c r="Q47" s="72">
        <f>'Restating Adj'!Q47+'Pro Forma Adj'!Q47</f>
        <v>0</v>
      </c>
      <c r="R47" s="73">
        <f>'Restating Adj'!R47+'Pro Forma Adj'!R47</f>
        <v>0</v>
      </c>
      <c r="S47" s="29">
        <f>'Restating Adj'!S47+'Pro Forma Adj'!S47</f>
        <v>0</v>
      </c>
      <c r="T47" s="72">
        <f>'Restating Adj'!T47+'Pro Forma Adj'!T47</f>
        <v>0</v>
      </c>
      <c r="U47" s="72">
        <f>'Restating Adj'!U47+'Pro Forma Adj'!U47</f>
        <v>0</v>
      </c>
      <c r="V47" s="72">
        <f>'Restating Adj'!V47+'Pro Forma Adj'!V47</f>
        <v>0</v>
      </c>
      <c r="W47" s="73">
        <f>'Restating Adj'!W47+'Pro Forma Adj'!W47</f>
        <v>0</v>
      </c>
      <c r="X47" s="259">
        <f>'Restating Adj'!X47+'Pro Forma Adj'!X47</f>
        <v>0</v>
      </c>
      <c r="Y47" s="29">
        <f>'Restating Adj'!Y47+'Pro Forma Adj'!Y47</f>
        <v>0</v>
      </c>
      <c r="Z47" s="72">
        <f>'Restating Adj'!Z47+'Pro Forma Adj'!Z47</f>
        <v>0</v>
      </c>
      <c r="AA47" s="72">
        <f>'Restating Adj'!AA47+'Pro Forma Adj'!AA47</f>
        <v>0</v>
      </c>
      <c r="AB47" s="29">
        <f>'Restating Adj'!AB47+'Pro Forma Adj'!AB47</f>
        <v>0</v>
      </c>
      <c r="AC47" s="73">
        <f>'Restating Adj'!AC47+'Pro Forma Adj'!AC47</f>
        <v>0</v>
      </c>
      <c r="AD47" s="29">
        <f>'Restating Adj'!AD47+'Pro Forma Adj'!AD47</f>
        <v>0</v>
      </c>
      <c r="AE47" s="72">
        <f>'Restating Adj'!AE47+'Pro Forma Adj'!AE47</f>
        <v>0</v>
      </c>
      <c r="AF47" s="72">
        <f>'Restating Adj'!AF47+'Pro Forma Adj'!AF47</f>
        <v>0</v>
      </c>
      <c r="AG47" s="72">
        <f>'Restating Adj'!AG47+'Pro Forma Adj'!AG47</f>
        <v>0</v>
      </c>
      <c r="AH47" s="72">
        <f>'Restating Adj'!AH47+'Pro Forma Adj'!AH47</f>
        <v>0</v>
      </c>
      <c r="AI47" s="73">
        <f>'Restating Adj'!AI47+'Pro Forma Adj'!AI47</f>
        <v>0</v>
      </c>
      <c r="AJ47" s="29">
        <f>'Restating Adj'!AJ47+'Pro Forma Adj'!AJ47</f>
        <v>0</v>
      </c>
      <c r="AK47" s="72">
        <f>'Restating Adj'!AK47+'Pro Forma Adj'!AK47</f>
        <v>0</v>
      </c>
      <c r="AL47" s="29">
        <f>'Restating Adj'!AL47+'Pro Forma Adj'!AL47</f>
        <v>0</v>
      </c>
      <c r="AM47" s="72">
        <f>'Restating Adj'!AM47+'Pro Forma Adj'!AM47</f>
        <v>0</v>
      </c>
      <c r="AN47" s="72">
        <f>'Restating Adj'!AN47+'Pro Forma Adj'!AN47</f>
        <v>0</v>
      </c>
      <c r="AO47" s="73">
        <f>'Restating Adj'!AO47+'Pro Forma Adj'!AO47</f>
        <v>0</v>
      </c>
      <c r="AP47" s="29">
        <f>'Restating Adj'!AP47+'Pro Forma Adj'!AP47</f>
        <v>0</v>
      </c>
      <c r="AQ47" s="72">
        <f>'Restating Adj'!AQ47+'Pro Forma Adj'!AQ47</f>
        <v>0</v>
      </c>
      <c r="AR47" s="72">
        <f>'Restating Adj'!AR47+'Pro Forma Adj'!AR47</f>
        <v>0</v>
      </c>
      <c r="AS47" s="72">
        <f>'Restating Adj'!AS47+'Pro Forma Adj'!AS47</f>
        <v>0</v>
      </c>
      <c r="AT47" s="72">
        <f>'Restating Adj'!AT47+'Pro Forma Adj'!AT47</f>
        <v>0</v>
      </c>
      <c r="AU47" s="73">
        <f>'Restating Adj'!AU47+'Pro Forma Adj'!AU47</f>
        <v>0</v>
      </c>
      <c r="AV47" s="29">
        <f>'Restating Adj'!AV47+'Pro Forma Adj'!AV47</f>
        <v>0</v>
      </c>
      <c r="AW47" s="73">
        <f>'Restating Adj'!AW47+'Pro Forma Adj'!AW47</f>
        <v>0</v>
      </c>
      <c r="AX47" s="259">
        <f>'Restating Adj'!AX47+'Pro Forma Adj'!AX47</f>
        <v>0</v>
      </c>
      <c r="AY47" s="29">
        <f>'Restating Adj'!AY47+'Pro Forma Adj'!AY47</f>
        <v>0</v>
      </c>
      <c r="AZ47" s="72">
        <f>'Restating Adj'!AZ47+'Pro Forma Adj'!AZ47</f>
        <v>0</v>
      </c>
      <c r="BA47" s="73">
        <f>'Restating Adj'!BA47+'Pro Forma Adj'!BA47</f>
        <v>0</v>
      </c>
      <c r="BB47" s="29">
        <f>'Restating Adj'!BB47+'Pro Forma Adj'!BB47</f>
        <v>0</v>
      </c>
      <c r="BC47" s="72">
        <f>'Restating Adj'!BC47+'Pro Forma Adj'!BC47</f>
        <v>0</v>
      </c>
      <c r="BD47" s="72">
        <f>'Restating Adj'!BD47+'Pro Forma Adj'!BD47</f>
        <v>0</v>
      </c>
      <c r="BE47" s="72">
        <f>'Restating Adj'!BE47+'Pro Forma Adj'!BE47</f>
        <v>0</v>
      </c>
      <c r="BF47" s="73">
        <f>'Restating Adj'!BF47+'Pro Forma Adj'!BF47</f>
        <v>0</v>
      </c>
    </row>
    <row r="48" spans="1:58" x14ac:dyDescent="0.2">
      <c r="A48" s="14" t="s">
        <v>78</v>
      </c>
      <c r="B48" s="28">
        <f t="shared" si="38"/>
        <v>-3284761.1438008333</v>
      </c>
      <c r="C48" s="29">
        <f>'Restating Adj'!C48+'Pro Forma Adj'!C48</f>
        <v>0</v>
      </c>
      <c r="D48" s="72">
        <f>'Restating Adj'!D48+'Pro Forma Adj'!D48</f>
        <v>0</v>
      </c>
      <c r="E48" s="72">
        <f>'Restating Adj'!E48+'Pro Forma Adj'!E48</f>
        <v>0</v>
      </c>
      <c r="F48" s="259">
        <f>'Restating Adj'!F48+'Pro Forma Adj'!F48</f>
        <v>0</v>
      </c>
      <c r="G48" s="29">
        <f>'Restating Adj'!G48+'Pro Forma Adj'!G48</f>
        <v>0</v>
      </c>
      <c r="H48" s="72">
        <f>'Restating Adj'!H48+'Pro Forma Adj'!H48</f>
        <v>0</v>
      </c>
      <c r="I48" s="72">
        <f>'Restating Adj'!I48+'Pro Forma Adj'!I48</f>
        <v>0</v>
      </c>
      <c r="J48" s="72">
        <f>'Restating Adj'!J48+'Pro Forma Adj'!J48</f>
        <v>0</v>
      </c>
      <c r="K48" s="72">
        <f>'Restating Adj'!K48+'Pro Forma Adj'!K48</f>
        <v>0</v>
      </c>
      <c r="L48" s="73">
        <f>'Restating Adj'!L48+'Pro Forma Adj'!L48</f>
        <v>0</v>
      </c>
      <c r="M48" s="29">
        <f>'Restating Adj'!M48+'Pro Forma Adj'!M48</f>
        <v>0</v>
      </c>
      <c r="N48" s="72">
        <f>'Restating Adj'!N48+'Pro Forma Adj'!N48</f>
        <v>0</v>
      </c>
      <c r="O48" s="72">
        <f>'Restating Adj'!O48+'Pro Forma Adj'!O48</f>
        <v>0</v>
      </c>
      <c r="P48" s="72">
        <f>'Restating Adj'!P48+'Pro Forma Adj'!P48</f>
        <v>0</v>
      </c>
      <c r="Q48" s="72">
        <f>'Restating Adj'!Q48+'Pro Forma Adj'!Q48</f>
        <v>0</v>
      </c>
      <c r="R48" s="73">
        <f>'Restating Adj'!R48+'Pro Forma Adj'!R48</f>
        <v>0</v>
      </c>
      <c r="S48" s="29">
        <f>'Restating Adj'!S48+'Pro Forma Adj'!S48</f>
        <v>0</v>
      </c>
      <c r="T48" s="72">
        <f>'Restating Adj'!T48+'Pro Forma Adj'!T48</f>
        <v>0</v>
      </c>
      <c r="U48" s="72">
        <f>'Restating Adj'!U48+'Pro Forma Adj'!U48</f>
        <v>0</v>
      </c>
      <c r="V48" s="72">
        <f>'Restating Adj'!V48+'Pro Forma Adj'!V48</f>
        <v>0</v>
      </c>
      <c r="W48" s="73">
        <f>'Restating Adj'!W48+'Pro Forma Adj'!W48</f>
        <v>0</v>
      </c>
      <c r="X48" s="259">
        <f>'Restating Adj'!X48+'Pro Forma Adj'!X48</f>
        <v>0</v>
      </c>
      <c r="Y48" s="29">
        <f>'Restating Adj'!Y48+'Pro Forma Adj'!Y48</f>
        <v>0</v>
      </c>
      <c r="Z48" s="72">
        <f>'Restating Adj'!Z48+'Pro Forma Adj'!Z48</f>
        <v>0</v>
      </c>
      <c r="AA48" s="72">
        <f>'Restating Adj'!AA48+'Pro Forma Adj'!AA48</f>
        <v>0</v>
      </c>
      <c r="AB48" s="29">
        <f>'Restating Adj'!AB48+'Pro Forma Adj'!AB48</f>
        <v>0</v>
      </c>
      <c r="AC48" s="73">
        <f>'Restating Adj'!AC48+'Pro Forma Adj'!AC48</f>
        <v>0</v>
      </c>
      <c r="AD48" s="29">
        <f>'Restating Adj'!AD48+'Pro Forma Adj'!AD48</f>
        <v>0</v>
      </c>
      <c r="AE48" s="72">
        <f>'Restating Adj'!AE48+'Pro Forma Adj'!AE48</f>
        <v>0</v>
      </c>
      <c r="AF48" s="72">
        <f>'Restating Adj'!AF48+'Pro Forma Adj'!AF48</f>
        <v>0</v>
      </c>
      <c r="AG48" s="72">
        <f>'Restating Adj'!AG48+'Pro Forma Adj'!AG48</f>
        <v>0</v>
      </c>
      <c r="AH48" s="72">
        <f>'Restating Adj'!AH48+'Pro Forma Adj'!AH48</f>
        <v>0</v>
      </c>
      <c r="AI48" s="73">
        <f>'Restating Adj'!AI48+'Pro Forma Adj'!AI48</f>
        <v>0</v>
      </c>
      <c r="AJ48" s="29">
        <f>'Restating Adj'!AJ48+'Pro Forma Adj'!AJ48</f>
        <v>0</v>
      </c>
      <c r="AK48" s="72">
        <f>'Restating Adj'!AK48+'Pro Forma Adj'!AK48</f>
        <v>0</v>
      </c>
      <c r="AL48" s="29">
        <f>'Restating Adj'!AL48+'Pro Forma Adj'!AL48</f>
        <v>0</v>
      </c>
      <c r="AM48" s="72">
        <f>'Restating Adj'!AM48+'Pro Forma Adj'!AM48</f>
        <v>0</v>
      </c>
      <c r="AN48" s="72">
        <f>'Restating Adj'!AN48+'Pro Forma Adj'!AN48</f>
        <v>0</v>
      </c>
      <c r="AO48" s="73">
        <f>'Restating Adj'!AO48+'Pro Forma Adj'!AO48</f>
        <v>0</v>
      </c>
      <c r="AP48" s="29">
        <f>'Restating Adj'!AP48+'Pro Forma Adj'!AP48</f>
        <v>-3284761.1438008333</v>
      </c>
      <c r="AQ48" s="72">
        <f>'Restating Adj'!AQ48+'Pro Forma Adj'!AQ48</f>
        <v>0</v>
      </c>
      <c r="AR48" s="72">
        <f>'Restating Adj'!AR48+'Pro Forma Adj'!AR48</f>
        <v>0</v>
      </c>
      <c r="AS48" s="72">
        <f>'Restating Adj'!AS48+'Pro Forma Adj'!AS48</f>
        <v>0</v>
      </c>
      <c r="AT48" s="72">
        <f>'Restating Adj'!AT48+'Pro Forma Adj'!AT48</f>
        <v>0</v>
      </c>
      <c r="AU48" s="73">
        <f>'Restating Adj'!AU48+'Pro Forma Adj'!AU48</f>
        <v>0</v>
      </c>
      <c r="AV48" s="29">
        <f>'Restating Adj'!AV48+'Pro Forma Adj'!AV48</f>
        <v>0</v>
      </c>
      <c r="AW48" s="73">
        <f>'Restating Adj'!AW48+'Pro Forma Adj'!AW48</f>
        <v>0</v>
      </c>
      <c r="AX48" s="259">
        <f>'Restating Adj'!AX48+'Pro Forma Adj'!AX48</f>
        <v>0</v>
      </c>
      <c r="AY48" s="29">
        <f>'Restating Adj'!AY48+'Pro Forma Adj'!AY48</f>
        <v>0</v>
      </c>
      <c r="AZ48" s="72">
        <f>'Restating Adj'!AZ48+'Pro Forma Adj'!AZ48</f>
        <v>0</v>
      </c>
      <c r="BA48" s="73">
        <f>'Restating Adj'!BA48+'Pro Forma Adj'!BA48</f>
        <v>0</v>
      </c>
      <c r="BB48" s="29">
        <f>'Restating Adj'!BB48+'Pro Forma Adj'!BB48</f>
        <v>0</v>
      </c>
      <c r="BC48" s="72">
        <f>'Restating Adj'!BC48+'Pro Forma Adj'!BC48</f>
        <v>0</v>
      </c>
      <c r="BD48" s="72">
        <f>'Restating Adj'!BD48+'Pro Forma Adj'!BD48</f>
        <v>0</v>
      </c>
      <c r="BE48" s="72">
        <f>'Restating Adj'!BE48+'Pro Forma Adj'!BE48</f>
        <v>0</v>
      </c>
      <c r="BF48" s="73">
        <f>'Restating Adj'!BF48+'Pro Forma Adj'!BF48</f>
        <v>0</v>
      </c>
    </row>
    <row r="49" spans="1:58" x14ac:dyDescent="0.2">
      <c r="A49" s="14" t="s">
        <v>79</v>
      </c>
      <c r="B49" s="28">
        <f t="shared" si="38"/>
        <v>-9196314.6827737149</v>
      </c>
      <c r="C49" s="29">
        <f>'Restating Adj'!C49+'Pro Forma Adj'!C49</f>
        <v>0</v>
      </c>
      <c r="D49" s="72">
        <f>'Restating Adj'!D49+'Pro Forma Adj'!D49</f>
        <v>0</v>
      </c>
      <c r="E49" s="72">
        <f>'Restating Adj'!E49+'Pro Forma Adj'!E49</f>
        <v>0</v>
      </c>
      <c r="F49" s="259">
        <f>'Restating Adj'!F49+'Pro Forma Adj'!F49</f>
        <v>0</v>
      </c>
      <c r="G49" s="29">
        <f>'Restating Adj'!G49+'Pro Forma Adj'!G49</f>
        <v>0</v>
      </c>
      <c r="H49" s="72">
        <f>'Restating Adj'!H49+'Pro Forma Adj'!H49</f>
        <v>0</v>
      </c>
      <c r="I49" s="72">
        <f>'Restating Adj'!I49+'Pro Forma Adj'!I49</f>
        <v>0</v>
      </c>
      <c r="J49" s="72">
        <f>'Restating Adj'!J49+'Pro Forma Adj'!J49</f>
        <v>0</v>
      </c>
      <c r="K49" s="72">
        <f>'Restating Adj'!K49+'Pro Forma Adj'!K49</f>
        <v>0</v>
      </c>
      <c r="L49" s="73">
        <f>'Restating Adj'!L49+'Pro Forma Adj'!L49</f>
        <v>0</v>
      </c>
      <c r="M49" s="29">
        <f>'Restating Adj'!M49+'Pro Forma Adj'!M49</f>
        <v>0</v>
      </c>
      <c r="N49" s="72">
        <f>'Restating Adj'!N49+'Pro Forma Adj'!N49</f>
        <v>0</v>
      </c>
      <c r="O49" s="72">
        <f>'Restating Adj'!O49+'Pro Forma Adj'!O49</f>
        <v>0</v>
      </c>
      <c r="P49" s="72">
        <f>'Restating Adj'!P49+'Pro Forma Adj'!P49</f>
        <v>0</v>
      </c>
      <c r="Q49" s="72">
        <f>'Restating Adj'!Q49+'Pro Forma Adj'!Q49</f>
        <v>0</v>
      </c>
      <c r="R49" s="73">
        <f>'Restating Adj'!R49+'Pro Forma Adj'!R49</f>
        <v>0</v>
      </c>
      <c r="S49" s="29">
        <f>'Restating Adj'!S49+'Pro Forma Adj'!S49</f>
        <v>0</v>
      </c>
      <c r="T49" s="72">
        <f>'Restating Adj'!T49+'Pro Forma Adj'!T49</f>
        <v>0</v>
      </c>
      <c r="U49" s="72">
        <f>'Restating Adj'!U49+'Pro Forma Adj'!U49</f>
        <v>0</v>
      </c>
      <c r="V49" s="72">
        <f>'Restating Adj'!V49+'Pro Forma Adj'!V49</f>
        <v>0</v>
      </c>
      <c r="W49" s="73">
        <f>'Restating Adj'!W49+'Pro Forma Adj'!W49</f>
        <v>0</v>
      </c>
      <c r="X49" s="259">
        <f>'Restating Adj'!X49+'Pro Forma Adj'!X49</f>
        <v>0</v>
      </c>
      <c r="Y49" s="29">
        <f>'Restating Adj'!Y49+'Pro Forma Adj'!Y49</f>
        <v>0</v>
      </c>
      <c r="Z49" s="72">
        <f>'Restating Adj'!Z49+'Pro Forma Adj'!Z49</f>
        <v>0</v>
      </c>
      <c r="AA49" s="72">
        <f>'Restating Adj'!AA49+'Pro Forma Adj'!AA49</f>
        <v>0</v>
      </c>
      <c r="AB49" s="29">
        <f>'Restating Adj'!AB49+'Pro Forma Adj'!AB49</f>
        <v>0</v>
      </c>
      <c r="AC49" s="73">
        <f>'Restating Adj'!AC49+'Pro Forma Adj'!AC49</f>
        <v>0</v>
      </c>
      <c r="AD49" s="29">
        <f>'Restating Adj'!AD49+'Pro Forma Adj'!AD49</f>
        <v>0</v>
      </c>
      <c r="AE49" s="72">
        <f>'Restating Adj'!AE49+'Pro Forma Adj'!AE49</f>
        <v>0</v>
      </c>
      <c r="AF49" s="72">
        <f>'Restating Adj'!AF49+'Pro Forma Adj'!AF49</f>
        <v>0</v>
      </c>
      <c r="AG49" s="72">
        <f>'Restating Adj'!AG49+'Pro Forma Adj'!AG49</f>
        <v>0</v>
      </c>
      <c r="AH49" s="72">
        <f>'Restating Adj'!AH49+'Pro Forma Adj'!AH49</f>
        <v>0</v>
      </c>
      <c r="AI49" s="73">
        <f>'Restating Adj'!AI49+'Pro Forma Adj'!AI49</f>
        <v>0</v>
      </c>
      <c r="AJ49" s="29">
        <f>'Restating Adj'!AJ49+'Pro Forma Adj'!AJ49</f>
        <v>0</v>
      </c>
      <c r="AK49" s="72">
        <f>'Restating Adj'!AK49+'Pro Forma Adj'!AK49</f>
        <v>0</v>
      </c>
      <c r="AL49" s="29">
        <f>'Restating Adj'!AL49+'Pro Forma Adj'!AL49</f>
        <v>0</v>
      </c>
      <c r="AM49" s="72">
        <f>'Restating Adj'!AM49+'Pro Forma Adj'!AM49</f>
        <v>0</v>
      </c>
      <c r="AN49" s="72">
        <f>'Restating Adj'!AN49+'Pro Forma Adj'!AN49</f>
        <v>0</v>
      </c>
      <c r="AO49" s="73">
        <f>'Restating Adj'!AO49+'Pro Forma Adj'!AO49</f>
        <v>0</v>
      </c>
      <c r="AP49" s="29">
        <f>'Restating Adj'!AP49+'Pro Forma Adj'!AP49</f>
        <v>-9196314.6827737149</v>
      </c>
      <c r="AQ49" s="72">
        <f>'Restating Adj'!AQ49+'Pro Forma Adj'!AQ49</f>
        <v>0</v>
      </c>
      <c r="AR49" s="72">
        <f>'Restating Adj'!AR49+'Pro Forma Adj'!AR49</f>
        <v>0</v>
      </c>
      <c r="AS49" s="72">
        <f>'Restating Adj'!AS49+'Pro Forma Adj'!AS49</f>
        <v>0</v>
      </c>
      <c r="AT49" s="72">
        <f>'Restating Adj'!AT49+'Pro Forma Adj'!AT49</f>
        <v>0</v>
      </c>
      <c r="AU49" s="73">
        <f>'Restating Adj'!AU49+'Pro Forma Adj'!AU49</f>
        <v>0</v>
      </c>
      <c r="AV49" s="29">
        <f>'Restating Adj'!AV49+'Pro Forma Adj'!AV49</f>
        <v>0</v>
      </c>
      <c r="AW49" s="73">
        <f>'Restating Adj'!AW49+'Pro Forma Adj'!AW49</f>
        <v>0</v>
      </c>
      <c r="AX49" s="259">
        <f>'Restating Adj'!AX49+'Pro Forma Adj'!AX49</f>
        <v>0</v>
      </c>
      <c r="AY49" s="29">
        <f>'Restating Adj'!AY49+'Pro Forma Adj'!AY49</f>
        <v>0</v>
      </c>
      <c r="AZ49" s="72">
        <f>'Restating Adj'!AZ49+'Pro Forma Adj'!AZ49</f>
        <v>0</v>
      </c>
      <c r="BA49" s="73">
        <f>'Restating Adj'!BA49+'Pro Forma Adj'!BA49</f>
        <v>0</v>
      </c>
      <c r="BB49" s="29">
        <f>'Restating Adj'!BB49+'Pro Forma Adj'!BB49</f>
        <v>0</v>
      </c>
      <c r="BC49" s="72">
        <f>'Restating Adj'!BC49+'Pro Forma Adj'!BC49</f>
        <v>0</v>
      </c>
      <c r="BD49" s="72">
        <f>'Restating Adj'!BD49+'Pro Forma Adj'!BD49</f>
        <v>0</v>
      </c>
      <c r="BE49" s="72">
        <f>'Restating Adj'!BE49+'Pro Forma Adj'!BE49</f>
        <v>0</v>
      </c>
      <c r="BF49" s="73">
        <f>'Restating Adj'!BF49+'Pro Forma Adj'!BF49</f>
        <v>0</v>
      </c>
    </row>
    <row r="50" spans="1:58" x14ac:dyDescent="0.2">
      <c r="A50" s="14" t="s">
        <v>80</v>
      </c>
      <c r="B50" s="28">
        <f t="shared" si="38"/>
        <v>-12260466.638721503</v>
      </c>
      <c r="C50" s="29">
        <f>'Restating Adj'!C50+'Pro Forma Adj'!C50</f>
        <v>0</v>
      </c>
      <c r="D50" s="72">
        <f>'Restating Adj'!D50+'Pro Forma Adj'!D50</f>
        <v>0</v>
      </c>
      <c r="E50" s="72">
        <f>'Restating Adj'!E50+'Pro Forma Adj'!E50</f>
        <v>0</v>
      </c>
      <c r="F50" s="259">
        <f>'Restating Adj'!F50+'Pro Forma Adj'!F50</f>
        <v>0</v>
      </c>
      <c r="G50" s="29">
        <f>'Restating Adj'!G50+'Pro Forma Adj'!G50</f>
        <v>0</v>
      </c>
      <c r="H50" s="72">
        <f>'Restating Adj'!H50+'Pro Forma Adj'!H50</f>
        <v>0</v>
      </c>
      <c r="I50" s="72">
        <f>'Restating Adj'!I50+'Pro Forma Adj'!I50</f>
        <v>0</v>
      </c>
      <c r="J50" s="72">
        <f>'Restating Adj'!J50+'Pro Forma Adj'!J50</f>
        <v>0</v>
      </c>
      <c r="K50" s="72">
        <f>'Restating Adj'!K50+'Pro Forma Adj'!K50</f>
        <v>0</v>
      </c>
      <c r="L50" s="73">
        <f>'Restating Adj'!L50+'Pro Forma Adj'!L50</f>
        <v>0</v>
      </c>
      <c r="M50" s="29">
        <f>'Restating Adj'!M50+'Pro Forma Adj'!M50</f>
        <v>0</v>
      </c>
      <c r="N50" s="72">
        <f>'Restating Adj'!N50+'Pro Forma Adj'!N50</f>
        <v>0</v>
      </c>
      <c r="O50" s="72">
        <f>'Restating Adj'!O50+'Pro Forma Adj'!O50</f>
        <v>0</v>
      </c>
      <c r="P50" s="72">
        <f>'Restating Adj'!P50+'Pro Forma Adj'!P50</f>
        <v>0</v>
      </c>
      <c r="Q50" s="72">
        <f>'Restating Adj'!Q50+'Pro Forma Adj'!Q50</f>
        <v>0</v>
      </c>
      <c r="R50" s="73">
        <f>'Restating Adj'!R50+'Pro Forma Adj'!R50</f>
        <v>0</v>
      </c>
      <c r="S50" s="29">
        <f>'Restating Adj'!S50+'Pro Forma Adj'!S50</f>
        <v>0</v>
      </c>
      <c r="T50" s="72">
        <f>'Restating Adj'!T50+'Pro Forma Adj'!T50</f>
        <v>0</v>
      </c>
      <c r="U50" s="72">
        <f>'Restating Adj'!U50+'Pro Forma Adj'!U50</f>
        <v>0</v>
      </c>
      <c r="V50" s="72">
        <f>'Restating Adj'!V50+'Pro Forma Adj'!V50</f>
        <v>0</v>
      </c>
      <c r="W50" s="73">
        <f>'Restating Adj'!W50+'Pro Forma Adj'!W50</f>
        <v>0</v>
      </c>
      <c r="X50" s="259">
        <f>'Restating Adj'!X50+'Pro Forma Adj'!X50</f>
        <v>0</v>
      </c>
      <c r="Y50" s="29">
        <f>'Restating Adj'!Y50+'Pro Forma Adj'!Y50</f>
        <v>0</v>
      </c>
      <c r="Z50" s="72">
        <f>'Restating Adj'!Z50+'Pro Forma Adj'!Z50</f>
        <v>0</v>
      </c>
      <c r="AA50" s="72">
        <f>'Restating Adj'!AA50+'Pro Forma Adj'!AA50</f>
        <v>0</v>
      </c>
      <c r="AB50" s="29">
        <f>'Restating Adj'!AB50+'Pro Forma Adj'!AB50</f>
        <v>0</v>
      </c>
      <c r="AC50" s="73">
        <f>'Restating Adj'!AC50+'Pro Forma Adj'!AC50</f>
        <v>0</v>
      </c>
      <c r="AD50" s="29">
        <f>'Restating Adj'!AD50+'Pro Forma Adj'!AD50</f>
        <v>0</v>
      </c>
      <c r="AE50" s="72">
        <f>'Restating Adj'!AE50+'Pro Forma Adj'!AE50</f>
        <v>0</v>
      </c>
      <c r="AF50" s="72">
        <f>'Restating Adj'!AF50+'Pro Forma Adj'!AF50</f>
        <v>0</v>
      </c>
      <c r="AG50" s="72">
        <f>'Restating Adj'!AG50+'Pro Forma Adj'!AG50</f>
        <v>0</v>
      </c>
      <c r="AH50" s="72">
        <f>'Restating Adj'!AH50+'Pro Forma Adj'!AH50</f>
        <v>0</v>
      </c>
      <c r="AI50" s="73">
        <f>'Restating Adj'!AI50+'Pro Forma Adj'!AI50</f>
        <v>0</v>
      </c>
      <c r="AJ50" s="29">
        <f>'Restating Adj'!AJ50+'Pro Forma Adj'!AJ50</f>
        <v>0</v>
      </c>
      <c r="AK50" s="72">
        <f>'Restating Adj'!AK50+'Pro Forma Adj'!AK50</f>
        <v>0</v>
      </c>
      <c r="AL50" s="29">
        <f>'Restating Adj'!AL50+'Pro Forma Adj'!AL50</f>
        <v>0</v>
      </c>
      <c r="AM50" s="72">
        <f>'Restating Adj'!AM50+'Pro Forma Adj'!AM50</f>
        <v>0</v>
      </c>
      <c r="AN50" s="72">
        <f>'Restating Adj'!AN50+'Pro Forma Adj'!AN50</f>
        <v>0</v>
      </c>
      <c r="AO50" s="73">
        <f>'Restating Adj'!AO50+'Pro Forma Adj'!AO50</f>
        <v>0</v>
      </c>
      <c r="AP50" s="29">
        <f>'Restating Adj'!AP50+'Pro Forma Adj'!AP50</f>
        <v>-12260466.638721503</v>
      </c>
      <c r="AQ50" s="72">
        <f>'Restating Adj'!AQ50+'Pro Forma Adj'!AQ50</f>
        <v>0</v>
      </c>
      <c r="AR50" s="72">
        <f>'Restating Adj'!AR50+'Pro Forma Adj'!AR50</f>
        <v>0</v>
      </c>
      <c r="AS50" s="72">
        <f>'Restating Adj'!AS50+'Pro Forma Adj'!AS50</f>
        <v>0</v>
      </c>
      <c r="AT50" s="72">
        <f>'Restating Adj'!AT50+'Pro Forma Adj'!AT50</f>
        <v>0</v>
      </c>
      <c r="AU50" s="73">
        <f>'Restating Adj'!AU50+'Pro Forma Adj'!AU50</f>
        <v>0</v>
      </c>
      <c r="AV50" s="29">
        <f>'Restating Adj'!AV50+'Pro Forma Adj'!AV50</f>
        <v>0</v>
      </c>
      <c r="AW50" s="73">
        <f>'Restating Adj'!AW50+'Pro Forma Adj'!AW50</f>
        <v>0</v>
      </c>
      <c r="AX50" s="259">
        <f>'Restating Adj'!AX50+'Pro Forma Adj'!AX50</f>
        <v>0</v>
      </c>
      <c r="AY50" s="29">
        <f>'Restating Adj'!AY50+'Pro Forma Adj'!AY50</f>
        <v>0</v>
      </c>
      <c r="AZ50" s="72">
        <f>'Restating Adj'!AZ50+'Pro Forma Adj'!AZ50</f>
        <v>0</v>
      </c>
      <c r="BA50" s="73">
        <f>'Restating Adj'!BA50+'Pro Forma Adj'!BA50</f>
        <v>0</v>
      </c>
      <c r="BB50" s="29">
        <f>'Restating Adj'!BB50+'Pro Forma Adj'!BB50</f>
        <v>0</v>
      </c>
      <c r="BC50" s="72">
        <f>'Restating Adj'!BC50+'Pro Forma Adj'!BC50</f>
        <v>0</v>
      </c>
      <c r="BD50" s="72">
        <f>'Restating Adj'!BD50+'Pro Forma Adj'!BD50</f>
        <v>0</v>
      </c>
      <c r="BE50" s="72">
        <f>'Restating Adj'!BE50+'Pro Forma Adj'!BE50</f>
        <v>0</v>
      </c>
      <c r="BF50" s="73">
        <f>'Restating Adj'!BF50+'Pro Forma Adj'!BF50</f>
        <v>0</v>
      </c>
    </row>
    <row r="51" spans="1:58" x14ac:dyDescent="0.2">
      <c r="A51" s="14" t="s">
        <v>81</v>
      </c>
      <c r="B51" s="28">
        <f t="shared" si="38"/>
        <v>27126509.002465546</v>
      </c>
      <c r="C51" s="29">
        <f>'Restating Adj'!C51+'Pro Forma Adj'!C51</f>
        <v>0</v>
      </c>
      <c r="D51" s="72">
        <f>'Restating Adj'!D51+'Pro Forma Adj'!D51</f>
        <v>0</v>
      </c>
      <c r="E51" s="72">
        <f>'Restating Adj'!E51+'Pro Forma Adj'!E51</f>
        <v>0</v>
      </c>
      <c r="F51" s="259">
        <f>'Restating Adj'!F51+'Pro Forma Adj'!F51</f>
        <v>0</v>
      </c>
      <c r="G51" s="29">
        <f>'Restating Adj'!G51+'Pro Forma Adj'!G51</f>
        <v>0</v>
      </c>
      <c r="H51" s="72">
        <f>'Restating Adj'!H51+'Pro Forma Adj'!H51</f>
        <v>0</v>
      </c>
      <c r="I51" s="72">
        <f>'Restating Adj'!I51+'Pro Forma Adj'!I51</f>
        <v>0</v>
      </c>
      <c r="J51" s="72">
        <f>'Restating Adj'!J51+'Pro Forma Adj'!J51</f>
        <v>0</v>
      </c>
      <c r="K51" s="72">
        <f>'Restating Adj'!K51+'Pro Forma Adj'!K51</f>
        <v>0</v>
      </c>
      <c r="L51" s="73">
        <f>'Restating Adj'!L51+'Pro Forma Adj'!L51</f>
        <v>0</v>
      </c>
      <c r="M51" s="29">
        <f>'Restating Adj'!M51+'Pro Forma Adj'!M51</f>
        <v>0</v>
      </c>
      <c r="N51" s="72">
        <f>'Restating Adj'!N51+'Pro Forma Adj'!N51</f>
        <v>0</v>
      </c>
      <c r="O51" s="72">
        <f>'Restating Adj'!O51+'Pro Forma Adj'!O51</f>
        <v>0</v>
      </c>
      <c r="P51" s="72">
        <f>'Restating Adj'!P51+'Pro Forma Adj'!P51</f>
        <v>0</v>
      </c>
      <c r="Q51" s="72">
        <f>'Restating Adj'!Q51+'Pro Forma Adj'!Q51</f>
        <v>0</v>
      </c>
      <c r="R51" s="73">
        <f>'Restating Adj'!R51+'Pro Forma Adj'!R51</f>
        <v>0</v>
      </c>
      <c r="S51" s="29">
        <f>'Restating Adj'!S51+'Pro Forma Adj'!S51</f>
        <v>0</v>
      </c>
      <c r="T51" s="72">
        <f>'Restating Adj'!T51+'Pro Forma Adj'!T51</f>
        <v>0</v>
      </c>
      <c r="U51" s="72">
        <f>'Restating Adj'!U51+'Pro Forma Adj'!U51</f>
        <v>0</v>
      </c>
      <c r="V51" s="72">
        <f>'Restating Adj'!V51+'Pro Forma Adj'!V51</f>
        <v>0</v>
      </c>
      <c r="W51" s="73">
        <f>'Restating Adj'!W51+'Pro Forma Adj'!W51</f>
        <v>0</v>
      </c>
      <c r="X51" s="259">
        <f>'Restating Adj'!X51+'Pro Forma Adj'!X51</f>
        <v>0</v>
      </c>
      <c r="Y51" s="29">
        <f>'Restating Adj'!Y51+'Pro Forma Adj'!Y51</f>
        <v>0</v>
      </c>
      <c r="Z51" s="72">
        <f>'Restating Adj'!Z51+'Pro Forma Adj'!Z51</f>
        <v>0</v>
      </c>
      <c r="AA51" s="72">
        <f>'Restating Adj'!AA51+'Pro Forma Adj'!AA51</f>
        <v>0</v>
      </c>
      <c r="AB51" s="29">
        <f>'Restating Adj'!AB51+'Pro Forma Adj'!AB51</f>
        <v>0</v>
      </c>
      <c r="AC51" s="73">
        <f>'Restating Adj'!AC51+'Pro Forma Adj'!AC51</f>
        <v>0</v>
      </c>
      <c r="AD51" s="29">
        <f>'Restating Adj'!AD51+'Pro Forma Adj'!AD51</f>
        <v>0</v>
      </c>
      <c r="AE51" s="72">
        <f>'Restating Adj'!AE51+'Pro Forma Adj'!AE51</f>
        <v>0</v>
      </c>
      <c r="AF51" s="72">
        <f>'Restating Adj'!AF51+'Pro Forma Adj'!AF51</f>
        <v>0</v>
      </c>
      <c r="AG51" s="72">
        <f>'Restating Adj'!AG51+'Pro Forma Adj'!AG51</f>
        <v>0</v>
      </c>
      <c r="AH51" s="72">
        <f>'Restating Adj'!AH51+'Pro Forma Adj'!AH51</f>
        <v>0</v>
      </c>
      <c r="AI51" s="73">
        <f>'Restating Adj'!AI51+'Pro Forma Adj'!AI51</f>
        <v>0</v>
      </c>
      <c r="AJ51" s="29">
        <f>'Restating Adj'!AJ51+'Pro Forma Adj'!AJ51</f>
        <v>0</v>
      </c>
      <c r="AK51" s="72">
        <f>'Restating Adj'!AK51+'Pro Forma Adj'!AK51</f>
        <v>0</v>
      </c>
      <c r="AL51" s="29">
        <f>'Restating Adj'!AL51+'Pro Forma Adj'!AL51</f>
        <v>0</v>
      </c>
      <c r="AM51" s="72">
        <f>'Restating Adj'!AM51+'Pro Forma Adj'!AM51</f>
        <v>0</v>
      </c>
      <c r="AN51" s="72">
        <f>'Restating Adj'!AN51+'Pro Forma Adj'!AN51</f>
        <v>0</v>
      </c>
      <c r="AO51" s="73">
        <f>'Restating Adj'!AO51+'Pro Forma Adj'!AO51</f>
        <v>0</v>
      </c>
      <c r="AP51" s="29">
        <f>'Restating Adj'!AP51+'Pro Forma Adj'!AP51</f>
        <v>-2747159.4147250163</v>
      </c>
      <c r="AQ51" s="72">
        <f>'Restating Adj'!AQ51+'Pro Forma Adj'!AQ51</f>
        <v>0</v>
      </c>
      <c r="AR51" s="72">
        <f>'Restating Adj'!AR51+'Pro Forma Adj'!AR51</f>
        <v>29873668.417190563</v>
      </c>
      <c r="AS51" s="72">
        <f>'Restating Adj'!AS51+'Pro Forma Adj'!AS51</f>
        <v>0</v>
      </c>
      <c r="AT51" s="72">
        <f>'Restating Adj'!AT51+'Pro Forma Adj'!AT51</f>
        <v>0</v>
      </c>
      <c r="AU51" s="73">
        <f>'Restating Adj'!AU51+'Pro Forma Adj'!AU51</f>
        <v>0</v>
      </c>
      <c r="AV51" s="29">
        <f>'Restating Adj'!AV51+'Pro Forma Adj'!AV51</f>
        <v>0</v>
      </c>
      <c r="AW51" s="73">
        <f>'Restating Adj'!AW51+'Pro Forma Adj'!AW51</f>
        <v>0</v>
      </c>
      <c r="AX51" s="259">
        <f>'Restating Adj'!AX51+'Pro Forma Adj'!AX51</f>
        <v>0</v>
      </c>
      <c r="AY51" s="29">
        <f>'Restating Adj'!AY51+'Pro Forma Adj'!AY51</f>
        <v>0</v>
      </c>
      <c r="AZ51" s="72">
        <f>'Restating Adj'!AZ51+'Pro Forma Adj'!AZ51</f>
        <v>0</v>
      </c>
      <c r="BA51" s="73">
        <f>'Restating Adj'!BA51+'Pro Forma Adj'!BA51</f>
        <v>0</v>
      </c>
      <c r="BB51" s="29">
        <f>'Restating Adj'!BB51+'Pro Forma Adj'!BB51</f>
        <v>0</v>
      </c>
      <c r="BC51" s="72">
        <f>'Restating Adj'!BC51+'Pro Forma Adj'!BC51</f>
        <v>0</v>
      </c>
      <c r="BD51" s="72">
        <f>'Restating Adj'!BD51+'Pro Forma Adj'!BD51</f>
        <v>0</v>
      </c>
      <c r="BE51" s="72">
        <f>'Restating Adj'!BE51+'Pro Forma Adj'!BE51</f>
        <v>0</v>
      </c>
      <c r="BF51" s="73">
        <f>'Restating Adj'!BF51+'Pro Forma Adj'!BF51</f>
        <v>0</v>
      </c>
    </row>
    <row r="52" spans="1:58" x14ac:dyDescent="0.2">
      <c r="A52" s="14" t="s">
        <v>82</v>
      </c>
      <c r="B52" s="28">
        <f t="shared" si="38"/>
        <v>0</v>
      </c>
      <c r="C52" s="29">
        <f>'Restating Adj'!C52+'Pro Forma Adj'!C52</f>
        <v>0</v>
      </c>
      <c r="D52" s="72">
        <f>'Restating Adj'!D52+'Pro Forma Adj'!D52</f>
        <v>0</v>
      </c>
      <c r="E52" s="72">
        <f>'Restating Adj'!E52+'Pro Forma Adj'!E52</f>
        <v>0</v>
      </c>
      <c r="F52" s="259">
        <f>'Restating Adj'!F52+'Pro Forma Adj'!F52</f>
        <v>0</v>
      </c>
      <c r="G52" s="29">
        <f>'Restating Adj'!G52+'Pro Forma Adj'!G52</f>
        <v>0</v>
      </c>
      <c r="H52" s="72">
        <f>'Restating Adj'!H52+'Pro Forma Adj'!H52</f>
        <v>0</v>
      </c>
      <c r="I52" s="72">
        <f>'Restating Adj'!I52+'Pro Forma Adj'!I52</f>
        <v>0</v>
      </c>
      <c r="J52" s="72">
        <f>'Restating Adj'!J52+'Pro Forma Adj'!J52</f>
        <v>0</v>
      </c>
      <c r="K52" s="72">
        <f>'Restating Adj'!K52+'Pro Forma Adj'!K52</f>
        <v>0</v>
      </c>
      <c r="L52" s="73">
        <f>'Restating Adj'!L52+'Pro Forma Adj'!L52</f>
        <v>0</v>
      </c>
      <c r="M52" s="29">
        <f>'Restating Adj'!M52+'Pro Forma Adj'!M52</f>
        <v>0</v>
      </c>
      <c r="N52" s="72">
        <f>'Restating Adj'!N52+'Pro Forma Adj'!N52</f>
        <v>0</v>
      </c>
      <c r="O52" s="72">
        <f>'Restating Adj'!O52+'Pro Forma Adj'!O52</f>
        <v>0</v>
      </c>
      <c r="P52" s="72">
        <f>'Restating Adj'!P52+'Pro Forma Adj'!P52</f>
        <v>0</v>
      </c>
      <c r="Q52" s="72">
        <f>'Restating Adj'!Q52+'Pro Forma Adj'!Q52</f>
        <v>0</v>
      </c>
      <c r="R52" s="73">
        <f>'Restating Adj'!R52+'Pro Forma Adj'!R52</f>
        <v>0</v>
      </c>
      <c r="S52" s="29">
        <f>'Restating Adj'!S52+'Pro Forma Adj'!S52</f>
        <v>0</v>
      </c>
      <c r="T52" s="72">
        <f>'Restating Adj'!T52+'Pro Forma Adj'!T52</f>
        <v>0</v>
      </c>
      <c r="U52" s="72">
        <f>'Restating Adj'!U52+'Pro Forma Adj'!U52</f>
        <v>0</v>
      </c>
      <c r="V52" s="72">
        <f>'Restating Adj'!V52+'Pro Forma Adj'!V52</f>
        <v>0</v>
      </c>
      <c r="W52" s="73">
        <f>'Restating Adj'!W52+'Pro Forma Adj'!W52</f>
        <v>0</v>
      </c>
      <c r="X52" s="259">
        <f>'Restating Adj'!X52+'Pro Forma Adj'!X52</f>
        <v>0</v>
      </c>
      <c r="Y52" s="29">
        <f>'Restating Adj'!Y52+'Pro Forma Adj'!Y52</f>
        <v>0</v>
      </c>
      <c r="Z52" s="72">
        <f>'Restating Adj'!Z52+'Pro Forma Adj'!Z52</f>
        <v>0</v>
      </c>
      <c r="AA52" s="72">
        <f>'Restating Adj'!AA52+'Pro Forma Adj'!AA52</f>
        <v>0</v>
      </c>
      <c r="AB52" s="29">
        <f>'Restating Adj'!AB52+'Pro Forma Adj'!AB52</f>
        <v>0</v>
      </c>
      <c r="AC52" s="73">
        <f>'Restating Adj'!AC52+'Pro Forma Adj'!AC52</f>
        <v>0</v>
      </c>
      <c r="AD52" s="29">
        <f>'Restating Adj'!AD52+'Pro Forma Adj'!AD52</f>
        <v>0</v>
      </c>
      <c r="AE52" s="72">
        <f>'Restating Adj'!AE52+'Pro Forma Adj'!AE52</f>
        <v>0</v>
      </c>
      <c r="AF52" s="72">
        <f>'Restating Adj'!AF52+'Pro Forma Adj'!AF52</f>
        <v>0</v>
      </c>
      <c r="AG52" s="72">
        <f>'Restating Adj'!AG52+'Pro Forma Adj'!AG52</f>
        <v>0</v>
      </c>
      <c r="AH52" s="72">
        <f>'Restating Adj'!AH52+'Pro Forma Adj'!AH52</f>
        <v>0</v>
      </c>
      <c r="AI52" s="73">
        <f>'Restating Adj'!AI52+'Pro Forma Adj'!AI52</f>
        <v>0</v>
      </c>
      <c r="AJ52" s="29">
        <f>'Restating Adj'!AJ52+'Pro Forma Adj'!AJ52</f>
        <v>0</v>
      </c>
      <c r="AK52" s="72">
        <f>'Restating Adj'!AK52+'Pro Forma Adj'!AK52</f>
        <v>0</v>
      </c>
      <c r="AL52" s="29">
        <f>'Restating Adj'!AL52+'Pro Forma Adj'!AL52</f>
        <v>0</v>
      </c>
      <c r="AM52" s="72">
        <f>'Restating Adj'!AM52+'Pro Forma Adj'!AM52</f>
        <v>0</v>
      </c>
      <c r="AN52" s="72">
        <f>'Restating Adj'!AN52+'Pro Forma Adj'!AN52</f>
        <v>0</v>
      </c>
      <c r="AO52" s="73">
        <f>'Restating Adj'!AO52+'Pro Forma Adj'!AO52</f>
        <v>0</v>
      </c>
      <c r="AP52" s="29">
        <f>'Restating Adj'!AP52+'Pro Forma Adj'!AP52</f>
        <v>0</v>
      </c>
      <c r="AQ52" s="72">
        <f>'Restating Adj'!AQ52+'Pro Forma Adj'!AQ52</f>
        <v>0</v>
      </c>
      <c r="AR52" s="72">
        <f>'Restating Adj'!AR52+'Pro Forma Adj'!AR52</f>
        <v>0</v>
      </c>
      <c r="AS52" s="72">
        <f>'Restating Adj'!AS52+'Pro Forma Adj'!AS52</f>
        <v>0</v>
      </c>
      <c r="AT52" s="72">
        <f>'Restating Adj'!AT52+'Pro Forma Adj'!AT52</f>
        <v>0</v>
      </c>
      <c r="AU52" s="73">
        <f>'Restating Adj'!AU52+'Pro Forma Adj'!AU52</f>
        <v>0</v>
      </c>
      <c r="AV52" s="29">
        <f>'Restating Adj'!AV52+'Pro Forma Adj'!AV52</f>
        <v>0</v>
      </c>
      <c r="AW52" s="73">
        <f>'Restating Adj'!AW52+'Pro Forma Adj'!AW52</f>
        <v>0</v>
      </c>
      <c r="AX52" s="259">
        <f>'Restating Adj'!AX52+'Pro Forma Adj'!AX52</f>
        <v>0</v>
      </c>
      <c r="AY52" s="29">
        <f>'Restating Adj'!AY52+'Pro Forma Adj'!AY52</f>
        <v>0</v>
      </c>
      <c r="AZ52" s="72">
        <f>'Restating Adj'!AZ52+'Pro Forma Adj'!AZ52</f>
        <v>0</v>
      </c>
      <c r="BA52" s="73">
        <f>'Restating Adj'!BA52+'Pro Forma Adj'!BA52</f>
        <v>0</v>
      </c>
      <c r="BB52" s="29">
        <f>'Restating Adj'!BB52+'Pro Forma Adj'!BB52</f>
        <v>0</v>
      </c>
      <c r="BC52" s="72">
        <f>'Restating Adj'!BC52+'Pro Forma Adj'!BC52</f>
        <v>0</v>
      </c>
      <c r="BD52" s="72">
        <f>'Restating Adj'!BD52+'Pro Forma Adj'!BD52</f>
        <v>0</v>
      </c>
      <c r="BE52" s="72">
        <f>'Restating Adj'!BE52+'Pro Forma Adj'!BE52</f>
        <v>0</v>
      </c>
      <c r="BF52" s="73">
        <f>'Restating Adj'!BF52+'Pro Forma Adj'!BF52</f>
        <v>0</v>
      </c>
    </row>
    <row r="53" spans="1:58" x14ac:dyDescent="0.2">
      <c r="A53" s="14" t="s">
        <v>83</v>
      </c>
      <c r="B53" s="28">
        <f t="shared" si="38"/>
        <v>0</v>
      </c>
      <c r="C53" s="29">
        <f>'Restating Adj'!C53+'Pro Forma Adj'!C53</f>
        <v>0</v>
      </c>
      <c r="D53" s="72">
        <f>'Restating Adj'!D53+'Pro Forma Adj'!D53</f>
        <v>0</v>
      </c>
      <c r="E53" s="72">
        <f>'Restating Adj'!E53+'Pro Forma Adj'!E53</f>
        <v>0</v>
      </c>
      <c r="F53" s="259">
        <f>'Restating Adj'!F53+'Pro Forma Adj'!F53</f>
        <v>0</v>
      </c>
      <c r="G53" s="29">
        <f>'Restating Adj'!G53+'Pro Forma Adj'!G53</f>
        <v>0</v>
      </c>
      <c r="H53" s="72">
        <f>'Restating Adj'!H53+'Pro Forma Adj'!H53</f>
        <v>0</v>
      </c>
      <c r="I53" s="72">
        <f>'Restating Adj'!I53+'Pro Forma Adj'!I53</f>
        <v>0</v>
      </c>
      <c r="J53" s="72">
        <f>'Restating Adj'!J53+'Pro Forma Adj'!J53</f>
        <v>0</v>
      </c>
      <c r="K53" s="72">
        <f>'Restating Adj'!K53+'Pro Forma Adj'!K53</f>
        <v>0</v>
      </c>
      <c r="L53" s="73">
        <f>'Restating Adj'!L53+'Pro Forma Adj'!L53</f>
        <v>0</v>
      </c>
      <c r="M53" s="29">
        <f>'Restating Adj'!M53+'Pro Forma Adj'!M53</f>
        <v>0</v>
      </c>
      <c r="N53" s="72">
        <f>'Restating Adj'!N53+'Pro Forma Adj'!N53</f>
        <v>0</v>
      </c>
      <c r="O53" s="72">
        <f>'Restating Adj'!O53+'Pro Forma Adj'!O53</f>
        <v>0</v>
      </c>
      <c r="P53" s="72">
        <f>'Restating Adj'!P53+'Pro Forma Adj'!P53</f>
        <v>0</v>
      </c>
      <c r="Q53" s="72">
        <f>'Restating Adj'!Q53+'Pro Forma Adj'!Q53</f>
        <v>0</v>
      </c>
      <c r="R53" s="73">
        <f>'Restating Adj'!R53+'Pro Forma Adj'!R53</f>
        <v>0</v>
      </c>
      <c r="S53" s="29">
        <f>'Restating Adj'!S53+'Pro Forma Adj'!S53</f>
        <v>0</v>
      </c>
      <c r="T53" s="72">
        <f>'Restating Adj'!T53+'Pro Forma Adj'!T53</f>
        <v>0</v>
      </c>
      <c r="U53" s="72">
        <f>'Restating Adj'!U53+'Pro Forma Adj'!U53</f>
        <v>0</v>
      </c>
      <c r="V53" s="72">
        <f>'Restating Adj'!V53+'Pro Forma Adj'!V53</f>
        <v>0</v>
      </c>
      <c r="W53" s="73">
        <f>'Restating Adj'!W53+'Pro Forma Adj'!W53</f>
        <v>0</v>
      </c>
      <c r="X53" s="259">
        <f>'Restating Adj'!X53+'Pro Forma Adj'!X53</f>
        <v>0</v>
      </c>
      <c r="Y53" s="29">
        <f>'Restating Adj'!Y53+'Pro Forma Adj'!Y53</f>
        <v>0</v>
      </c>
      <c r="Z53" s="72">
        <f>'Restating Adj'!Z53+'Pro Forma Adj'!Z53</f>
        <v>0</v>
      </c>
      <c r="AA53" s="72">
        <f>'Restating Adj'!AA53+'Pro Forma Adj'!AA53</f>
        <v>0</v>
      </c>
      <c r="AB53" s="29">
        <f>'Restating Adj'!AB53+'Pro Forma Adj'!AB53</f>
        <v>0</v>
      </c>
      <c r="AC53" s="73">
        <f>'Restating Adj'!AC53+'Pro Forma Adj'!AC53</f>
        <v>0</v>
      </c>
      <c r="AD53" s="29">
        <f>'Restating Adj'!AD53+'Pro Forma Adj'!AD53</f>
        <v>0</v>
      </c>
      <c r="AE53" s="72">
        <f>'Restating Adj'!AE53+'Pro Forma Adj'!AE53</f>
        <v>0</v>
      </c>
      <c r="AF53" s="72">
        <f>'Restating Adj'!AF53+'Pro Forma Adj'!AF53</f>
        <v>0</v>
      </c>
      <c r="AG53" s="72">
        <f>'Restating Adj'!AG53+'Pro Forma Adj'!AG53</f>
        <v>0</v>
      </c>
      <c r="AH53" s="72">
        <f>'Restating Adj'!AH53+'Pro Forma Adj'!AH53</f>
        <v>0</v>
      </c>
      <c r="AI53" s="73">
        <f>'Restating Adj'!AI53+'Pro Forma Adj'!AI53</f>
        <v>0</v>
      </c>
      <c r="AJ53" s="29">
        <f>'Restating Adj'!AJ53+'Pro Forma Adj'!AJ53</f>
        <v>0</v>
      </c>
      <c r="AK53" s="72">
        <f>'Restating Adj'!AK53+'Pro Forma Adj'!AK53</f>
        <v>0</v>
      </c>
      <c r="AL53" s="29">
        <f>'Restating Adj'!AL53+'Pro Forma Adj'!AL53</f>
        <v>0</v>
      </c>
      <c r="AM53" s="72">
        <f>'Restating Adj'!AM53+'Pro Forma Adj'!AM53</f>
        <v>0</v>
      </c>
      <c r="AN53" s="72">
        <f>'Restating Adj'!AN53+'Pro Forma Adj'!AN53</f>
        <v>0</v>
      </c>
      <c r="AO53" s="73">
        <f>'Restating Adj'!AO53+'Pro Forma Adj'!AO53</f>
        <v>0</v>
      </c>
      <c r="AP53" s="29">
        <f>'Restating Adj'!AP53+'Pro Forma Adj'!AP53</f>
        <v>0</v>
      </c>
      <c r="AQ53" s="72">
        <f>'Restating Adj'!AQ53+'Pro Forma Adj'!AQ53</f>
        <v>0</v>
      </c>
      <c r="AR53" s="72">
        <f>'Restating Adj'!AR53+'Pro Forma Adj'!AR53</f>
        <v>0</v>
      </c>
      <c r="AS53" s="72">
        <f>'Restating Adj'!AS53+'Pro Forma Adj'!AS53</f>
        <v>0</v>
      </c>
      <c r="AT53" s="72">
        <f>'Restating Adj'!AT53+'Pro Forma Adj'!AT53</f>
        <v>0</v>
      </c>
      <c r="AU53" s="73">
        <f>'Restating Adj'!AU53+'Pro Forma Adj'!AU53</f>
        <v>0</v>
      </c>
      <c r="AV53" s="29">
        <f>'Restating Adj'!AV53+'Pro Forma Adj'!AV53</f>
        <v>0</v>
      </c>
      <c r="AW53" s="73">
        <f>'Restating Adj'!AW53+'Pro Forma Adj'!AW53</f>
        <v>0</v>
      </c>
      <c r="AX53" s="259">
        <f>'Restating Adj'!AX53+'Pro Forma Adj'!AX53</f>
        <v>0</v>
      </c>
      <c r="AY53" s="29">
        <f>'Restating Adj'!AY53+'Pro Forma Adj'!AY53</f>
        <v>0</v>
      </c>
      <c r="AZ53" s="72">
        <f>'Restating Adj'!AZ53+'Pro Forma Adj'!AZ53</f>
        <v>0</v>
      </c>
      <c r="BA53" s="73">
        <f>'Restating Adj'!BA53+'Pro Forma Adj'!BA53</f>
        <v>0</v>
      </c>
      <c r="BB53" s="29">
        <f>'Restating Adj'!BB53+'Pro Forma Adj'!BB53</f>
        <v>0</v>
      </c>
      <c r="BC53" s="72">
        <f>'Restating Adj'!BC53+'Pro Forma Adj'!BC53</f>
        <v>0</v>
      </c>
      <c r="BD53" s="72">
        <f>'Restating Adj'!BD53+'Pro Forma Adj'!BD53</f>
        <v>0</v>
      </c>
      <c r="BE53" s="72">
        <f>'Restating Adj'!BE53+'Pro Forma Adj'!BE53</f>
        <v>0</v>
      </c>
      <c r="BF53" s="73">
        <f>'Restating Adj'!BF53+'Pro Forma Adj'!BF53</f>
        <v>0</v>
      </c>
    </row>
    <row r="54" spans="1:58" x14ac:dyDescent="0.2">
      <c r="A54" s="14" t="s">
        <v>84</v>
      </c>
      <c r="B54" s="33">
        <f t="shared" si="38"/>
        <v>137812141.70557475</v>
      </c>
      <c r="C54" s="33">
        <f>SUM(C43:C53)</f>
        <v>0</v>
      </c>
      <c r="D54" s="83">
        <f t="shared" ref="D54:AO54" si="39">SUM(D43:D53)</f>
        <v>0</v>
      </c>
      <c r="E54" s="83">
        <f t="shared" si="39"/>
        <v>0</v>
      </c>
      <c r="F54" s="145">
        <f t="shared" si="39"/>
        <v>0</v>
      </c>
      <c r="G54" s="33">
        <f t="shared" si="39"/>
        <v>0</v>
      </c>
      <c r="H54" s="83">
        <f t="shared" si="39"/>
        <v>0</v>
      </c>
      <c r="I54" s="83">
        <f t="shared" si="39"/>
        <v>0</v>
      </c>
      <c r="J54" s="83">
        <f t="shared" si="39"/>
        <v>0</v>
      </c>
      <c r="K54" s="83">
        <f t="shared" si="39"/>
        <v>0</v>
      </c>
      <c r="L54" s="84">
        <f t="shared" si="39"/>
        <v>0</v>
      </c>
      <c r="M54" s="33">
        <f t="shared" si="39"/>
        <v>0</v>
      </c>
      <c r="N54" s="83">
        <f t="shared" si="39"/>
        <v>0</v>
      </c>
      <c r="O54" s="83">
        <f t="shared" si="39"/>
        <v>0</v>
      </c>
      <c r="P54" s="83">
        <f t="shared" si="39"/>
        <v>0</v>
      </c>
      <c r="Q54" s="83">
        <f t="shared" si="39"/>
        <v>0</v>
      </c>
      <c r="R54" s="84">
        <f t="shared" si="39"/>
        <v>0</v>
      </c>
      <c r="S54" s="33">
        <f t="shared" ref="S54:T54" si="40">SUM(S43:S53)</f>
        <v>0</v>
      </c>
      <c r="T54" s="83">
        <f t="shared" si="40"/>
        <v>0</v>
      </c>
      <c r="U54" s="83">
        <f t="shared" ref="U54:V54" si="41">SUM(U43:U53)</f>
        <v>0</v>
      </c>
      <c r="V54" s="83">
        <f t="shared" si="41"/>
        <v>0</v>
      </c>
      <c r="W54" s="84">
        <f t="shared" ref="W54" si="42">SUM(W43:W53)</f>
        <v>0</v>
      </c>
      <c r="X54" s="145">
        <f t="shared" si="39"/>
        <v>0</v>
      </c>
      <c r="Y54" s="33">
        <f t="shared" si="39"/>
        <v>0</v>
      </c>
      <c r="Z54" s="83">
        <f t="shared" si="39"/>
        <v>0</v>
      </c>
      <c r="AA54" s="83">
        <f t="shared" si="39"/>
        <v>0</v>
      </c>
      <c r="AB54" s="33">
        <f t="shared" si="39"/>
        <v>0</v>
      </c>
      <c r="AC54" s="84">
        <f t="shared" si="39"/>
        <v>0</v>
      </c>
      <c r="AD54" s="33">
        <f t="shared" si="39"/>
        <v>0</v>
      </c>
      <c r="AE54" s="83">
        <f t="shared" si="39"/>
        <v>0</v>
      </c>
      <c r="AF54" s="83">
        <f t="shared" si="39"/>
        <v>0</v>
      </c>
      <c r="AG54" s="83">
        <f t="shared" si="39"/>
        <v>0</v>
      </c>
      <c r="AH54" s="83">
        <f t="shared" si="39"/>
        <v>0</v>
      </c>
      <c r="AI54" s="84">
        <f>SUM(AI43:AI53)</f>
        <v>0</v>
      </c>
      <c r="AJ54" s="33">
        <f t="shared" si="39"/>
        <v>0</v>
      </c>
      <c r="AK54" s="83">
        <f t="shared" ref="AK54" si="43">SUM(AK43:AK53)</f>
        <v>0</v>
      </c>
      <c r="AL54" s="33">
        <f t="shared" si="39"/>
        <v>30000111.714042757</v>
      </c>
      <c r="AM54" s="83">
        <f t="shared" si="39"/>
        <v>49361.323333333014</v>
      </c>
      <c r="AN54" s="83">
        <f t="shared" si="39"/>
        <v>0</v>
      </c>
      <c r="AO54" s="84">
        <f t="shared" si="39"/>
        <v>132654631.34508099</v>
      </c>
      <c r="AP54" s="33">
        <f t="shared" ref="AP54:AW54" si="44">SUM(AP43:AP53)</f>
        <v>-37448515.603395708</v>
      </c>
      <c r="AQ54" s="83">
        <f t="shared" si="44"/>
        <v>0</v>
      </c>
      <c r="AR54" s="83">
        <f t="shared" si="44"/>
        <v>29873668.417190563</v>
      </c>
      <c r="AS54" s="83">
        <f t="shared" si="44"/>
        <v>-17855800.813332476</v>
      </c>
      <c r="AT54" s="83">
        <f t="shared" si="44"/>
        <v>-10948499.351675939</v>
      </c>
      <c r="AU54" s="84">
        <f t="shared" si="44"/>
        <v>-83860.695031068404</v>
      </c>
      <c r="AV54" s="33">
        <f t="shared" si="44"/>
        <v>2321668.5741803152</v>
      </c>
      <c r="AW54" s="84">
        <f t="shared" si="44"/>
        <v>37741371.808252543</v>
      </c>
      <c r="AX54" s="145">
        <f t="shared" ref="AX54:BA54" si="45">SUM(AX43:AX53)</f>
        <v>192349.41342615057</v>
      </c>
      <c r="AY54" s="33">
        <f t="shared" si="45"/>
        <v>-298414624.88005912</v>
      </c>
      <c r="AZ54" s="83">
        <f t="shared" si="45"/>
        <v>-49457131.536262572</v>
      </c>
      <c r="BA54" s="84">
        <f t="shared" si="45"/>
        <v>-29244710.019220922</v>
      </c>
      <c r="BB54" s="33">
        <f t="shared" ref="BB54:BE54" si="46">SUM(BB43:BB53)</f>
        <v>40072259.394654654</v>
      </c>
      <c r="BC54" s="83">
        <f t="shared" si="46"/>
        <v>300463387.54772812</v>
      </c>
      <c r="BD54" s="83">
        <f t="shared" si="46"/>
        <v>3803939.4690655638</v>
      </c>
      <c r="BE54" s="83">
        <f t="shared" si="46"/>
        <v>4092535.5975975292</v>
      </c>
      <c r="BF54" s="84">
        <f t="shared" ref="BF54" si="47">SUM(BF43:BF53)</f>
        <v>0</v>
      </c>
    </row>
    <row r="55" spans="1:58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68"/>
      <c r="AX55" s="69"/>
      <c r="AY55" s="27"/>
      <c r="AZ55" s="12"/>
      <c r="BA55" s="68"/>
      <c r="BB55" s="27"/>
      <c r="BC55" s="12"/>
      <c r="BD55" s="12"/>
      <c r="BE55" s="12"/>
      <c r="BF55" s="68"/>
    </row>
    <row r="56" spans="1:58" x14ac:dyDescent="0.2">
      <c r="A56" s="14" t="s">
        <v>85</v>
      </c>
      <c r="B56" s="27">
        <f>SUM(C56:AW56)</f>
        <v>0</v>
      </c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68"/>
      <c r="AX56" s="69"/>
      <c r="AY56" s="27"/>
      <c r="AZ56" s="12"/>
      <c r="BA56" s="68"/>
      <c r="BB56" s="27"/>
      <c r="BC56" s="12"/>
      <c r="BD56" s="12"/>
      <c r="BE56" s="12"/>
      <c r="BF56" s="68"/>
    </row>
    <row r="57" spans="1:58" x14ac:dyDescent="0.2">
      <c r="A57" s="14" t="s">
        <v>86</v>
      </c>
      <c r="B57" s="28">
        <f t="shared" ref="B57:B65" si="48">SUM(C57:BF57)</f>
        <v>-255406119.25400153</v>
      </c>
      <c r="C57" s="29">
        <f>'Restating Adj'!C57+'Pro Forma Adj'!C57</f>
        <v>0</v>
      </c>
      <c r="D57" s="72">
        <f>'Restating Adj'!D57+'Pro Forma Adj'!D57</f>
        <v>0</v>
      </c>
      <c r="E57" s="72">
        <f>'Restating Adj'!E57+'Pro Forma Adj'!E57</f>
        <v>0</v>
      </c>
      <c r="F57" s="259">
        <f>'Restating Adj'!F57+'Pro Forma Adj'!F57</f>
        <v>0</v>
      </c>
      <c r="G57" s="29">
        <f>'Restating Adj'!G57+'Pro Forma Adj'!G57</f>
        <v>0</v>
      </c>
      <c r="H57" s="72">
        <f>'Restating Adj'!H57+'Pro Forma Adj'!H57</f>
        <v>0</v>
      </c>
      <c r="I57" s="72">
        <f>'Restating Adj'!I57+'Pro Forma Adj'!I57</f>
        <v>0</v>
      </c>
      <c r="J57" s="72">
        <f>'Restating Adj'!J57+'Pro Forma Adj'!J57</f>
        <v>0</v>
      </c>
      <c r="K57" s="72">
        <f>'Restating Adj'!K57+'Pro Forma Adj'!K57</f>
        <v>0</v>
      </c>
      <c r="L57" s="73">
        <f>'Restating Adj'!L57+'Pro Forma Adj'!L57</f>
        <v>0</v>
      </c>
      <c r="M57" s="29">
        <f>'Restating Adj'!M57+'Pro Forma Adj'!M57</f>
        <v>0</v>
      </c>
      <c r="N57" s="72">
        <f>'Restating Adj'!N57+'Pro Forma Adj'!N57</f>
        <v>0</v>
      </c>
      <c r="O57" s="72">
        <f>'Restating Adj'!O57+'Pro Forma Adj'!O57</f>
        <v>0</v>
      </c>
      <c r="P57" s="72">
        <f>'Restating Adj'!P57+'Pro Forma Adj'!P57</f>
        <v>0</v>
      </c>
      <c r="Q57" s="72">
        <f>'Restating Adj'!Q57+'Pro Forma Adj'!Q57</f>
        <v>0</v>
      </c>
      <c r="R57" s="73">
        <f>'Restating Adj'!R57+'Pro Forma Adj'!R57</f>
        <v>0</v>
      </c>
      <c r="S57" s="29">
        <f>'Restating Adj'!S57+'Pro Forma Adj'!S57</f>
        <v>0</v>
      </c>
      <c r="T57" s="72">
        <f>'Restating Adj'!T57+'Pro Forma Adj'!T57</f>
        <v>0</v>
      </c>
      <c r="U57" s="72">
        <f>'Restating Adj'!U57+'Pro Forma Adj'!U57</f>
        <v>0</v>
      </c>
      <c r="V57" s="72">
        <f>'Restating Adj'!V57+'Pro Forma Adj'!V57</f>
        <v>0</v>
      </c>
      <c r="W57" s="73">
        <f>'Restating Adj'!W57+'Pro Forma Adj'!W57</f>
        <v>0</v>
      </c>
      <c r="X57" s="259">
        <f>'Restating Adj'!X57+'Pro Forma Adj'!X57</f>
        <v>0</v>
      </c>
      <c r="Y57" s="29">
        <f>'Restating Adj'!Y57+'Pro Forma Adj'!Y57</f>
        <v>-80207431.688485801</v>
      </c>
      <c r="Z57" s="72">
        <f>'Restating Adj'!Z57+'Pro Forma Adj'!Z57</f>
        <v>-26352745.329160132</v>
      </c>
      <c r="AA57" s="72">
        <f>'Restating Adj'!AA57+'Pro Forma Adj'!AA57</f>
        <v>0</v>
      </c>
      <c r="AB57" s="29">
        <f>'Restating Adj'!AB57+'Pro Forma Adj'!AB57</f>
        <v>0</v>
      </c>
      <c r="AC57" s="73">
        <f>'Restating Adj'!AC57+'Pro Forma Adj'!AC57</f>
        <v>0</v>
      </c>
      <c r="AD57" s="29">
        <f>'Restating Adj'!AD57+'Pro Forma Adj'!AD57</f>
        <v>0</v>
      </c>
      <c r="AE57" s="72">
        <f>'Restating Adj'!AE57+'Pro Forma Adj'!AE57</f>
        <v>0</v>
      </c>
      <c r="AF57" s="72">
        <f>'Restating Adj'!AF57+'Pro Forma Adj'!AF57</f>
        <v>0</v>
      </c>
      <c r="AG57" s="72">
        <f>'Restating Adj'!AG57+'Pro Forma Adj'!AG57</f>
        <v>0</v>
      </c>
      <c r="AH57" s="72">
        <f>'Restating Adj'!AH57+'Pro Forma Adj'!AH57</f>
        <v>0</v>
      </c>
      <c r="AI57" s="73">
        <f>'Restating Adj'!AI57+'Pro Forma Adj'!AI57</f>
        <v>0</v>
      </c>
      <c r="AJ57" s="29">
        <f>'Restating Adj'!AJ57+'Pro Forma Adj'!AJ57</f>
        <v>0</v>
      </c>
      <c r="AK57" s="72">
        <f>'Restating Adj'!AK57+'Pro Forma Adj'!AK57</f>
        <v>0</v>
      </c>
      <c r="AL57" s="29">
        <f>'Restating Adj'!AL57+'Pro Forma Adj'!AL57</f>
        <v>0</v>
      </c>
      <c r="AM57" s="72">
        <f>'Restating Adj'!AM57+'Pro Forma Adj'!AM57</f>
        <v>0</v>
      </c>
      <c r="AN57" s="72">
        <f>'Restating Adj'!AN57+'Pro Forma Adj'!AN57</f>
        <v>0</v>
      </c>
      <c r="AO57" s="73">
        <f>'Restating Adj'!AO57+'Pro Forma Adj'!AO57</f>
        <v>0</v>
      </c>
      <c r="AP57" s="29">
        <f>'Restating Adj'!AP57+'Pro Forma Adj'!AP57</f>
        <v>0</v>
      </c>
      <c r="AQ57" s="72">
        <f>'Restating Adj'!AQ57+'Pro Forma Adj'!AQ57</f>
        <v>0</v>
      </c>
      <c r="AR57" s="72">
        <f>'Restating Adj'!AR57+'Pro Forma Adj'!AR57</f>
        <v>0</v>
      </c>
      <c r="AS57" s="72">
        <f>'Restating Adj'!AS57+'Pro Forma Adj'!AS57</f>
        <v>499944.18905734352</v>
      </c>
      <c r="AT57" s="72">
        <f>'Restating Adj'!AT57+'Pro Forma Adj'!AT57</f>
        <v>3287281.0118927527</v>
      </c>
      <c r="AU57" s="73">
        <f>'Restating Adj'!AU57+'Pro Forma Adj'!AU57</f>
        <v>90668.783574979927</v>
      </c>
      <c r="AV57" s="29">
        <f>'Restating Adj'!AV57+'Pro Forma Adj'!AV57</f>
        <v>-5246.4809077935133</v>
      </c>
      <c r="AW57" s="73">
        <f>'Restating Adj'!AW57+'Pro Forma Adj'!AW57</f>
        <v>-86079.075470098556</v>
      </c>
      <c r="AX57" s="259">
        <f>'Restating Adj'!AX57+'Pro Forma Adj'!AX57</f>
        <v>-195149.93985409159</v>
      </c>
      <c r="AY57" s="29">
        <f>'Restating Adj'!AY57+'Pro Forma Adj'!AY57</f>
        <v>153709555.36906207</v>
      </c>
      <c r="AZ57" s="72">
        <f>'Restating Adj'!AZ57+'Pro Forma Adj'!AZ57</f>
        <v>24936776.53120013</v>
      </c>
      <c r="BA57" s="73">
        <f>'Restating Adj'!BA57+'Pro Forma Adj'!BA57</f>
        <v>18475234.877319884</v>
      </c>
      <c r="BB57" s="29">
        <f>'Restating Adj'!BB57+'Pro Forma Adj'!BB57</f>
        <v>-34739396.253725342</v>
      </c>
      <c r="BC57" s="72">
        <f>'Restating Adj'!BC57+'Pro Forma Adj'!BC57</f>
        <v>-314750593.20877314</v>
      </c>
      <c r="BD57" s="72">
        <f>'Restating Adj'!BD57+'Pro Forma Adj'!BD57</f>
        <v>-54558.965405648101</v>
      </c>
      <c r="BE57" s="72">
        <f>'Restating Adj'!BE57+'Pro Forma Adj'!BE57</f>
        <v>-14379.074326651749</v>
      </c>
      <c r="BF57" s="73">
        <f>'Restating Adj'!BF57+'Pro Forma Adj'!BF57</f>
        <v>0</v>
      </c>
    </row>
    <row r="58" spans="1:58" x14ac:dyDescent="0.2">
      <c r="A58" s="14" t="s">
        <v>87</v>
      </c>
      <c r="B58" s="28">
        <f t="shared" si="48"/>
        <v>-9036196.9699134193</v>
      </c>
      <c r="C58" s="29">
        <f>'Restating Adj'!C58+'Pro Forma Adj'!C58</f>
        <v>0</v>
      </c>
      <c r="D58" s="72">
        <f>'Restating Adj'!D58+'Pro Forma Adj'!D58</f>
        <v>0</v>
      </c>
      <c r="E58" s="72">
        <f>'Restating Adj'!E58+'Pro Forma Adj'!E58</f>
        <v>0</v>
      </c>
      <c r="F58" s="259">
        <f>'Restating Adj'!F58+'Pro Forma Adj'!F58</f>
        <v>0</v>
      </c>
      <c r="G58" s="29">
        <f>'Restating Adj'!G58+'Pro Forma Adj'!G58</f>
        <v>0</v>
      </c>
      <c r="H58" s="72">
        <f>'Restating Adj'!H58+'Pro Forma Adj'!H58</f>
        <v>0</v>
      </c>
      <c r="I58" s="72">
        <f>'Restating Adj'!I58+'Pro Forma Adj'!I58</f>
        <v>0</v>
      </c>
      <c r="J58" s="72">
        <f>'Restating Adj'!J58+'Pro Forma Adj'!J58</f>
        <v>0</v>
      </c>
      <c r="K58" s="72">
        <f>'Restating Adj'!K58+'Pro Forma Adj'!K58</f>
        <v>0</v>
      </c>
      <c r="L58" s="73">
        <f>'Restating Adj'!L58+'Pro Forma Adj'!L58</f>
        <v>0</v>
      </c>
      <c r="M58" s="29">
        <f>'Restating Adj'!M58+'Pro Forma Adj'!M58</f>
        <v>0</v>
      </c>
      <c r="N58" s="72">
        <f>'Restating Adj'!N58+'Pro Forma Adj'!N58</f>
        <v>0</v>
      </c>
      <c r="O58" s="72">
        <f>'Restating Adj'!O58+'Pro Forma Adj'!O58</f>
        <v>0</v>
      </c>
      <c r="P58" s="72">
        <f>'Restating Adj'!P58+'Pro Forma Adj'!P58</f>
        <v>0</v>
      </c>
      <c r="Q58" s="72">
        <f>'Restating Adj'!Q58+'Pro Forma Adj'!Q58</f>
        <v>0</v>
      </c>
      <c r="R58" s="73">
        <f>'Restating Adj'!R58+'Pro Forma Adj'!R58</f>
        <v>0</v>
      </c>
      <c r="S58" s="29">
        <f>'Restating Adj'!S58+'Pro Forma Adj'!S58</f>
        <v>0</v>
      </c>
      <c r="T58" s="72">
        <f>'Restating Adj'!T58+'Pro Forma Adj'!T58</f>
        <v>0</v>
      </c>
      <c r="U58" s="72">
        <f>'Restating Adj'!U58+'Pro Forma Adj'!U58</f>
        <v>0</v>
      </c>
      <c r="V58" s="72">
        <f>'Restating Adj'!V58+'Pro Forma Adj'!V58</f>
        <v>0</v>
      </c>
      <c r="W58" s="73">
        <f>'Restating Adj'!W58+'Pro Forma Adj'!W58</f>
        <v>0</v>
      </c>
      <c r="X58" s="259">
        <f>'Restating Adj'!X58+'Pro Forma Adj'!X58</f>
        <v>0</v>
      </c>
      <c r="Y58" s="29">
        <f>'Restating Adj'!Y58+'Pro Forma Adj'!Y58</f>
        <v>-7490520.9057901539</v>
      </c>
      <c r="Z58" s="72">
        <f>'Restating Adj'!Z58+'Pro Forma Adj'!Z58</f>
        <v>-1545676.0641232664</v>
      </c>
      <c r="AA58" s="72">
        <f>'Restating Adj'!AA58+'Pro Forma Adj'!AA58</f>
        <v>0</v>
      </c>
      <c r="AB58" s="29">
        <f>'Restating Adj'!AB58+'Pro Forma Adj'!AB58</f>
        <v>0</v>
      </c>
      <c r="AC58" s="73">
        <f>'Restating Adj'!AC58+'Pro Forma Adj'!AC58</f>
        <v>0</v>
      </c>
      <c r="AD58" s="29">
        <f>'Restating Adj'!AD58+'Pro Forma Adj'!AD58</f>
        <v>0</v>
      </c>
      <c r="AE58" s="72">
        <f>'Restating Adj'!AE58+'Pro Forma Adj'!AE58</f>
        <v>0</v>
      </c>
      <c r="AF58" s="72">
        <f>'Restating Adj'!AF58+'Pro Forma Adj'!AF58</f>
        <v>0</v>
      </c>
      <c r="AG58" s="72">
        <f>'Restating Adj'!AG58+'Pro Forma Adj'!AG58</f>
        <v>0</v>
      </c>
      <c r="AH58" s="72">
        <f>'Restating Adj'!AH58+'Pro Forma Adj'!AH58</f>
        <v>0</v>
      </c>
      <c r="AI58" s="73">
        <f>'Restating Adj'!AI58+'Pro Forma Adj'!AI58</f>
        <v>0</v>
      </c>
      <c r="AJ58" s="29">
        <f>'Restating Adj'!AJ58+'Pro Forma Adj'!AJ58</f>
        <v>0</v>
      </c>
      <c r="AK58" s="72">
        <f>'Restating Adj'!AK58+'Pro Forma Adj'!AK58</f>
        <v>0</v>
      </c>
      <c r="AL58" s="29">
        <f>'Restating Adj'!AL58+'Pro Forma Adj'!AL58</f>
        <v>0</v>
      </c>
      <c r="AM58" s="72">
        <f>'Restating Adj'!AM58+'Pro Forma Adj'!AM58</f>
        <v>0</v>
      </c>
      <c r="AN58" s="72">
        <f>'Restating Adj'!AN58+'Pro Forma Adj'!AN58</f>
        <v>0</v>
      </c>
      <c r="AO58" s="73">
        <f>'Restating Adj'!AO58+'Pro Forma Adj'!AO58</f>
        <v>0</v>
      </c>
      <c r="AP58" s="29">
        <f>'Restating Adj'!AP58+'Pro Forma Adj'!AP58</f>
        <v>0</v>
      </c>
      <c r="AQ58" s="72">
        <f>'Restating Adj'!AQ58+'Pro Forma Adj'!AQ58</f>
        <v>0</v>
      </c>
      <c r="AR58" s="72">
        <f>'Restating Adj'!AR58+'Pro Forma Adj'!AR58</f>
        <v>0</v>
      </c>
      <c r="AS58" s="72">
        <f>'Restating Adj'!AS58+'Pro Forma Adj'!AS58</f>
        <v>0</v>
      </c>
      <c r="AT58" s="72">
        <f>'Restating Adj'!AT58+'Pro Forma Adj'!AT58</f>
        <v>0</v>
      </c>
      <c r="AU58" s="73">
        <f>'Restating Adj'!AU58+'Pro Forma Adj'!AU58</f>
        <v>0</v>
      </c>
      <c r="AV58" s="29">
        <f>'Restating Adj'!AV58+'Pro Forma Adj'!AV58</f>
        <v>0</v>
      </c>
      <c r="AW58" s="73">
        <f>'Restating Adj'!AW58+'Pro Forma Adj'!AW58</f>
        <v>0</v>
      </c>
      <c r="AX58" s="259">
        <f>'Restating Adj'!AX58+'Pro Forma Adj'!AX58</f>
        <v>0</v>
      </c>
      <c r="AY58" s="29">
        <f>'Restating Adj'!AY58+'Pro Forma Adj'!AY58</f>
        <v>0</v>
      </c>
      <c r="AZ58" s="72">
        <f>'Restating Adj'!AZ58+'Pro Forma Adj'!AZ58</f>
        <v>0</v>
      </c>
      <c r="BA58" s="73">
        <f>'Restating Adj'!BA58+'Pro Forma Adj'!BA58</f>
        <v>0</v>
      </c>
      <c r="BB58" s="29">
        <f>'Restating Adj'!BB58+'Pro Forma Adj'!BB58</f>
        <v>0</v>
      </c>
      <c r="BC58" s="72">
        <f>'Restating Adj'!BC58+'Pro Forma Adj'!BC58</f>
        <v>0</v>
      </c>
      <c r="BD58" s="72">
        <f>'Restating Adj'!BD58+'Pro Forma Adj'!BD58</f>
        <v>0</v>
      </c>
      <c r="BE58" s="72">
        <f>'Restating Adj'!BE58+'Pro Forma Adj'!BE58</f>
        <v>0</v>
      </c>
      <c r="BF58" s="73">
        <f>'Restating Adj'!BF58+'Pro Forma Adj'!BF58</f>
        <v>0</v>
      </c>
    </row>
    <row r="59" spans="1:58" x14ac:dyDescent="0.2">
      <c r="A59" s="14" t="s">
        <v>88</v>
      </c>
      <c r="B59" s="28">
        <f t="shared" si="48"/>
        <v>-3079055.2706345818</v>
      </c>
      <c r="C59" s="29">
        <f>'Restating Adj'!C59+'Pro Forma Adj'!C59</f>
        <v>0</v>
      </c>
      <c r="D59" s="72">
        <f>'Restating Adj'!D59+'Pro Forma Adj'!D59</f>
        <v>0</v>
      </c>
      <c r="E59" s="72">
        <f>'Restating Adj'!E59+'Pro Forma Adj'!E59</f>
        <v>0</v>
      </c>
      <c r="F59" s="259">
        <f>'Restating Adj'!F59+'Pro Forma Adj'!F59</f>
        <v>0</v>
      </c>
      <c r="G59" s="29">
        <f>'Restating Adj'!G59+'Pro Forma Adj'!G59</f>
        <v>0</v>
      </c>
      <c r="H59" s="72">
        <f>'Restating Adj'!H59+'Pro Forma Adj'!H59</f>
        <v>0</v>
      </c>
      <c r="I59" s="72">
        <f>'Restating Adj'!I59+'Pro Forma Adj'!I59</f>
        <v>0</v>
      </c>
      <c r="J59" s="72">
        <f>'Restating Adj'!J59+'Pro Forma Adj'!J59</f>
        <v>-2506736.237041242</v>
      </c>
      <c r="K59" s="72">
        <f>'Restating Adj'!K59+'Pro Forma Adj'!K59</f>
        <v>0</v>
      </c>
      <c r="L59" s="73">
        <f>'Restating Adj'!L59+'Pro Forma Adj'!L59</f>
        <v>0</v>
      </c>
      <c r="M59" s="29">
        <f>'Restating Adj'!M59+'Pro Forma Adj'!M59</f>
        <v>0</v>
      </c>
      <c r="N59" s="72">
        <f>'Restating Adj'!N59+'Pro Forma Adj'!N59</f>
        <v>0</v>
      </c>
      <c r="O59" s="72">
        <f>'Restating Adj'!O59+'Pro Forma Adj'!O59</f>
        <v>0</v>
      </c>
      <c r="P59" s="72">
        <f>'Restating Adj'!P59+'Pro Forma Adj'!P59</f>
        <v>1273328.1449545922</v>
      </c>
      <c r="Q59" s="72">
        <f>'Restating Adj'!Q59+'Pro Forma Adj'!Q59</f>
        <v>0</v>
      </c>
      <c r="R59" s="73">
        <f>'Restating Adj'!R59+'Pro Forma Adj'!R59</f>
        <v>0</v>
      </c>
      <c r="S59" s="29">
        <f>'Restating Adj'!S59+'Pro Forma Adj'!S59</f>
        <v>0</v>
      </c>
      <c r="T59" s="72">
        <f>'Restating Adj'!T59+'Pro Forma Adj'!T59</f>
        <v>0</v>
      </c>
      <c r="U59" s="72">
        <f>'Restating Adj'!U59+'Pro Forma Adj'!U59</f>
        <v>0</v>
      </c>
      <c r="V59" s="72">
        <f>'Restating Adj'!V59+'Pro Forma Adj'!V59</f>
        <v>0</v>
      </c>
      <c r="W59" s="73">
        <f>'Restating Adj'!W59+'Pro Forma Adj'!W59</f>
        <v>0</v>
      </c>
      <c r="X59" s="259">
        <f>'Restating Adj'!X59+'Pro Forma Adj'!X59</f>
        <v>0</v>
      </c>
      <c r="Y59" s="29">
        <f>'Restating Adj'!Y59+'Pro Forma Adj'!Y59</f>
        <v>0</v>
      </c>
      <c r="Z59" s="72">
        <f>'Restating Adj'!Z59+'Pro Forma Adj'!Z59</f>
        <v>0</v>
      </c>
      <c r="AA59" s="72">
        <f>'Restating Adj'!AA59+'Pro Forma Adj'!AA59</f>
        <v>4379287.4542611726</v>
      </c>
      <c r="AB59" s="29">
        <f>'Restating Adj'!AB59+'Pro Forma Adj'!AB59</f>
        <v>0</v>
      </c>
      <c r="AC59" s="73">
        <f>'Restating Adj'!AC59+'Pro Forma Adj'!AC59</f>
        <v>0</v>
      </c>
      <c r="AD59" s="29">
        <f>'Restating Adj'!AD59+'Pro Forma Adj'!AD59</f>
        <v>0</v>
      </c>
      <c r="AE59" s="72">
        <f>'Restating Adj'!AE59+'Pro Forma Adj'!AE59</f>
        <v>-32790654.435164705</v>
      </c>
      <c r="AF59" s="72">
        <f>'Restating Adj'!AF59+'Pro Forma Adj'!AF59</f>
        <v>0</v>
      </c>
      <c r="AG59" s="72">
        <f>'Restating Adj'!AG59+'Pro Forma Adj'!AG59</f>
        <v>28172848</v>
      </c>
      <c r="AH59" s="72">
        <f>'Restating Adj'!AH59+'Pro Forma Adj'!AH59</f>
        <v>0</v>
      </c>
      <c r="AI59" s="73">
        <f>'Restating Adj'!AI59+'Pro Forma Adj'!AI59</f>
        <v>-13008439.555262286</v>
      </c>
      <c r="AJ59" s="29">
        <f>'Restating Adj'!AJ59+'Pro Forma Adj'!AJ59</f>
        <v>0</v>
      </c>
      <c r="AK59" s="72">
        <f>'Restating Adj'!AK59+'Pro Forma Adj'!AK59</f>
        <v>0</v>
      </c>
      <c r="AL59" s="29">
        <f>'Restating Adj'!AL59+'Pro Forma Adj'!AL59</f>
        <v>0</v>
      </c>
      <c r="AM59" s="72">
        <f>'Restating Adj'!AM59+'Pro Forma Adj'!AM59</f>
        <v>-8567995.0698703919</v>
      </c>
      <c r="AN59" s="72">
        <f>'Restating Adj'!AN59+'Pro Forma Adj'!AN59</f>
        <v>0</v>
      </c>
      <c r="AO59" s="73">
        <f>'Restating Adj'!AO59+'Pro Forma Adj'!AO59</f>
        <v>289567.51462348219</v>
      </c>
      <c r="AP59" s="29">
        <f>'Restating Adj'!AP59+'Pro Forma Adj'!AP59</f>
        <v>0</v>
      </c>
      <c r="AQ59" s="72">
        <f>'Restating Adj'!AQ59+'Pro Forma Adj'!AQ59</f>
        <v>0</v>
      </c>
      <c r="AR59" s="72">
        <f>'Restating Adj'!AR59+'Pro Forma Adj'!AR59</f>
        <v>0</v>
      </c>
      <c r="AS59" s="72">
        <f>'Restating Adj'!AS59+'Pro Forma Adj'!AS59</f>
        <v>759932.03582391515</v>
      </c>
      <c r="AT59" s="72">
        <f>'Restating Adj'!AT59+'Pro Forma Adj'!AT59</f>
        <v>1434109.5152292964</v>
      </c>
      <c r="AU59" s="73">
        <f>'Restating Adj'!AU59+'Pro Forma Adj'!AU59</f>
        <v>-84303.833538720195</v>
      </c>
      <c r="AV59" s="29">
        <f>'Restating Adj'!AV59+'Pro Forma Adj'!AV59</f>
        <v>0</v>
      </c>
      <c r="AW59" s="73">
        <f>'Restating Adj'!AW59+'Pro Forma Adj'!AW59</f>
        <v>0</v>
      </c>
      <c r="AX59" s="259">
        <f>'Restating Adj'!AX59+'Pro Forma Adj'!AX59</f>
        <v>0</v>
      </c>
      <c r="AY59" s="29">
        <f>'Restating Adj'!AY59+'Pro Forma Adj'!AY59</f>
        <v>0</v>
      </c>
      <c r="AZ59" s="72">
        <f>'Restating Adj'!AZ59+'Pro Forma Adj'!AZ59</f>
        <v>1868593.104248808</v>
      </c>
      <c r="BA59" s="73">
        <f>'Restating Adj'!BA59+'Pro Forma Adj'!BA59</f>
        <v>792539.80698841682</v>
      </c>
      <c r="BB59" s="29">
        <f>'Restating Adj'!BB59+'Pro Forma Adj'!BB59</f>
        <v>-120983.847556519</v>
      </c>
      <c r="BC59" s="72">
        <f>'Restating Adj'!BC59+'Pro Forma Adj'!BC59</f>
        <v>15084520.896744041</v>
      </c>
      <c r="BD59" s="72">
        <f>'Restating Adj'!BD59+'Pro Forma Adj'!BD59</f>
        <v>-37768.160820461766</v>
      </c>
      <c r="BE59" s="72">
        <f>'Restating Adj'!BE59+'Pro Forma Adj'!BE59</f>
        <v>-16900.604253980859</v>
      </c>
      <c r="BF59" s="73">
        <f>'Restating Adj'!BF59+'Pro Forma Adj'!BF59</f>
        <v>0</v>
      </c>
    </row>
    <row r="60" spans="1:58" x14ac:dyDescent="0.2">
      <c r="A60" s="14" t="s">
        <v>89</v>
      </c>
      <c r="B60" s="28">
        <f t="shared" si="48"/>
        <v>0</v>
      </c>
      <c r="C60" s="29">
        <f>'Restating Adj'!C60+'Pro Forma Adj'!C60</f>
        <v>0</v>
      </c>
      <c r="D60" s="72">
        <f>'Restating Adj'!D60+'Pro Forma Adj'!D60</f>
        <v>0</v>
      </c>
      <c r="E60" s="72">
        <f>'Restating Adj'!E60+'Pro Forma Adj'!E60</f>
        <v>0</v>
      </c>
      <c r="F60" s="259">
        <f>'Restating Adj'!F60+'Pro Forma Adj'!F60</f>
        <v>0</v>
      </c>
      <c r="G60" s="29">
        <f>'Restating Adj'!G60+'Pro Forma Adj'!G60</f>
        <v>0</v>
      </c>
      <c r="H60" s="72">
        <f>'Restating Adj'!H60+'Pro Forma Adj'!H60</f>
        <v>0</v>
      </c>
      <c r="I60" s="72">
        <f>'Restating Adj'!I60+'Pro Forma Adj'!I60</f>
        <v>0</v>
      </c>
      <c r="J60" s="72">
        <f>'Restating Adj'!J60+'Pro Forma Adj'!J60</f>
        <v>0</v>
      </c>
      <c r="K60" s="72">
        <f>'Restating Adj'!K60+'Pro Forma Adj'!K60</f>
        <v>0</v>
      </c>
      <c r="L60" s="73">
        <f>'Restating Adj'!L60+'Pro Forma Adj'!L60</f>
        <v>0</v>
      </c>
      <c r="M60" s="29">
        <f>'Restating Adj'!M60+'Pro Forma Adj'!M60</f>
        <v>0</v>
      </c>
      <c r="N60" s="72">
        <f>'Restating Adj'!N60+'Pro Forma Adj'!N60</f>
        <v>0</v>
      </c>
      <c r="O60" s="72">
        <f>'Restating Adj'!O60+'Pro Forma Adj'!O60</f>
        <v>0</v>
      </c>
      <c r="P60" s="72">
        <f>'Restating Adj'!P60+'Pro Forma Adj'!P60</f>
        <v>0</v>
      </c>
      <c r="Q60" s="72">
        <f>'Restating Adj'!Q60+'Pro Forma Adj'!Q60</f>
        <v>0</v>
      </c>
      <c r="R60" s="73">
        <f>'Restating Adj'!R60+'Pro Forma Adj'!R60</f>
        <v>0</v>
      </c>
      <c r="S60" s="29">
        <f>'Restating Adj'!S60+'Pro Forma Adj'!S60</f>
        <v>0</v>
      </c>
      <c r="T60" s="72">
        <f>'Restating Adj'!T60+'Pro Forma Adj'!T60</f>
        <v>0</v>
      </c>
      <c r="U60" s="72">
        <f>'Restating Adj'!U60+'Pro Forma Adj'!U60</f>
        <v>0</v>
      </c>
      <c r="V60" s="72">
        <f>'Restating Adj'!V60+'Pro Forma Adj'!V60</f>
        <v>0</v>
      </c>
      <c r="W60" s="73">
        <f>'Restating Adj'!W60+'Pro Forma Adj'!W60</f>
        <v>0</v>
      </c>
      <c r="X60" s="259">
        <f>'Restating Adj'!X60+'Pro Forma Adj'!X60</f>
        <v>0</v>
      </c>
      <c r="Y60" s="29">
        <f>'Restating Adj'!Y60+'Pro Forma Adj'!Y60</f>
        <v>0</v>
      </c>
      <c r="Z60" s="72">
        <f>'Restating Adj'!Z60+'Pro Forma Adj'!Z60</f>
        <v>0</v>
      </c>
      <c r="AA60" s="72">
        <f>'Restating Adj'!AA60+'Pro Forma Adj'!AA60</f>
        <v>0</v>
      </c>
      <c r="AB60" s="29">
        <f>'Restating Adj'!AB60+'Pro Forma Adj'!AB60</f>
        <v>0</v>
      </c>
      <c r="AC60" s="73">
        <f>'Restating Adj'!AC60+'Pro Forma Adj'!AC60</f>
        <v>0</v>
      </c>
      <c r="AD60" s="29">
        <f>'Restating Adj'!AD60+'Pro Forma Adj'!AD60</f>
        <v>0</v>
      </c>
      <c r="AE60" s="72">
        <f>'Restating Adj'!AE60+'Pro Forma Adj'!AE60</f>
        <v>0</v>
      </c>
      <c r="AF60" s="72">
        <f>'Restating Adj'!AF60+'Pro Forma Adj'!AF60</f>
        <v>0</v>
      </c>
      <c r="AG60" s="72">
        <f>'Restating Adj'!AG60+'Pro Forma Adj'!AG60</f>
        <v>0</v>
      </c>
      <c r="AH60" s="72">
        <f>'Restating Adj'!AH60+'Pro Forma Adj'!AH60</f>
        <v>0</v>
      </c>
      <c r="AI60" s="73">
        <f>'Restating Adj'!AI60+'Pro Forma Adj'!AI60</f>
        <v>0</v>
      </c>
      <c r="AJ60" s="29">
        <f>'Restating Adj'!AJ60+'Pro Forma Adj'!AJ60</f>
        <v>0</v>
      </c>
      <c r="AK60" s="72">
        <f>'Restating Adj'!AK60+'Pro Forma Adj'!AK60</f>
        <v>0</v>
      </c>
      <c r="AL60" s="29">
        <f>'Restating Adj'!AL60+'Pro Forma Adj'!AL60</f>
        <v>0</v>
      </c>
      <c r="AM60" s="72">
        <f>'Restating Adj'!AM60+'Pro Forma Adj'!AM60</f>
        <v>0</v>
      </c>
      <c r="AN60" s="72">
        <f>'Restating Adj'!AN60+'Pro Forma Adj'!AN60</f>
        <v>0</v>
      </c>
      <c r="AO60" s="73">
        <f>'Restating Adj'!AO60+'Pro Forma Adj'!AO60</f>
        <v>0</v>
      </c>
      <c r="AP60" s="29">
        <f>'Restating Adj'!AP60+'Pro Forma Adj'!AP60</f>
        <v>0</v>
      </c>
      <c r="AQ60" s="72">
        <f>'Restating Adj'!AQ60+'Pro Forma Adj'!AQ60</f>
        <v>0</v>
      </c>
      <c r="AR60" s="72">
        <f>'Restating Adj'!AR60+'Pro Forma Adj'!AR60</f>
        <v>0</v>
      </c>
      <c r="AS60" s="72">
        <f>'Restating Adj'!AS60+'Pro Forma Adj'!AS60</f>
        <v>0</v>
      </c>
      <c r="AT60" s="72">
        <f>'Restating Adj'!AT60+'Pro Forma Adj'!AT60</f>
        <v>0</v>
      </c>
      <c r="AU60" s="73">
        <f>'Restating Adj'!AU60+'Pro Forma Adj'!AU60</f>
        <v>0</v>
      </c>
      <c r="AV60" s="29">
        <f>'Restating Adj'!AV60+'Pro Forma Adj'!AV60</f>
        <v>0</v>
      </c>
      <c r="AW60" s="73">
        <f>'Restating Adj'!AW60+'Pro Forma Adj'!AW60</f>
        <v>0</v>
      </c>
      <c r="AX60" s="259">
        <f>'Restating Adj'!AX60+'Pro Forma Adj'!AX60</f>
        <v>0</v>
      </c>
      <c r="AY60" s="29">
        <f>'Restating Adj'!AY60+'Pro Forma Adj'!AY60</f>
        <v>0</v>
      </c>
      <c r="AZ60" s="72">
        <f>'Restating Adj'!AZ60+'Pro Forma Adj'!AZ60</f>
        <v>0</v>
      </c>
      <c r="BA60" s="73">
        <f>'Restating Adj'!BA60+'Pro Forma Adj'!BA60</f>
        <v>0</v>
      </c>
      <c r="BB60" s="29">
        <f>'Restating Adj'!BB60+'Pro Forma Adj'!BB60</f>
        <v>0</v>
      </c>
      <c r="BC60" s="72">
        <f>'Restating Adj'!BC60+'Pro Forma Adj'!BC60</f>
        <v>0</v>
      </c>
      <c r="BD60" s="72">
        <f>'Restating Adj'!BD60+'Pro Forma Adj'!BD60</f>
        <v>0</v>
      </c>
      <c r="BE60" s="72">
        <f>'Restating Adj'!BE60+'Pro Forma Adj'!BE60</f>
        <v>0</v>
      </c>
      <c r="BF60" s="73">
        <f>'Restating Adj'!BF60+'Pro Forma Adj'!BF60</f>
        <v>0</v>
      </c>
    </row>
    <row r="61" spans="1:58" x14ac:dyDescent="0.2">
      <c r="A61" s="14" t="s">
        <v>90</v>
      </c>
      <c r="B61" s="28">
        <f t="shared" si="48"/>
        <v>-1733115.077035418</v>
      </c>
      <c r="C61" s="29">
        <f>'Restating Adj'!C61+'Pro Forma Adj'!C61</f>
        <v>0</v>
      </c>
      <c r="D61" s="72">
        <f>'Restating Adj'!D61+'Pro Forma Adj'!D61</f>
        <v>0</v>
      </c>
      <c r="E61" s="72">
        <f>'Restating Adj'!E61+'Pro Forma Adj'!E61</f>
        <v>0</v>
      </c>
      <c r="F61" s="259">
        <f>'Restating Adj'!F61+'Pro Forma Adj'!F61</f>
        <v>0</v>
      </c>
      <c r="G61" s="29">
        <f>'Restating Adj'!G61+'Pro Forma Adj'!G61</f>
        <v>0</v>
      </c>
      <c r="H61" s="72">
        <f>'Restating Adj'!H61+'Pro Forma Adj'!H61</f>
        <v>0</v>
      </c>
      <c r="I61" s="72">
        <f>'Restating Adj'!I61+'Pro Forma Adj'!I61</f>
        <v>0</v>
      </c>
      <c r="J61" s="72">
        <f>'Restating Adj'!J61+'Pro Forma Adj'!J61</f>
        <v>0</v>
      </c>
      <c r="K61" s="72">
        <f>'Restating Adj'!K61+'Pro Forma Adj'!K61</f>
        <v>0</v>
      </c>
      <c r="L61" s="73">
        <f>'Restating Adj'!L61+'Pro Forma Adj'!L61</f>
        <v>0</v>
      </c>
      <c r="M61" s="29">
        <f>'Restating Adj'!M61+'Pro Forma Adj'!M61</f>
        <v>0</v>
      </c>
      <c r="N61" s="72">
        <f>'Restating Adj'!N61+'Pro Forma Adj'!N61</f>
        <v>0</v>
      </c>
      <c r="O61" s="72">
        <f>'Restating Adj'!O61+'Pro Forma Adj'!O61</f>
        <v>0</v>
      </c>
      <c r="P61" s="72">
        <f>'Restating Adj'!P61+'Pro Forma Adj'!P61</f>
        <v>0</v>
      </c>
      <c r="Q61" s="72">
        <f>'Restating Adj'!Q61+'Pro Forma Adj'!Q61</f>
        <v>0</v>
      </c>
      <c r="R61" s="73">
        <f>'Restating Adj'!R61+'Pro Forma Adj'!R61</f>
        <v>0</v>
      </c>
      <c r="S61" s="29">
        <f>'Restating Adj'!S61+'Pro Forma Adj'!S61</f>
        <v>0</v>
      </c>
      <c r="T61" s="72">
        <f>'Restating Adj'!T61+'Pro Forma Adj'!T61</f>
        <v>0</v>
      </c>
      <c r="U61" s="72">
        <f>'Restating Adj'!U61+'Pro Forma Adj'!U61</f>
        <v>0</v>
      </c>
      <c r="V61" s="72">
        <f>'Restating Adj'!V61+'Pro Forma Adj'!V61</f>
        <v>0</v>
      </c>
      <c r="W61" s="73">
        <f>'Restating Adj'!W61+'Pro Forma Adj'!W61</f>
        <v>0</v>
      </c>
      <c r="X61" s="259">
        <f>'Restating Adj'!X61+'Pro Forma Adj'!X61</f>
        <v>0</v>
      </c>
      <c r="Y61" s="29">
        <f>'Restating Adj'!Y61+'Pro Forma Adj'!Y61</f>
        <v>0</v>
      </c>
      <c r="Z61" s="72">
        <f>'Restating Adj'!Z61+'Pro Forma Adj'!Z61</f>
        <v>0</v>
      </c>
      <c r="AA61" s="72">
        <f>'Restating Adj'!AA61+'Pro Forma Adj'!AA61</f>
        <v>0</v>
      </c>
      <c r="AB61" s="29">
        <f>'Restating Adj'!AB61+'Pro Forma Adj'!AB61</f>
        <v>0</v>
      </c>
      <c r="AC61" s="73">
        <f>'Restating Adj'!AC61+'Pro Forma Adj'!AC61</f>
        <v>0</v>
      </c>
      <c r="AD61" s="29">
        <f>'Restating Adj'!AD61+'Pro Forma Adj'!AD61</f>
        <v>0</v>
      </c>
      <c r="AE61" s="72">
        <f>'Restating Adj'!AE61+'Pro Forma Adj'!AE61</f>
        <v>0</v>
      </c>
      <c r="AF61" s="72">
        <f>'Restating Adj'!AF61+'Pro Forma Adj'!AF61</f>
        <v>0</v>
      </c>
      <c r="AG61" s="72">
        <f>'Restating Adj'!AG61+'Pro Forma Adj'!AG61</f>
        <v>0</v>
      </c>
      <c r="AH61" s="72">
        <f>'Restating Adj'!AH61+'Pro Forma Adj'!AH61</f>
        <v>0</v>
      </c>
      <c r="AI61" s="73">
        <f>'Restating Adj'!AI61+'Pro Forma Adj'!AI61</f>
        <v>0</v>
      </c>
      <c r="AJ61" s="29">
        <f>'Restating Adj'!AJ61+'Pro Forma Adj'!AJ61</f>
        <v>0</v>
      </c>
      <c r="AK61" s="72">
        <f>'Restating Adj'!AK61+'Pro Forma Adj'!AK61</f>
        <v>0</v>
      </c>
      <c r="AL61" s="29">
        <f>'Restating Adj'!AL61+'Pro Forma Adj'!AL61</f>
        <v>0</v>
      </c>
      <c r="AM61" s="72">
        <f>'Restating Adj'!AM61+'Pro Forma Adj'!AM61</f>
        <v>0</v>
      </c>
      <c r="AN61" s="72">
        <f>'Restating Adj'!AN61+'Pro Forma Adj'!AN61</f>
        <v>-1733115.077035418</v>
      </c>
      <c r="AO61" s="73">
        <f>'Restating Adj'!AO61+'Pro Forma Adj'!AO61</f>
        <v>0</v>
      </c>
      <c r="AP61" s="29">
        <f>'Restating Adj'!AP61+'Pro Forma Adj'!AP61</f>
        <v>0</v>
      </c>
      <c r="AQ61" s="72">
        <f>'Restating Adj'!AQ61+'Pro Forma Adj'!AQ61</f>
        <v>0</v>
      </c>
      <c r="AR61" s="72">
        <f>'Restating Adj'!AR61+'Pro Forma Adj'!AR61</f>
        <v>0</v>
      </c>
      <c r="AS61" s="72">
        <f>'Restating Adj'!AS61+'Pro Forma Adj'!AS61</f>
        <v>0</v>
      </c>
      <c r="AT61" s="72">
        <f>'Restating Adj'!AT61+'Pro Forma Adj'!AT61</f>
        <v>0</v>
      </c>
      <c r="AU61" s="73">
        <f>'Restating Adj'!AU61+'Pro Forma Adj'!AU61</f>
        <v>0</v>
      </c>
      <c r="AV61" s="29">
        <f>'Restating Adj'!AV61+'Pro Forma Adj'!AV61</f>
        <v>0</v>
      </c>
      <c r="AW61" s="73">
        <f>'Restating Adj'!AW61+'Pro Forma Adj'!AW61</f>
        <v>0</v>
      </c>
      <c r="AX61" s="259">
        <f>'Restating Adj'!AX61+'Pro Forma Adj'!AX61</f>
        <v>0</v>
      </c>
      <c r="AY61" s="29">
        <f>'Restating Adj'!AY61+'Pro Forma Adj'!AY61</f>
        <v>0</v>
      </c>
      <c r="AZ61" s="72">
        <f>'Restating Adj'!AZ61+'Pro Forma Adj'!AZ61</f>
        <v>0</v>
      </c>
      <c r="BA61" s="73">
        <f>'Restating Adj'!BA61+'Pro Forma Adj'!BA61</f>
        <v>0</v>
      </c>
      <c r="BB61" s="29">
        <f>'Restating Adj'!BB61+'Pro Forma Adj'!BB61</f>
        <v>0</v>
      </c>
      <c r="BC61" s="72">
        <f>'Restating Adj'!BC61+'Pro Forma Adj'!BC61</f>
        <v>0</v>
      </c>
      <c r="BD61" s="72">
        <f>'Restating Adj'!BD61+'Pro Forma Adj'!BD61</f>
        <v>0</v>
      </c>
      <c r="BE61" s="72">
        <f>'Restating Adj'!BE61+'Pro Forma Adj'!BE61</f>
        <v>0</v>
      </c>
      <c r="BF61" s="73">
        <f>'Restating Adj'!BF61+'Pro Forma Adj'!BF61</f>
        <v>0</v>
      </c>
    </row>
    <row r="62" spans="1:58" x14ac:dyDescent="0.2">
      <c r="A62" s="14" t="s">
        <v>91</v>
      </c>
      <c r="B62" s="28">
        <f t="shared" si="48"/>
        <v>-408390.63249999989</v>
      </c>
      <c r="C62" s="29">
        <f>'Restating Adj'!C62+'Pro Forma Adj'!C62</f>
        <v>0</v>
      </c>
      <c r="D62" s="72">
        <f>'Restating Adj'!D62+'Pro Forma Adj'!D62</f>
        <v>0</v>
      </c>
      <c r="E62" s="72">
        <f>'Restating Adj'!E62+'Pro Forma Adj'!E62</f>
        <v>0</v>
      </c>
      <c r="F62" s="259">
        <f>'Restating Adj'!F62+'Pro Forma Adj'!F62</f>
        <v>0</v>
      </c>
      <c r="G62" s="29">
        <f>'Restating Adj'!G62+'Pro Forma Adj'!G62</f>
        <v>0</v>
      </c>
      <c r="H62" s="72">
        <f>'Restating Adj'!H62+'Pro Forma Adj'!H62</f>
        <v>0</v>
      </c>
      <c r="I62" s="72">
        <f>'Restating Adj'!I62+'Pro Forma Adj'!I62</f>
        <v>0</v>
      </c>
      <c r="J62" s="72">
        <f>'Restating Adj'!J62+'Pro Forma Adj'!J62</f>
        <v>0</v>
      </c>
      <c r="K62" s="72">
        <f>'Restating Adj'!K62+'Pro Forma Adj'!K62</f>
        <v>0</v>
      </c>
      <c r="L62" s="73">
        <f>'Restating Adj'!L62+'Pro Forma Adj'!L62</f>
        <v>0</v>
      </c>
      <c r="M62" s="29">
        <f>'Restating Adj'!M62+'Pro Forma Adj'!M62</f>
        <v>0</v>
      </c>
      <c r="N62" s="72">
        <f>'Restating Adj'!N62+'Pro Forma Adj'!N62</f>
        <v>0</v>
      </c>
      <c r="O62" s="72">
        <f>'Restating Adj'!O62+'Pro Forma Adj'!O62</f>
        <v>0</v>
      </c>
      <c r="P62" s="72">
        <f>'Restating Adj'!P62+'Pro Forma Adj'!P62</f>
        <v>0</v>
      </c>
      <c r="Q62" s="72">
        <f>'Restating Adj'!Q62+'Pro Forma Adj'!Q62</f>
        <v>0</v>
      </c>
      <c r="R62" s="73">
        <f>'Restating Adj'!R62+'Pro Forma Adj'!R62</f>
        <v>0</v>
      </c>
      <c r="S62" s="29">
        <f>'Restating Adj'!S62+'Pro Forma Adj'!S62</f>
        <v>0</v>
      </c>
      <c r="T62" s="72">
        <f>'Restating Adj'!T62+'Pro Forma Adj'!T62</f>
        <v>0</v>
      </c>
      <c r="U62" s="72">
        <f>'Restating Adj'!U62+'Pro Forma Adj'!U62</f>
        <v>0</v>
      </c>
      <c r="V62" s="72">
        <f>'Restating Adj'!V62+'Pro Forma Adj'!V62</f>
        <v>0</v>
      </c>
      <c r="W62" s="73">
        <f>'Restating Adj'!W62+'Pro Forma Adj'!W62</f>
        <v>0</v>
      </c>
      <c r="X62" s="259">
        <f>'Restating Adj'!X62+'Pro Forma Adj'!X62</f>
        <v>0</v>
      </c>
      <c r="Y62" s="29">
        <f>'Restating Adj'!Y62+'Pro Forma Adj'!Y62</f>
        <v>0</v>
      </c>
      <c r="Z62" s="72">
        <f>'Restating Adj'!Z62+'Pro Forma Adj'!Z62</f>
        <v>0</v>
      </c>
      <c r="AA62" s="72">
        <f>'Restating Adj'!AA62+'Pro Forma Adj'!AA62</f>
        <v>0</v>
      </c>
      <c r="AB62" s="29">
        <f>'Restating Adj'!AB62+'Pro Forma Adj'!AB62</f>
        <v>0</v>
      </c>
      <c r="AC62" s="73">
        <f>'Restating Adj'!AC62+'Pro Forma Adj'!AC62</f>
        <v>0</v>
      </c>
      <c r="AD62" s="29">
        <f>'Restating Adj'!AD62+'Pro Forma Adj'!AD62</f>
        <v>0</v>
      </c>
      <c r="AE62" s="72">
        <f>'Restating Adj'!AE62+'Pro Forma Adj'!AE62</f>
        <v>0</v>
      </c>
      <c r="AF62" s="72">
        <f>'Restating Adj'!AF62+'Pro Forma Adj'!AF62</f>
        <v>0</v>
      </c>
      <c r="AG62" s="72">
        <f>'Restating Adj'!AG62+'Pro Forma Adj'!AG62</f>
        <v>0</v>
      </c>
      <c r="AH62" s="72">
        <f>'Restating Adj'!AH62+'Pro Forma Adj'!AH62</f>
        <v>0</v>
      </c>
      <c r="AI62" s="73">
        <f>'Restating Adj'!AI62+'Pro Forma Adj'!AI62</f>
        <v>0</v>
      </c>
      <c r="AJ62" s="29">
        <f>'Restating Adj'!AJ62+'Pro Forma Adj'!AJ62</f>
        <v>0</v>
      </c>
      <c r="AK62" s="72">
        <f>'Restating Adj'!AK62+'Pro Forma Adj'!AK62</f>
        <v>0</v>
      </c>
      <c r="AL62" s="29">
        <f>'Restating Adj'!AL62+'Pro Forma Adj'!AL62</f>
        <v>0</v>
      </c>
      <c r="AM62" s="72">
        <f>'Restating Adj'!AM62+'Pro Forma Adj'!AM62</f>
        <v>0</v>
      </c>
      <c r="AN62" s="72">
        <f>'Restating Adj'!AN62+'Pro Forma Adj'!AN62</f>
        <v>0</v>
      </c>
      <c r="AO62" s="73">
        <f>'Restating Adj'!AO62+'Pro Forma Adj'!AO62</f>
        <v>0</v>
      </c>
      <c r="AP62" s="29">
        <f>'Restating Adj'!AP62+'Pro Forma Adj'!AP62</f>
        <v>0</v>
      </c>
      <c r="AQ62" s="72">
        <f>'Restating Adj'!AQ62+'Pro Forma Adj'!AQ62</f>
        <v>-408390.63249999989</v>
      </c>
      <c r="AR62" s="72">
        <f>'Restating Adj'!AR62+'Pro Forma Adj'!AR62</f>
        <v>0</v>
      </c>
      <c r="AS62" s="72">
        <f>'Restating Adj'!AS62+'Pro Forma Adj'!AS62</f>
        <v>0</v>
      </c>
      <c r="AT62" s="72">
        <f>'Restating Adj'!AT62+'Pro Forma Adj'!AT62</f>
        <v>0</v>
      </c>
      <c r="AU62" s="73">
        <f>'Restating Adj'!AU62+'Pro Forma Adj'!AU62</f>
        <v>0</v>
      </c>
      <c r="AV62" s="29">
        <f>'Restating Adj'!AV62+'Pro Forma Adj'!AV62</f>
        <v>0</v>
      </c>
      <c r="AW62" s="73">
        <f>'Restating Adj'!AW62+'Pro Forma Adj'!AW62</f>
        <v>0</v>
      </c>
      <c r="AX62" s="259">
        <f>'Restating Adj'!AX62+'Pro Forma Adj'!AX62</f>
        <v>0</v>
      </c>
      <c r="AY62" s="29">
        <f>'Restating Adj'!AY62+'Pro Forma Adj'!AY62</f>
        <v>0</v>
      </c>
      <c r="AZ62" s="72">
        <f>'Restating Adj'!AZ62+'Pro Forma Adj'!AZ62</f>
        <v>0</v>
      </c>
      <c r="BA62" s="73">
        <f>'Restating Adj'!BA62+'Pro Forma Adj'!BA62</f>
        <v>0</v>
      </c>
      <c r="BB62" s="29">
        <f>'Restating Adj'!BB62+'Pro Forma Adj'!BB62</f>
        <v>0</v>
      </c>
      <c r="BC62" s="72">
        <f>'Restating Adj'!BC62+'Pro Forma Adj'!BC62</f>
        <v>0</v>
      </c>
      <c r="BD62" s="72">
        <f>'Restating Adj'!BD62+'Pro Forma Adj'!BD62</f>
        <v>0</v>
      </c>
      <c r="BE62" s="72">
        <f>'Restating Adj'!BE62+'Pro Forma Adj'!BE62</f>
        <v>0</v>
      </c>
      <c r="BF62" s="73">
        <f>'Restating Adj'!BF62+'Pro Forma Adj'!BF62</f>
        <v>0</v>
      </c>
    </row>
    <row r="63" spans="1:58" x14ac:dyDescent="0.2">
      <c r="A63" s="14" t="s">
        <v>92</v>
      </c>
      <c r="B63" s="28">
        <f t="shared" si="48"/>
        <v>81877534.973712951</v>
      </c>
      <c r="C63" s="29">
        <f>'Restating Adj'!C63+'Pro Forma Adj'!C63</f>
        <v>0</v>
      </c>
      <c r="D63" s="72">
        <f>'Restating Adj'!D63+'Pro Forma Adj'!D63</f>
        <v>0</v>
      </c>
      <c r="E63" s="72">
        <f>'Restating Adj'!E63+'Pro Forma Adj'!E63</f>
        <v>0</v>
      </c>
      <c r="F63" s="259">
        <f>'Restating Adj'!F63+'Pro Forma Adj'!F63</f>
        <v>0</v>
      </c>
      <c r="G63" s="29">
        <f>'Restating Adj'!G63+'Pro Forma Adj'!G63</f>
        <v>0</v>
      </c>
      <c r="H63" s="72">
        <f>'Restating Adj'!H63+'Pro Forma Adj'!H63</f>
        <v>0</v>
      </c>
      <c r="I63" s="72">
        <f>'Restating Adj'!I63+'Pro Forma Adj'!I63</f>
        <v>0</v>
      </c>
      <c r="J63" s="72">
        <f>'Restating Adj'!J63+'Pro Forma Adj'!J63</f>
        <v>0</v>
      </c>
      <c r="K63" s="72">
        <f>'Restating Adj'!K63+'Pro Forma Adj'!K63</f>
        <v>0</v>
      </c>
      <c r="L63" s="73">
        <f>'Restating Adj'!L63+'Pro Forma Adj'!L63</f>
        <v>0</v>
      </c>
      <c r="M63" s="29">
        <f>'Restating Adj'!M63+'Pro Forma Adj'!M63</f>
        <v>0</v>
      </c>
      <c r="N63" s="72">
        <f>'Restating Adj'!N63+'Pro Forma Adj'!N63</f>
        <v>0</v>
      </c>
      <c r="O63" s="72">
        <f>'Restating Adj'!O63+'Pro Forma Adj'!O63</f>
        <v>0</v>
      </c>
      <c r="P63" s="72">
        <f>'Restating Adj'!P63+'Pro Forma Adj'!P63</f>
        <v>0</v>
      </c>
      <c r="Q63" s="72">
        <f>'Restating Adj'!Q63+'Pro Forma Adj'!Q63</f>
        <v>0</v>
      </c>
      <c r="R63" s="73">
        <f>'Restating Adj'!R63+'Pro Forma Adj'!R63</f>
        <v>0</v>
      </c>
      <c r="S63" s="29">
        <f>'Restating Adj'!S63+'Pro Forma Adj'!S63</f>
        <v>0</v>
      </c>
      <c r="T63" s="72">
        <f>'Restating Adj'!T63+'Pro Forma Adj'!T63</f>
        <v>0</v>
      </c>
      <c r="U63" s="72">
        <f>'Restating Adj'!U63+'Pro Forma Adj'!U63</f>
        <v>0</v>
      </c>
      <c r="V63" s="72">
        <f>'Restating Adj'!V63+'Pro Forma Adj'!V63</f>
        <v>0</v>
      </c>
      <c r="W63" s="73">
        <f>'Restating Adj'!W63+'Pro Forma Adj'!W63</f>
        <v>0</v>
      </c>
      <c r="X63" s="259">
        <f>'Restating Adj'!X63+'Pro Forma Adj'!X63</f>
        <v>0</v>
      </c>
      <c r="Y63" s="29">
        <f>'Restating Adj'!Y63+'Pro Forma Adj'!Y63</f>
        <v>0</v>
      </c>
      <c r="Z63" s="72">
        <f>'Restating Adj'!Z63+'Pro Forma Adj'!Z63</f>
        <v>0</v>
      </c>
      <c r="AA63" s="72">
        <f>'Restating Adj'!AA63+'Pro Forma Adj'!AA63</f>
        <v>-16478622.876949267</v>
      </c>
      <c r="AB63" s="29">
        <f>'Restating Adj'!AB63+'Pro Forma Adj'!AB63</f>
        <v>0</v>
      </c>
      <c r="AC63" s="73">
        <f>'Restating Adj'!AC63+'Pro Forma Adj'!AC63</f>
        <v>0</v>
      </c>
      <c r="AD63" s="29">
        <f>'Restating Adj'!AD63+'Pro Forma Adj'!AD63</f>
        <v>0</v>
      </c>
      <c r="AE63" s="72">
        <f>'Restating Adj'!AE63+'Pro Forma Adj'!AE63</f>
        <v>0</v>
      </c>
      <c r="AF63" s="72">
        <f>'Restating Adj'!AF63+'Pro Forma Adj'!AF63</f>
        <v>0</v>
      </c>
      <c r="AG63" s="72">
        <f>'Restating Adj'!AG63+'Pro Forma Adj'!AG63</f>
        <v>0</v>
      </c>
      <c r="AH63" s="72">
        <f>'Restating Adj'!AH63+'Pro Forma Adj'!AH63</f>
        <v>0</v>
      </c>
      <c r="AI63" s="73">
        <f>'Restating Adj'!AI63+'Pro Forma Adj'!AI63</f>
        <v>53324397</v>
      </c>
      <c r="AJ63" s="29">
        <f>'Restating Adj'!AJ63+'Pro Forma Adj'!AJ63</f>
        <v>0</v>
      </c>
      <c r="AK63" s="72">
        <f>'Restating Adj'!AK63+'Pro Forma Adj'!AK63</f>
        <v>0</v>
      </c>
      <c r="AL63" s="29">
        <f>'Restating Adj'!AL63+'Pro Forma Adj'!AL63</f>
        <v>0</v>
      </c>
      <c r="AM63" s="72">
        <f>'Restating Adj'!AM63+'Pro Forma Adj'!AM63</f>
        <v>34836222.479999982</v>
      </c>
      <c r="AN63" s="72">
        <f>'Restating Adj'!AN63+'Pro Forma Adj'!AN63</f>
        <v>0</v>
      </c>
      <c r="AO63" s="73">
        <f>'Restating Adj'!AO63+'Pro Forma Adj'!AO63</f>
        <v>0</v>
      </c>
      <c r="AP63" s="29">
        <f>'Restating Adj'!AP63+'Pro Forma Adj'!AP63</f>
        <v>10195538.370662238</v>
      </c>
      <c r="AQ63" s="72">
        <f>'Restating Adj'!AQ63+'Pro Forma Adj'!AQ63</f>
        <v>0</v>
      </c>
      <c r="AR63" s="72">
        <f>'Restating Adj'!AR63+'Pro Forma Adj'!AR63</f>
        <v>0</v>
      </c>
      <c r="AS63" s="72">
        <f>'Restating Adj'!AS63+'Pro Forma Adj'!AS63</f>
        <v>0</v>
      </c>
      <c r="AT63" s="72">
        <f>'Restating Adj'!AT63+'Pro Forma Adj'!AT63</f>
        <v>0</v>
      </c>
      <c r="AU63" s="73">
        <f>'Restating Adj'!AU63+'Pro Forma Adj'!AU63</f>
        <v>0</v>
      </c>
      <c r="AV63" s="29">
        <f>'Restating Adj'!AV63+'Pro Forma Adj'!AV63</f>
        <v>0</v>
      </c>
      <c r="AW63" s="73">
        <f>'Restating Adj'!AW63+'Pro Forma Adj'!AW63</f>
        <v>0</v>
      </c>
      <c r="AX63" s="259">
        <f>'Restating Adj'!AX63+'Pro Forma Adj'!AX63</f>
        <v>0</v>
      </c>
      <c r="AY63" s="29">
        <f>'Restating Adj'!AY63+'Pro Forma Adj'!AY63</f>
        <v>0</v>
      </c>
      <c r="AZ63" s="72">
        <f>'Restating Adj'!AZ63+'Pro Forma Adj'!AZ63</f>
        <v>0</v>
      </c>
      <c r="BA63" s="73">
        <f>'Restating Adj'!BA63+'Pro Forma Adj'!BA63</f>
        <v>0</v>
      </c>
      <c r="BB63" s="29">
        <f>'Restating Adj'!BB63+'Pro Forma Adj'!BB63</f>
        <v>0</v>
      </c>
      <c r="BC63" s="72">
        <f>'Restating Adj'!BC63+'Pro Forma Adj'!BC63</f>
        <v>0</v>
      </c>
      <c r="BD63" s="72">
        <f>'Restating Adj'!BD63+'Pro Forma Adj'!BD63</f>
        <v>0</v>
      </c>
      <c r="BE63" s="72">
        <f>'Restating Adj'!BE63+'Pro Forma Adj'!BE63</f>
        <v>0</v>
      </c>
      <c r="BF63" s="73">
        <f>'Restating Adj'!BF63+'Pro Forma Adj'!BF63</f>
        <v>0</v>
      </c>
    </row>
    <row r="64" spans="1:58" x14ac:dyDescent="0.2">
      <c r="A64" s="14"/>
      <c r="B64" s="27">
        <f t="shared" si="48"/>
        <v>0</v>
      </c>
      <c r="C64" s="27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69">
        <f>'Restating Adj'!F64+'Pro Forma Adj'!F64</f>
        <v>0</v>
      </c>
      <c r="G64" s="27">
        <f>'Restating Adj'!G64+'Pro Forma Adj'!G64</f>
        <v>0</v>
      </c>
      <c r="H64" s="12">
        <f>'Restating Adj'!H64+'Pro Forma Adj'!H64</f>
        <v>0</v>
      </c>
      <c r="I64" s="12">
        <f>'Restating Adj'!I64+'Pro Forma Adj'!I64</f>
        <v>0</v>
      </c>
      <c r="J64" s="12">
        <f>'Restating Adj'!J64+'Pro Forma Adj'!J64</f>
        <v>0</v>
      </c>
      <c r="K64" s="12">
        <f>'Restating Adj'!K64+'Pro Forma Adj'!K64</f>
        <v>0</v>
      </c>
      <c r="L64" s="68">
        <f>'Restating Adj'!L64+'Pro Forma Adj'!L64</f>
        <v>0</v>
      </c>
      <c r="M64" s="27">
        <f>'Restating Adj'!M64+'Pro Forma Adj'!M64</f>
        <v>0</v>
      </c>
      <c r="N64" s="12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12">
        <f>'Restating Adj'!Q64+'Pro Forma Adj'!Q64</f>
        <v>0</v>
      </c>
      <c r="R64" s="68">
        <f>'Restating Adj'!R64+'Pro Forma Adj'!R64</f>
        <v>0</v>
      </c>
      <c r="S64" s="27">
        <f>'Restating Adj'!S64+'Pro Forma Adj'!S64</f>
        <v>0</v>
      </c>
      <c r="T64" s="12">
        <f>'Restating Adj'!T64+'Pro Forma Adj'!T64</f>
        <v>0</v>
      </c>
      <c r="U64" s="12">
        <f>'Restating Adj'!U64+'Pro Forma Adj'!U64</f>
        <v>0</v>
      </c>
      <c r="V64" s="12">
        <f>'Restating Adj'!V64+'Pro Forma Adj'!V64</f>
        <v>0</v>
      </c>
      <c r="W64" s="68">
        <f>'Restating Adj'!W64+'Pro Forma Adj'!W64</f>
        <v>0</v>
      </c>
      <c r="X64" s="69">
        <f>'Restating Adj'!X64+'Pro Forma Adj'!X64</f>
        <v>0</v>
      </c>
      <c r="Y64" s="27">
        <f>'Restating Adj'!Y64+'Pro Forma Adj'!Y64</f>
        <v>0</v>
      </c>
      <c r="Z64" s="12">
        <f>'Restating Adj'!Z64+'Pro Forma Adj'!Z64</f>
        <v>0</v>
      </c>
      <c r="AA64" s="12">
        <f>'Restating Adj'!AA64+'Pro Forma Adj'!AA64</f>
        <v>0</v>
      </c>
      <c r="AB64" s="27">
        <f>'Restating Adj'!AB64+'Pro Forma Adj'!AB64</f>
        <v>0</v>
      </c>
      <c r="AC64" s="68">
        <f>'Restating Adj'!AC64+'Pro Forma Adj'!AC64</f>
        <v>0</v>
      </c>
      <c r="AD64" s="27">
        <f>'Restating Adj'!AD64+'Pro Forma Adj'!AD64</f>
        <v>0</v>
      </c>
      <c r="AE64" s="12">
        <f>'Restating Adj'!AE64+'Pro Forma Adj'!AE64</f>
        <v>0</v>
      </c>
      <c r="AF64" s="12">
        <f>'Restating Adj'!AF64+'Pro Forma Adj'!AF64</f>
        <v>0</v>
      </c>
      <c r="AG64" s="12">
        <f>'Restating Adj'!AG64+'Pro Forma Adj'!AG64</f>
        <v>0</v>
      </c>
      <c r="AH64" s="12">
        <f>'Restating Adj'!AH64+'Pro Forma Adj'!AH64</f>
        <v>0</v>
      </c>
      <c r="AI64" s="68">
        <f>'Restating Adj'!AI64+'Pro Forma Adj'!AI64</f>
        <v>0</v>
      </c>
      <c r="AJ64" s="27">
        <f>'Restating Adj'!AJ64+'Pro Forma Adj'!AJ64</f>
        <v>0</v>
      </c>
      <c r="AK64" s="12">
        <f>'Restating Adj'!AK64+'Pro Forma Adj'!AK64</f>
        <v>0</v>
      </c>
      <c r="AL64" s="27">
        <f>'Restating Adj'!AL64+'Pro Forma Adj'!AL64</f>
        <v>0</v>
      </c>
      <c r="AM64" s="12">
        <f>'Restating Adj'!AM64+'Pro Forma Adj'!AM64</f>
        <v>0</v>
      </c>
      <c r="AN64" s="12">
        <f>'Restating Adj'!AN64+'Pro Forma Adj'!AN64</f>
        <v>0</v>
      </c>
      <c r="AO64" s="68">
        <f>'Restating Adj'!AO64+'Pro Forma Adj'!AO64</f>
        <v>0</v>
      </c>
      <c r="AP64" s="27">
        <f>'Restating Adj'!AP64+'Pro Forma Adj'!AP64</f>
        <v>0</v>
      </c>
      <c r="AQ64" s="12">
        <f>'Restating Adj'!AQ64+'Pro Forma Adj'!AQ64</f>
        <v>0</v>
      </c>
      <c r="AR64" s="12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68">
        <f>'Restating Adj'!AU64+'Pro Forma Adj'!AU64</f>
        <v>0</v>
      </c>
      <c r="AV64" s="27">
        <f>'Restating Adj'!AV64+'Pro Forma Adj'!AV64</f>
        <v>0</v>
      </c>
      <c r="AW64" s="68">
        <f>'Restating Adj'!AW64+'Pro Forma Adj'!AW64</f>
        <v>0</v>
      </c>
      <c r="AX64" s="69">
        <f>'Restating Adj'!AX64+'Pro Forma Adj'!AX64</f>
        <v>0</v>
      </c>
      <c r="AY64" s="27">
        <f>'Restating Adj'!AY64+'Pro Forma Adj'!AY64</f>
        <v>0</v>
      </c>
      <c r="AZ64" s="12">
        <f>'Restating Adj'!AZ64+'Pro Forma Adj'!AZ64</f>
        <v>0</v>
      </c>
      <c r="BA64" s="68">
        <f>'Restating Adj'!BA64+'Pro Forma Adj'!BA64</f>
        <v>0</v>
      </c>
      <c r="BB64" s="27">
        <f>'Restating Adj'!BB64+'Pro Forma Adj'!BB64</f>
        <v>0</v>
      </c>
      <c r="BC64" s="12">
        <f>'Restating Adj'!BC64+'Pro Forma Adj'!BC64</f>
        <v>0</v>
      </c>
      <c r="BD64" s="12">
        <f>'Restating Adj'!BD64+'Pro Forma Adj'!BD64</f>
        <v>0</v>
      </c>
      <c r="BE64" s="12">
        <f>'Restating Adj'!BE64+'Pro Forma Adj'!BE64</f>
        <v>0</v>
      </c>
      <c r="BF64" s="68">
        <f>'Restating Adj'!BF64+'Pro Forma Adj'!BF64</f>
        <v>0</v>
      </c>
    </row>
    <row r="65" spans="1:58" x14ac:dyDescent="0.2">
      <c r="A65" s="14" t="s">
        <v>93</v>
      </c>
      <c r="B65" s="30">
        <f t="shared" si="48"/>
        <v>-187785342.23037201</v>
      </c>
      <c r="C65" s="30">
        <f t="shared" ref="C65" si="49">SUM(C57:C64)</f>
        <v>0</v>
      </c>
      <c r="D65" s="74">
        <f t="shared" ref="D65:AO65" si="50">SUM(D57:D64)</f>
        <v>0</v>
      </c>
      <c r="E65" s="74">
        <f t="shared" si="50"/>
        <v>0</v>
      </c>
      <c r="F65" s="143">
        <f t="shared" si="50"/>
        <v>0</v>
      </c>
      <c r="G65" s="30">
        <f t="shared" si="50"/>
        <v>0</v>
      </c>
      <c r="H65" s="74">
        <f t="shared" si="50"/>
        <v>0</v>
      </c>
      <c r="I65" s="74">
        <f t="shared" si="50"/>
        <v>0</v>
      </c>
      <c r="J65" s="74">
        <f t="shared" si="50"/>
        <v>-2506736.237041242</v>
      </c>
      <c r="K65" s="74">
        <f t="shared" si="50"/>
        <v>0</v>
      </c>
      <c r="L65" s="75">
        <f t="shared" si="50"/>
        <v>0</v>
      </c>
      <c r="M65" s="30">
        <f t="shared" si="50"/>
        <v>0</v>
      </c>
      <c r="N65" s="74">
        <f t="shared" si="50"/>
        <v>0</v>
      </c>
      <c r="O65" s="74">
        <f t="shared" si="50"/>
        <v>0</v>
      </c>
      <c r="P65" s="74">
        <f t="shared" si="50"/>
        <v>1273328.1449545922</v>
      </c>
      <c r="Q65" s="74">
        <f t="shared" si="50"/>
        <v>0</v>
      </c>
      <c r="R65" s="75">
        <f t="shared" si="50"/>
        <v>0</v>
      </c>
      <c r="S65" s="30">
        <f t="shared" ref="S65:T65" si="51">SUM(S57:S64)</f>
        <v>0</v>
      </c>
      <c r="T65" s="74">
        <f t="shared" si="51"/>
        <v>0</v>
      </c>
      <c r="U65" s="74">
        <f t="shared" ref="U65:V65" si="52">SUM(U57:U64)</f>
        <v>0</v>
      </c>
      <c r="V65" s="74">
        <f t="shared" si="52"/>
        <v>0</v>
      </c>
      <c r="W65" s="75">
        <f t="shared" ref="W65" si="53">SUM(W57:W64)</f>
        <v>0</v>
      </c>
      <c r="X65" s="143">
        <f t="shared" si="50"/>
        <v>0</v>
      </c>
      <c r="Y65" s="30">
        <f t="shared" si="50"/>
        <v>-87697952.594275951</v>
      </c>
      <c r="Z65" s="74">
        <f t="shared" si="50"/>
        <v>-27898421.393283397</v>
      </c>
      <c r="AA65" s="74">
        <f t="shared" si="50"/>
        <v>-12099335.422688095</v>
      </c>
      <c r="AB65" s="30">
        <f t="shared" si="50"/>
        <v>0</v>
      </c>
      <c r="AC65" s="75">
        <f t="shared" si="50"/>
        <v>0</v>
      </c>
      <c r="AD65" s="30">
        <f t="shared" si="50"/>
        <v>0</v>
      </c>
      <c r="AE65" s="74">
        <f t="shared" si="50"/>
        <v>-32790654.435164705</v>
      </c>
      <c r="AF65" s="74">
        <f t="shared" si="50"/>
        <v>0</v>
      </c>
      <c r="AG65" s="74">
        <f t="shared" si="50"/>
        <v>28172848</v>
      </c>
      <c r="AH65" s="74">
        <f t="shared" si="50"/>
        <v>0</v>
      </c>
      <c r="AI65" s="75">
        <f>SUM(AI57:AI64)</f>
        <v>40315957.444737718</v>
      </c>
      <c r="AJ65" s="30">
        <f t="shared" si="50"/>
        <v>0</v>
      </c>
      <c r="AK65" s="74">
        <f t="shared" ref="AK65" si="54">SUM(AK57:AK64)</f>
        <v>0</v>
      </c>
      <c r="AL65" s="30">
        <f t="shared" si="50"/>
        <v>0</v>
      </c>
      <c r="AM65" s="74">
        <f t="shared" si="50"/>
        <v>26268227.410129592</v>
      </c>
      <c r="AN65" s="74">
        <f t="shared" si="50"/>
        <v>-1733115.077035418</v>
      </c>
      <c r="AO65" s="75">
        <f t="shared" si="50"/>
        <v>289567.51462348219</v>
      </c>
      <c r="AP65" s="30">
        <f t="shared" ref="AP65:AW65" si="55">SUM(AP57:AP64)</f>
        <v>10195538.370662238</v>
      </c>
      <c r="AQ65" s="74">
        <f t="shared" si="55"/>
        <v>-408390.63249999989</v>
      </c>
      <c r="AR65" s="74">
        <f t="shared" si="55"/>
        <v>0</v>
      </c>
      <c r="AS65" s="74">
        <f t="shared" si="55"/>
        <v>1259876.2248812588</v>
      </c>
      <c r="AT65" s="74">
        <f t="shared" si="55"/>
        <v>4721390.5271220487</v>
      </c>
      <c r="AU65" s="75">
        <f t="shared" si="55"/>
        <v>6364.9500362597319</v>
      </c>
      <c r="AV65" s="30">
        <f t="shared" si="55"/>
        <v>-5246.4809077935133</v>
      </c>
      <c r="AW65" s="75">
        <f t="shared" si="55"/>
        <v>-86079.075470098556</v>
      </c>
      <c r="AX65" s="143">
        <f t="shared" ref="AX65:BA65" si="56">SUM(AX57:AX64)</f>
        <v>-195149.93985409159</v>
      </c>
      <c r="AY65" s="30">
        <f t="shared" si="56"/>
        <v>153709555.36906207</v>
      </c>
      <c r="AZ65" s="74">
        <f t="shared" si="56"/>
        <v>26805369.635448936</v>
      </c>
      <c r="BA65" s="75">
        <f t="shared" si="56"/>
        <v>19267774.684308302</v>
      </c>
      <c r="BB65" s="30">
        <f t="shared" ref="BB65:BE65" si="57">SUM(BB57:BB64)</f>
        <v>-34860380.101281859</v>
      </c>
      <c r="BC65" s="74">
        <f t="shared" si="57"/>
        <v>-299666072.31202912</v>
      </c>
      <c r="BD65" s="74">
        <f t="shared" si="57"/>
        <v>-92327.12622610986</v>
      </c>
      <c r="BE65" s="74">
        <f t="shared" si="57"/>
        <v>-31279.678580632608</v>
      </c>
      <c r="BF65" s="75">
        <f t="shared" ref="BF65" si="58">SUM(BF57:BF64)</f>
        <v>0</v>
      </c>
    </row>
    <row r="66" spans="1:58" x14ac:dyDescent="0.2">
      <c r="A66" s="14"/>
      <c r="B66" s="27"/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68"/>
      <c r="AX66" s="69"/>
      <c r="AY66" s="27"/>
      <c r="AZ66" s="12"/>
      <c r="BA66" s="68"/>
      <c r="BB66" s="27"/>
      <c r="BC66" s="12"/>
      <c r="BD66" s="12"/>
      <c r="BE66" s="12"/>
      <c r="BF66" s="68"/>
    </row>
    <row r="67" spans="1:58" ht="13.5" thickBot="1" x14ac:dyDescent="0.25">
      <c r="A67" s="14" t="s">
        <v>94</v>
      </c>
      <c r="B67" s="34">
        <f>SUM(C67:BF67)</f>
        <v>-49973200.524797335</v>
      </c>
      <c r="C67" s="34">
        <f t="shared" ref="C67" si="59">C54+C65</f>
        <v>0</v>
      </c>
      <c r="D67" s="85">
        <f t="shared" ref="D67:AO67" si="60">D54+D65</f>
        <v>0</v>
      </c>
      <c r="E67" s="85">
        <f t="shared" si="60"/>
        <v>0</v>
      </c>
      <c r="F67" s="146">
        <f t="shared" si="60"/>
        <v>0</v>
      </c>
      <c r="G67" s="34">
        <f t="shared" si="60"/>
        <v>0</v>
      </c>
      <c r="H67" s="85">
        <f t="shared" si="60"/>
        <v>0</v>
      </c>
      <c r="I67" s="85">
        <f t="shared" si="60"/>
        <v>0</v>
      </c>
      <c r="J67" s="85">
        <f t="shared" si="60"/>
        <v>-2506736.237041242</v>
      </c>
      <c r="K67" s="85">
        <f t="shared" si="60"/>
        <v>0</v>
      </c>
      <c r="L67" s="147">
        <f t="shared" si="60"/>
        <v>0</v>
      </c>
      <c r="M67" s="34">
        <f t="shared" si="60"/>
        <v>0</v>
      </c>
      <c r="N67" s="85">
        <f t="shared" si="60"/>
        <v>0</v>
      </c>
      <c r="O67" s="85">
        <f t="shared" si="60"/>
        <v>0</v>
      </c>
      <c r="P67" s="85">
        <f t="shared" si="60"/>
        <v>1273328.1449545922</v>
      </c>
      <c r="Q67" s="85">
        <f t="shared" si="60"/>
        <v>0</v>
      </c>
      <c r="R67" s="147">
        <f t="shared" si="60"/>
        <v>0</v>
      </c>
      <c r="S67" s="34">
        <f t="shared" ref="S67:T67" si="61">S54+S65</f>
        <v>0</v>
      </c>
      <c r="T67" s="85">
        <f t="shared" si="61"/>
        <v>0</v>
      </c>
      <c r="U67" s="85">
        <f t="shared" ref="U67:V67" si="62">U54+U65</f>
        <v>0</v>
      </c>
      <c r="V67" s="85">
        <f t="shared" si="62"/>
        <v>0</v>
      </c>
      <c r="W67" s="147">
        <f t="shared" ref="W67" si="63">W54+W65</f>
        <v>0</v>
      </c>
      <c r="X67" s="146">
        <f t="shared" si="60"/>
        <v>0</v>
      </c>
      <c r="Y67" s="34">
        <f t="shared" si="60"/>
        <v>-87697952.594275951</v>
      </c>
      <c r="Z67" s="85">
        <f t="shared" si="60"/>
        <v>-27898421.393283397</v>
      </c>
      <c r="AA67" s="85">
        <f t="shared" si="60"/>
        <v>-12099335.422688095</v>
      </c>
      <c r="AB67" s="34">
        <f t="shared" si="60"/>
        <v>0</v>
      </c>
      <c r="AC67" s="147">
        <f t="shared" si="60"/>
        <v>0</v>
      </c>
      <c r="AD67" s="34">
        <f t="shared" si="60"/>
        <v>0</v>
      </c>
      <c r="AE67" s="85">
        <f t="shared" si="60"/>
        <v>-32790654.435164705</v>
      </c>
      <c r="AF67" s="85">
        <f t="shared" si="60"/>
        <v>0</v>
      </c>
      <c r="AG67" s="85">
        <f t="shared" si="60"/>
        <v>28172848</v>
      </c>
      <c r="AH67" s="85">
        <f t="shared" si="60"/>
        <v>0</v>
      </c>
      <c r="AI67" s="147">
        <f>AI54+AI65</f>
        <v>40315957.444737718</v>
      </c>
      <c r="AJ67" s="34">
        <f t="shared" si="60"/>
        <v>0</v>
      </c>
      <c r="AK67" s="85">
        <f t="shared" ref="AK67" si="64">AK54+AK65</f>
        <v>0</v>
      </c>
      <c r="AL67" s="34">
        <f t="shared" si="60"/>
        <v>30000111.714042757</v>
      </c>
      <c r="AM67" s="85">
        <f t="shared" si="60"/>
        <v>26317588.733462926</v>
      </c>
      <c r="AN67" s="85">
        <f t="shared" si="60"/>
        <v>-1733115.077035418</v>
      </c>
      <c r="AO67" s="147">
        <f t="shared" si="60"/>
        <v>132944198.85970446</v>
      </c>
      <c r="AP67" s="34">
        <f t="shared" ref="AP67:AW67" si="65">AP54+AP65</f>
        <v>-27252977.232733469</v>
      </c>
      <c r="AQ67" s="85">
        <f t="shared" si="65"/>
        <v>-408390.63249999989</v>
      </c>
      <c r="AR67" s="85">
        <f t="shared" si="65"/>
        <v>29873668.417190563</v>
      </c>
      <c r="AS67" s="85">
        <f t="shared" si="65"/>
        <v>-16595924.588451218</v>
      </c>
      <c r="AT67" s="85">
        <f t="shared" si="65"/>
        <v>-6227108.8245538902</v>
      </c>
      <c r="AU67" s="147">
        <f t="shared" si="65"/>
        <v>-77495.744994808672</v>
      </c>
      <c r="AV67" s="34">
        <f t="shared" si="65"/>
        <v>2316422.0932725216</v>
      </c>
      <c r="AW67" s="147">
        <f t="shared" si="65"/>
        <v>37655292.732782446</v>
      </c>
      <c r="AX67" s="146">
        <f t="shared" ref="AX67:BA67" si="66">AX54+AX65</f>
        <v>-2800.5264279410185</v>
      </c>
      <c r="AY67" s="34">
        <f t="shared" si="66"/>
        <v>-144705069.51099706</v>
      </c>
      <c r="AZ67" s="85">
        <f t="shared" si="66"/>
        <v>-22651761.900813635</v>
      </c>
      <c r="BA67" s="147">
        <f t="shared" si="66"/>
        <v>-9976935.3349126205</v>
      </c>
      <c r="BB67" s="34">
        <f t="shared" ref="BB67:BE67" si="67">BB54+BB65</f>
        <v>5211879.293372795</v>
      </c>
      <c r="BC67" s="85">
        <f t="shared" si="67"/>
        <v>797315.23569899797</v>
      </c>
      <c r="BD67" s="85">
        <f t="shared" si="67"/>
        <v>3711612.3428394538</v>
      </c>
      <c r="BE67" s="85">
        <f t="shared" si="67"/>
        <v>4061255.9190168967</v>
      </c>
      <c r="BF67" s="147">
        <f t="shared" ref="BF67" si="68">BF54+BF65</f>
        <v>0</v>
      </c>
    </row>
    <row r="68" spans="1:58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68"/>
      <c r="AX68" s="69"/>
      <c r="AY68" s="27"/>
      <c r="AZ68" s="12"/>
      <c r="BA68" s="68"/>
      <c r="BB68" s="27"/>
      <c r="BC68" s="12"/>
      <c r="BD68" s="12"/>
      <c r="BE68" s="12"/>
      <c r="BF68" s="68"/>
    </row>
    <row r="69" spans="1:58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68"/>
      <c r="AX69" s="69"/>
      <c r="AY69" s="27"/>
      <c r="AZ69" s="12"/>
      <c r="BA69" s="68"/>
      <c r="BB69" s="27"/>
      <c r="BC69" s="12"/>
      <c r="BD69" s="12"/>
      <c r="BE69" s="12"/>
      <c r="BF69" s="68"/>
    </row>
    <row r="70" spans="1:58" s="177" customFormat="1" x14ac:dyDescent="0.2">
      <c r="A70" s="227" t="s">
        <v>147</v>
      </c>
      <c r="B70" s="17">
        <f t="shared" ref="B70:C70" si="69">(((B40+Unadj_Op_revenue)/(B67+Unadj_rate_base))-Weighted_cost_debt-Weighted_cost_pref)/Percent_common-Unadj_ROE</f>
        <v>-2.5522121294949685E-3</v>
      </c>
      <c r="C70" s="17">
        <f t="shared" si="69"/>
        <v>-3.0010130800315754E-3</v>
      </c>
      <c r="D70" s="16">
        <f t="shared" ref="D70:AO70" si="70">(((D40+Unadj_Op_revenue)/(D67+Unadj_rate_base))-Weighted_cost_debt-Weighted_cost_pref)/Percent_common-Unadj_ROE</f>
        <v>4.5156084883605938E-2</v>
      </c>
      <c r="E70" s="16">
        <f t="shared" si="70"/>
        <v>1.8792316053600627E-3</v>
      </c>
      <c r="F70" s="19">
        <f t="shared" si="70"/>
        <v>-2.3150305081295897E-4</v>
      </c>
      <c r="G70" s="17">
        <f t="shared" si="70"/>
        <v>-5.0371207463779932E-4</v>
      </c>
      <c r="H70" s="16">
        <f t="shared" si="70"/>
        <v>-2.4204149699823263E-3</v>
      </c>
      <c r="I70" s="16">
        <f t="shared" si="70"/>
        <v>8.1633686132899508E-4</v>
      </c>
      <c r="J70" s="16">
        <f t="shared" si="70"/>
        <v>4.992570671705443E-3</v>
      </c>
      <c r="K70" s="16">
        <f t="shared" si="70"/>
        <v>-2.26454474751836E-5</v>
      </c>
      <c r="L70" s="18">
        <f t="shared" si="70"/>
        <v>1.0284460295884035E-6</v>
      </c>
      <c r="M70" s="17">
        <f t="shared" si="70"/>
        <v>-7.3070005375998337E-4</v>
      </c>
      <c r="N70" s="16">
        <f t="shared" si="70"/>
        <v>8.4286749945214345E-4</v>
      </c>
      <c r="O70" s="16">
        <f t="shared" si="70"/>
        <v>-2.6878648972105262E-3</v>
      </c>
      <c r="P70" s="16">
        <f t="shared" si="70"/>
        <v>-1.9031087576655836E-3</v>
      </c>
      <c r="Q70" s="16">
        <f t="shared" si="70"/>
        <v>-9.8017154552959562E-5</v>
      </c>
      <c r="R70" s="18">
        <f t="shared" si="70"/>
        <v>-5.5320419617554961E-3</v>
      </c>
      <c r="S70" s="17">
        <f t="shared" ref="S70:T70" si="71">(((S40+Unadj_Op_revenue)/(S67+Unadj_rate_base))-Weighted_cost_debt-Weighted_cost_pref)/Percent_common-Unadj_ROE</f>
        <v>9.5658764942810615E-3</v>
      </c>
      <c r="T70" s="16">
        <f t="shared" si="71"/>
        <v>-4.9729979194575738E-2</v>
      </c>
      <c r="U70" s="16">
        <f t="shared" ref="U70:V70" si="72">(((U40+Unadj_Op_revenue)/(U67+Unadj_rate_base))-Weighted_cost_debt-Weighted_cost_pref)/Percent_common-Unadj_ROE</f>
        <v>3.5598242617518316E-4</v>
      </c>
      <c r="V70" s="16">
        <f t="shared" si="72"/>
        <v>-1.5288218539083465E-4</v>
      </c>
      <c r="W70" s="18">
        <f t="shared" ref="W70" si="73">(((W40+Unadj_Op_revenue)/(W67+Unadj_rate_base))-Weighted_cost_debt-Weighted_cost_pref)/Percent_common-Unadj_ROE</f>
        <v>-5.0597818926162441E-5</v>
      </c>
      <c r="X70" s="19">
        <f t="shared" si="70"/>
        <v>2.090108658468956E-2</v>
      </c>
      <c r="Y70" s="17">
        <f t="shared" si="70"/>
        <v>9.5003942923278795E-3</v>
      </c>
      <c r="Z70" s="16">
        <f t="shared" si="70"/>
        <v>2.8612533155949055E-3</v>
      </c>
      <c r="AA70" s="16">
        <f t="shared" si="70"/>
        <v>-6.6837987327158371E-3</v>
      </c>
      <c r="AB70" s="17">
        <f t="shared" si="70"/>
        <v>-8.4472439832131152E-4</v>
      </c>
      <c r="AC70" s="18">
        <f t="shared" si="70"/>
        <v>-1.1302117219701702E-3</v>
      </c>
      <c r="AD70" s="17">
        <f t="shared" si="70"/>
        <v>1.0216710821691039E-2</v>
      </c>
      <c r="AE70" s="16">
        <f t="shared" si="70"/>
        <v>1.0194783804314725E-2</v>
      </c>
      <c r="AF70" s="16">
        <f t="shared" si="70"/>
        <v>-5.1209051509458481E-4</v>
      </c>
      <c r="AG70" s="16">
        <f t="shared" si="70"/>
        <v>-2.9565893554842487E-3</v>
      </c>
      <c r="AH70" s="16">
        <f t="shared" si="70"/>
        <v>-1.7285458459975617E-3</v>
      </c>
      <c r="AI70" s="18">
        <f>(((AI40+Unadj_Op_revenue)/(AI67+Unadj_rate_base))-Weighted_cost_debt-Weighted_cost_pref)/Percent_common-Unadj_ROE</f>
        <v>-1.7741819114884275E-2</v>
      </c>
      <c r="AJ70" s="17">
        <f t="shared" si="70"/>
        <v>2.2330761254144016E-5</v>
      </c>
      <c r="AK70" s="16">
        <f t="shared" ref="AK70" si="74">(((AK40+Unadj_Op_revenue)/(AK67+Unadj_rate_base))-Weighted_cost_debt-Weighted_cost_pref)/Percent_common-Unadj_ROE</f>
        <v>-3.1144788894621467E-4</v>
      </c>
      <c r="AL70" s="17">
        <f t="shared" si="70"/>
        <v>-2.9258848017045813E-3</v>
      </c>
      <c r="AM70" s="16">
        <f t="shared" si="70"/>
        <v>-1.0628759859340288E-2</v>
      </c>
      <c r="AN70" s="16">
        <f t="shared" si="70"/>
        <v>1.7369883970720645E-4</v>
      </c>
      <c r="AO70" s="18">
        <f t="shared" si="70"/>
        <v>-1.1804138405476124E-2</v>
      </c>
      <c r="AP70" s="17">
        <f t="shared" ref="AP70:AW70" si="75">(((AP40+Unadj_Op_revenue)/(AP67+Unadj_rate_base))-Weighted_cost_debt-Weighted_cost_pref)/Percent_common-Unadj_ROE</f>
        <v>2.7934505138047516E-3</v>
      </c>
      <c r="AQ70" s="16">
        <f t="shared" si="75"/>
        <v>3.7751949026595955E-5</v>
      </c>
      <c r="AR70" s="16">
        <f t="shared" si="75"/>
        <v>-2.9138650279407485E-3</v>
      </c>
      <c r="AS70" s="16">
        <f t="shared" si="75"/>
        <v>1.6851053953978734E-3</v>
      </c>
      <c r="AT70" s="16">
        <f t="shared" si="75"/>
        <v>6.2655387928006734E-4</v>
      </c>
      <c r="AU70" s="18">
        <f t="shared" si="75"/>
        <v>2.5010162589036988E-4</v>
      </c>
      <c r="AV70" s="17">
        <f t="shared" si="75"/>
        <v>-5.3726178946508774E-4</v>
      </c>
      <c r="AW70" s="18">
        <f t="shared" si="75"/>
        <v>-4.4877593183427489E-3</v>
      </c>
      <c r="AX70" s="19">
        <f t="shared" ref="AX70:BA70" si="76">(((AX40+Unadj_Op_revenue)/(AX67+Unadj_rate_base))-Weighted_cost_debt-Weighted_cost_pref)/Percent_common-Unadj_ROE</f>
        <v>-1.4284427314514292E-3</v>
      </c>
      <c r="AY70" s="17">
        <f t="shared" si="76"/>
        <v>1.6564610755472706E-2</v>
      </c>
      <c r="AZ70" s="16">
        <f t="shared" si="76"/>
        <v>1.7665373345737423E-3</v>
      </c>
      <c r="BA70" s="18">
        <f t="shared" si="76"/>
        <v>2.5772668250871461E-3</v>
      </c>
      <c r="BB70" s="17">
        <f t="shared" ref="BB70:BE70" si="77">(((BB40+Unadj_Op_revenue)/(BB67+Unadj_rate_base))-Weighted_cost_debt-Weighted_cost_pref)/Percent_common-Unadj_ROE</f>
        <v>-5.1921348535267919E-4</v>
      </c>
      <c r="BC70" s="16">
        <f t="shared" si="77"/>
        <v>-3.8522603746723311E-3</v>
      </c>
      <c r="BD70" s="16">
        <f t="shared" si="77"/>
        <v>-4.4722813242385751E-4</v>
      </c>
      <c r="BE70" s="16">
        <f t="shared" si="77"/>
        <v>-4.6578925594918663E-4</v>
      </c>
      <c r="BF70" s="18">
        <f t="shared" ref="BF70" si="78">(((BF40+Unadj_Op_revenue)/(BF67+Unadj_rate_base))-Weighted_cost_debt-Weighted_cost_pref)/Percent_common-Unadj_ROE</f>
        <v>-1.3673144976918822E-3</v>
      </c>
    </row>
    <row r="71" spans="1:58" x14ac:dyDescent="0.2">
      <c r="A71" s="14" t="s">
        <v>42</v>
      </c>
      <c r="B71" s="35">
        <f>SUM(C71:BF71)</f>
        <v>786841.83328126592</v>
      </c>
      <c r="C71" s="35">
        <f t="shared" ref="C71" si="79">-(C40-(C67*Overall_ROR))/gross_up_factor</f>
        <v>2354318.8408495737</v>
      </c>
      <c r="D71" s="86">
        <f t="shared" ref="D71:AO71" si="80">-(D40-(D67*Overall_ROR))/gross_up_factor</f>
        <v>-35425310.915125199</v>
      </c>
      <c r="E71" s="86">
        <f t="shared" si="80"/>
        <v>-1474272.2730061105</v>
      </c>
      <c r="F71" s="148">
        <f t="shared" si="80"/>
        <v>181616.00089971483</v>
      </c>
      <c r="G71" s="35">
        <f t="shared" si="80"/>
        <v>395166.1642443426</v>
      </c>
      <c r="H71" s="86">
        <f t="shared" si="80"/>
        <v>1898834.9649058471</v>
      </c>
      <c r="I71" s="86">
        <f t="shared" si="80"/>
        <v>-640422.81784610997</v>
      </c>
      <c r="J71" s="86">
        <f t="shared" si="80"/>
        <v>-3964780.145652093</v>
      </c>
      <c r="K71" s="86">
        <f t="shared" si="80"/>
        <v>17765.535247093241</v>
      </c>
      <c r="L71" s="149">
        <f t="shared" si="80"/>
        <v>-806.82416228418128</v>
      </c>
      <c r="M71" s="35">
        <f t="shared" si="80"/>
        <v>573240.05517457903</v>
      </c>
      <c r="N71" s="86">
        <f t="shared" si="80"/>
        <v>-661236.31633057399</v>
      </c>
      <c r="O71" s="86">
        <f t="shared" si="80"/>
        <v>2108651.5787843093</v>
      </c>
      <c r="P71" s="86">
        <f t="shared" si="80"/>
        <v>1523408.828877409</v>
      </c>
      <c r="Q71" s="86">
        <f t="shared" si="80"/>
        <v>76895.244218030886</v>
      </c>
      <c r="R71" s="149">
        <f t="shared" si="80"/>
        <v>4339931.3070619255</v>
      </c>
      <c r="S71" s="35">
        <f t="shared" ref="S71:U71" si="81">-(S40-(S67*Overall_ROR))/gross_up_factor</f>
        <v>-7504506.8645582162</v>
      </c>
      <c r="T71" s="86">
        <f t="shared" si="81"/>
        <v>39013567.702149116</v>
      </c>
      <c r="U71" s="86">
        <f t="shared" si="81"/>
        <v>-279271.06967049756</v>
      </c>
      <c r="V71" s="86">
        <f t="shared" ref="V71:W71" si="82">-(V40-(V67*Overall_ROR))/gross_up_factor</f>
        <v>119937.30113702388</v>
      </c>
      <c r="W71" s="149">
        <f t="shared" si="82"/>
        <v>39694.394934957832</v>
      </c>
      <c r="X71" s="148">
        <f t="shared" si="80"/>
        <v>-16397070.132078577</v>
      </c>
      <c r="Y71" s="35">
        <f t="shared" si="80"/>
        <v>-8865212.946137337</v>
      </c>
      <c r="Z71" s="86">
        <f t="shared" si="80"/>
        <v>-2820196.3580239126</v>
      </c>
      <c r="AA71" s="86">
        <f t="shared" si="80"/>
        <v>4915137.9494531043</v>
      </c>
      <c r="AB71" s="35">
        <f t="shared" si="80"/>
        <v>662693.06839284161</v>
      </c>
      <c r="AC71" s="149">
        <f t="shared" si="80"/>
        <v>886660.16449198383</v>
      </c>
      <c r="AD71" s="35">
        <f t="shared" si="80"/>
        <v>-8015091.6165836425</v>
      </c>
      <c r="AE71" s="86">
        <f t="shared" si="80"/>
        <v>-8510344.1714463495</v>
      </c>
      <c r="AF71" s="86">
        <f t="shared" si="80"/>
        <v>401739.1180097278</v>
      </c>
      <c r="AG71" s="86">
        <f t="shared" si="80"/>
        <v>3012423.7822883134</v>
      </c>
      <c r="AH71" s="86">
        <f t="shared" si="80"/>
        <v>1356058.0857120056</v>
      </c>
      <c r="AI71" s="149">
        <f>-(AI40-(AI67*Overall_ROR))/gross_up_factor</f>
        <v>15316728.461425625</v>
      </c>
      <c r="AJ71" s="35">
        <f t="shared" si="80"/>
        <v>-17518.661381713708</v>
      </c>
      <c r="AK71" s="86">
        <f t="shared" ref="AK71" si="83">-(AK40-(AK67*Overall_ROR))/gross_up_factor</f>
        <v>244333.36787762164</v>
      </c>
      <c r="AL71" s="35">
        <f t="shared" si="80"/>
        <v>3032652.0846309611</v>
      </c>
      <c r="AM71" s="86">
        <f t="shared" si="80"/>
        <v>9123363.6790960338</v>
      </c>
      <c r="AN71" s="86">
        <f t="shared" si="80"/>
        <v>-175197.18264304192</v>
      </c>
      <c r="AO71" s="149">
        <f t="shared" si="80"/>
        <v>13332538.474749358</v>
      </c>
      <c r="AP71" s="35">
        <f t="shared" ref="AP71:AW71" si="84">-(AP40-(AP67*Overall_ROR))/gross_up_factor</f>
        <v>-2754949.6816894249</v>
      </c>
      <c r="AQ71" s="86">
        <f t="shared" si="84"/>
        <v>-38827.795709079284</v>
      </c>
      <c r="AR71" s="86">
        <f t="shared" si="84"/>
        <v>3019870.1813020175</v>
      </c>
      <c r="AS71" s="86">
        <f t="shared" si="84"/>
        <v>-1677649.2627521115</v>
      </c>
      <c r="AT71" s="86">
        <f t="shared" si="84"/>
        <v>-629486.14118551731</v>
      </c>
      <c r="AU71" s="149">
        <f t="shared" si="84"/>
        <v>-197943.39585631088</v>
      </c>
      <c r="AV71" s="35">
        <f t="shared" si="84"/>
        <v>474640.50010582193</v>
      </c>
      <c r="AW71" s="149">
        <f t="shared" si="84"/>
        <v>4486193.2892742585</v>
      </c>
      <c r="AX71" s="148">
        <f t="shared" ref="AX71:BA71" si="85">-(AX40-(AX67*Overall_ROR))/gross_up_factor</f>
        <v>1120558.8194699404</v>
      </c>
      <c r="AY71" s="35">
        <f t="shared" si="85"/>
        <v>-14627949.885392481</v>
      </c>
      <c r="AZ71" s="86">
        <f t="shared" si="85"/>
        <v>-1870059.2254980134</v>
      </c>
      <c r="BA71" s="149">
        <f t="shared" si="85"/>
        <v>-2229634.1694367481</v>
      </c>
      <c r="BB71" s="35">
        <f t="shared" ref="BB71:BE71" si="86">-(BB40-(BB67*Overall_ROR))/gross_up_factor</f>
        <v>526858.5915462909</v>
      </c>
      <c r="BC71" s="86">
        <f t="shared" si="86"/>
        <v>3042227.4006808549</v>
      </c>
      <c r="BD71" s="86">
        <f t="shared" si="86"/>
        <v>435795.54389986472</v>
      </c>
      <c r="BE71" s="86">
        <f t="shared" si="86"/>
        <v>458410.0100422668</v>
      </c>
      <c r="BF71" s="149">
        <f t="shared" ref="BF71" si="87">-(BF40-(BF67*Overall_ROR))/gross_up_factor</f>
        <v>1072669.1945137752</v>
      </c>
    </row>
    <row r="72" spans="1:58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8"/>
      <c r="AX72" s="19"/>
      <c r="AY72" s="17"/>
      <c r="AZ72" s="16"/>
      <c r="BA72" s="18"/>
      <c r="BB72" s="17"/>
      <c r="BC72" s="16"/>
      <c r="BD72" s="16"/>
      <c r="BE72" s="16"/>
      <c r="BF72" s="18"/>
    </row>
    <row r="73" spans="1:58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68"/>
      <c r="AX73" s="69"/>
      <c r="AY73" s="27"/>
      <c r="AZ73" s="12"/>
      <c r="BA73" s="68"/>
      <c r="BB73" s="27"/>
      <c r="BC73" s="12"/>
      <c r="BD73" s="12"/>
      <c r="BE73" s="12"/>
      <c r="BF73" s="68"/>
    </row>
    <row r="74" spans="1:58" x14ac:dyDescent="0.2">
      <c r="A74" s="14" t="s">
        <v>97</v>
      </c>
      <c r="B74" s="35">
        <f t="shared" ref="B74:B80" si="88">SUM(C74:BF74)</f>
        <v>-7308151.3547415668</v>
      </c>
      <c r="C74" s="35">
        <f t="shared" ref="C74" si="89">C16-C29-C30-C31-C32-C37</f>
        <v>-2240536.6973766158</v>
      </c>
      <c r="D74" s="86">
        <f t="shared" ref="D74:AO74" si="90">D16-D29-D30-D31-D32-D37</f>
        <v>33713237.028113201</v>
      </c>
      <c r="E74" s="86">
        <f t="shared" si="90"/>
        <v>1403022.0003689292</v>
      </c>
      <c r="F74" s="148">
        <f t="shared" si="90"/>
        <v>-172838.66050180205</v>
      </c>
      <c r="G74" s="35">
        <f t="shared" si="90"/>
        <v>-376068.13367364765</v>
      </c>
      <c r="H74" s="86">
        <f t="shared" si="90"/>
        <v>-1807065.9535639419</v>
      </c>
      <c r="I74" s="86">
        <f t="shared" si="90"/>
        <v>609471.75052286382</v>
      </c>
      <c r="J74" s="86">
        <f t="shared" si="90"/>
        <v>3532011.4621380032</v>
      </c>
      <c r="K74" s="86">
        <f t="shared" si="90"/>
        <v>-16906.942670214736</v>
      </c>
      <c r="L74" s="149">
        <f t="shared" si="90"/>
        <v>767.83106542847236</v>
      </c>
      <c r="M74" s="35">
        <f t="shared" si="90"/>
        <v>-545535.87124221772</v>
      </c>
      <c r="N74" s="86">
        <f t="shared" si="90"/>
        <v>629279.35106791416</v>
      </c>
      <c r="O74" s="86">
        <f t="shared" si="90"/>
        <v>-2006742.3164071133</v>
      </c>
      <c r="P74" s="86">
        <f t="shared" si="90"/>
        <v>-1273483.376388011</v>
      </c>
      <c r="Q74" s="86">
        <f t="shared" si="90"/>
        <v>-73178.965199999977</v>
      </c>
      <c r="R74" s="149">
        <f t="shared" si="90"/>
        <v>-4130186.2725003762</v>
      </c>
      <c r="S74" s="35">
        <f t="shared" ref="S74:T74" si="91">S16-S29-S30-S31-S32-S37</f>
        <v>7141820.6973571628</v>
      </c>
      <c r="T74" s="86">
        <f t="shared" si="91"/>
        <v>-37128076.544088289</v>
      </c>
      <c r="U74" s="86">
        <f t="shared" ref="U74:V74" si="92">U16-U29-U30-U31-U32-U37</f>
        <v>265774.14632870059</v>
      </c>
      <c r="V74" s="86">
        <f t="shared" si="92"/>
        <v>-114140.83764662949</v>
      </c>
      <c r="W74" s="149">
        <f t="shared" ref="W74" si="93">W16-W29-W30-W31-W32-W37</f>
        <v>-37776</v>
      </c>
      <c r="X74" s="148">
        <f t="shared" si="90"/>
        <v>15604614.261644704</v>
      </c>
      <c r="Y74" s="35">
        <f t="shared" si="90"/>
        <v>0</v>
      </c>
      <c r="Z74" s="86">
        <f t="shared" si="90"/>
        <v>0</v>
      </c>
      <c r="AA74" s="86">
        <f t="shared" si="90"/>
        <v>-5933674.8417438753</v>
      </c>
      <c r="AB74" s="35">
        <f t="shared" si="90"/>
        <v>0</v>
      </c>
      <c r="AC74" s="149">
        <f t="shared" si="90"/>
        <v>-843808.66439033335</v>
      </c>
      <c r="AD74" s="35">
        <f t="shared" si="90"/>
        <v>0</v>
      </c>
      <c r="AE74" s="86">
        <f t="shared" si="90"/>
        <v>0</v>
      </c>
      <c r="AF74" s="86">
        <f t="shared" si="90"/>
        <v>0</v>
      </c>
      <c r="AG74" s="86">
        <f t="shared" si="90"/>
        <v>0</v>
      </c>
      <c r="AH74" s="86">
        <f t="shared" si="90"/>
        <v>-1290521</v>
      </c>
      <c r="AI74" s="149">
        <f>AI16-AI29-AI30-AI31-AI32-AI37</f>
        <v>0</v>
      </c>
      <c r="AJ74" s="35">
        <f t="shared" si="90"/>
        <v>16672</v>
      </c>
      <c r="AK74" s="86">
        <f t="shared" ref="AK74" si="94">AK16-AK29-AK30-AK31-AK32-AK37</f>
        <v>-232524.95270601709</v>
      </c>
      <c r="AL74" s="35">
        <f t="shared" si="90"/>
        <v>0</v>
      </c>
      <c r="AM74" s="86">
        <f t="shared" si="90"/>
        <v>-7011257.8506784029</v>
      </c>
      <c r="AN74" s="86">
        <f t="shared" si="90"/>
        <v>0</v>
      </c>
      <c r="AO74" s="149">
        <f t="shared" si="90"/>
        <v>0</v>
      </c>
      <c r="AP74" s="35">
        <f t="shared" ref="AP74:AW74" si="95">AP16-AP29-AP30-AP31-AP32-AP37</f>
        <v>0</v>
      </c>
      <c r="AQ74" s="86">
        <f t="shared" si="95"/>
        <v>-2336.9299999999998</v>
      </c>
      <c r="AR74" s="86">
        <f t="shared" si="95"/>
        <v>0</v>
      </c>
      <c r="AS74" s="86">
        <f t="shared" si="95"/>
        <v>0</v>
      </c>
      <c r="AT74" s="86">
        <f t="shared" si="95"/>
        <v>0</v>
      </c>
      <c r="AU74" s="149">
        <f t="shared" si="95"/>
        <v>177462.34852286245</v>
      </c>
      <c r="AV74" s="35">
        <f t="shared" si="95"/>
        <v>-228855.87557069294</v>
      </c>
      <c r="AW74" s="149">
        <f t="shared" si="95"/>
        <v>-646845.05196292081</v>
      </c>
      <c r="AX74" s="148">
        <f t="shared" ref="AX74:BA74" si="96">AX16-AX29-AX30-AX31-AX32-AX37</f>
        <v>-1108014.9153842642</v>
      </c>
      <c r="AY74" s="35">
        <f t="shared" si="96"/>
        <v>0</v>
      </c>
      <c r="AZ74" s="86">
        <f t="shared" si="96"/>
        <v>-418474.67101061583</v>
      </c>
      <c r="BA74" s="149">
        <f t="shared" si="96"/>
        <v>1293238.4136846224</v>
      </c>
      <c r="BB74" s="35">
        <f t="shared" ref="BB74:BE74" si="97">BB16-BB29-BB30-BB31-BB32-BB37</f>
        <v>0</v>
      </c>
      <c r="BC74" s="86">
        <f t="shared" si="97"/>
        <v>-2952540.8917818591</v>
      </c>
      <c r="BD74" s="86">
        <f t="shared" si="97"/>
        <v>-46519.892542761663</v>
      </c>
      <c r="BE74" s="86">
        <f t="shared" si="97"/>
        <v>-36782.493716064644</v>
      </c>
      <c r="BF74" s="149">
        <f t="shared" ref="BF74" si="98">BF16-BF29-BF30-BF31-BF32-BF37</f>
        <v>-1020828.0428092993</v>
      </c>
    </row>
    <row r="75" spans="1:58" x14ac:dyDescent="0.2">
      <c r="A75" s="14" t="s">
        <v>98</v>
      </c>
      <c r="B75" s="35">
        <f t="shared" si="88"/>
        <v>0</v>
      </c>
      <c r="C75" s="27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69">
        <f>'Restating Adj'!F75+'Pro Forma Adj'!F75</f>
        <v>0</v>
      </c>
      <c r="G75" s="27">
        <f>'Restating Adj'!G75+'Pro Forma Adj'!G75</f>
        <v>0</v>
      </c>
      <c r="H75" s="12">
        <f>'Restating Adj'!H75+'Pro Forma Adj'!H75</f>
        <v>0</v>
      </c>
      <c r="I75" s="12">
        <f>'Restating Adj'!I75+'Pro Forma Adj'!I75</f>
        <v>0</v>
      </c>
      <c r="J75" s="12">
        <f>'Restating Adj'!J75+'Pro Forma Adj'!J75</f>
        <v>0</v>
      </c>
      <c r="K75" s="12">
        <f>'Restating Adj'!K75+'Pro Forma Adj'!K75</f>
        <v>0</v>
      </c>
      <c r="L75" s="68">
        <f>'Restating Adj'!L75+'Pro Forma Adj'!L75</f>
        <v>0</v>
      </c>
      <c r="M75" s="27">
        <f>'Restating Adj'!M75+'Pro Forma Adj'!M75</f>
        <v>0</v>
      </c>
      <c r="N75" s="12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12">
        <f>'Restating Adj'!Q75+'Pro Forma Adj'!Q75</f>
        <v>0</v>
      </c>
      <c r="R75" s="68">
        <f>'Restating Adj'!R75+'Pro Forma Adj'!R75</f>
        <v>0</v>
      </c>
      <c r="S75" s="27">
        <f>'Restating Adj'!S75+'Pro Forma Adj'!S75</f>
        <v>0</v>
      </c>
      <c r="T75" s="12">
        <f>'Restating Adj'!T75+'Pro Forma Adj'!T75</f>
        <v>0</v>
      </c>
      <c r="U75" s="12">
        <f>'Restating Adj'!U75+'Pro Forma Adj'!U75</f>
        <v>0</v>
      </c>
      <c r="V75" s="12">
        <f>'Restating Adj'!V75+'Pro Forma Adj'!V75</f>
        <v>0</v>
      </c>
      <c r="W75" s="68">
        <f>'Restating Adj'!W75+'Pro Forma Adj'!W75</f>
        <v>0</v>
      </c>
      <c r="X75" s="69">
        <f>'Restating Adj'!X75+'Pro Forma Adj'!X75</f>
        <v>0</v>
      </c>
      <c r="Y75" s="27">
        <f>'Restating Adj'!Y75+'Pro Forma Adj'!Y75</f>
        <v>0</v>
      </c>
      <c r="Z75" s="12">
        <f>'Restating Adj'!Z75+'Pro Forma Adj'!Z75</f>
        <v>0</v>
      </c>
      <c r="AA75" s="12">
        <f>'Restating Adj'!AA75+'Pro Forma Adj'!AA75</f>
        <v>0</v>
      </c>
      <c r="AB75" s="27">
        <f>'Restating Adj'!AB75+'Pro Forma Adj'!AB75</f>
        <v>0</v>
      </c>
      <c r="AC75" s="68">
        <f>'Restating Adj'!AC75+'Pro Forma Adj'!AC75</f>
        <v>0</v>
      </c>
      <c r="AD75" s="27">
        <f>'Restating Adj'!AD75+'Pro Forma Adj'!AD75</f>
        <v>0</v>
      </c>
      <c r="AE75" s="12">
        <f>'Restating Adj'!AE75+'Pro Forma Adj'!AE75</f>
        <v>0</v>
      </c>
      <c r="AF75" s="12">
        <f>'Restating Adj'!AF75+'Pro Forma Adj'!AF75</f>
        <v>0</v>
      </c>
      <c r="AG75" s="12">
        <f>'Restating Adj'!AG75+'Pro Forma Adj'!AG75</f>
        <v>0</v>
      </c>
      <c r="AH75" s="12">
        <f>'Restating Adj'!AH75+'Pro Forma Adj'!AH75</f>
        <v>0</v>
      </c>
      <c r="AI75" s="68">
        <f>'Restating Adj'!AI75+'Pro Forma Adj'!AI75</f>
        <v>0</v>
      </c>
      <c r="AJ75" s="27">
        <f>'Restating Adj'!AJ75+'Pro Forma Adj'!AJ75</f>
        <v>0</v>
      </c>
      <c r="AK75" s="12">
        <f>'Restating Adj'!AK75+'Pro Forma Adj'!AK75</f>
        <v>0</v>
      </c>
      <c r="AL75" s="27">
        <f>'Restating Adj'!AL75+'Pro Forma Adj'!AL75</f>
        <v>0</v>
      </c>
      <c r="AM75" s="12">
        <f>'Restating Adj'!AM75+'Pro Forma Adj'!AM75</f>
        <v>0</v>
      </c>
      <c r="AN75" s="12">
        <f>'Restating Adj'!AN75+'Pro Forma Adj'!AN75</f>
        <v>0</v>
      </c>
      <c r="AO75" s="68">
        <f>'Restating Adj'!AO75+'Pro Forma Adj'!AO75</f>
        <v>0</v>
      </c>
      <c r="AP75" s="27">
        <f>'Restating Adj'!AP75+'Pro Forma Adj'!AP75</f>
        <v>0</v>
      </c>
      <c r="AQ75" s="12">
        <f>'Restating Adj'!AQ75+'Pro Forma Adj'!AQ75</f>
        <v>0</v>
      </c>
      <c r="AR75" s="12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68">
        <f>'Restating Adj'!AU75+'Pro Forma Adj'!AU75</f>
        <v>0</v>
      </c>
      <c r="AV75" s="27">
        <f>'Restating Adj'!AV75+'Pro Forma Adj'!AV75</f>
        <v>0</v>
      </c>
      <c r="AW75" s="68">
        <f>'Restating Adj'!AW75+'Pro Forma Adj'!AW75</f>
        <v>0</v>
      </c>
      <c r="AX75" s="69">
        <f>'Restating Adj'!AX75+'Pro Forma Adj'!AX75</f>
        <v>0</v>
      </c>
      <c r="AY75" s="27">
        <f>'Restating Adj'!AY75+'Pro Forma Adj'!AY75</f>
        <v>0</v>
      </c>
      <c r="AZ75" s="12">
        <f>'Restating Adj'!AZ75+'Pro Forma Adj'!AZ75</f>
        <v>0</v>
      </c>
      <c r="BA75" s="68">
        <f>'Restating Adj'!BA75+'Pro Forma Adj'!BA75</f>
        <v>0</v>
      </c>
      <c r="BB75" s="27">
        <f>'Restating Adj'!BB75+'Pro Forma Adj'!BB75</f>
        <v>0</v>
      </c>
      <c r="BC75" s="12">
        <f>'Restating Adj'!BC75+'Pro Forma Adj'!BC75</f>
        <v>0</v>
      </c>
      <c r="BD75" s="12">
        <f>'Restating Adj'!BD75+'Pro Forma Adj'!BD75</f>
        <v>0</v>
      </c>
      <c r="BE75" s="12">
        <f>'Restating Adj'!BE75+'Pro Forma Adj'!BE75</f>
        <v>0</v>
      </c>
      <c r="BF75" s="68">
        <f>'Restating Adj'!BF75+'Pro Forma Adj'!BF75</f>
        <v>0</v>
      </c>
    </row>
    <row r="76" spans="1:58" x14ac:dyDescent="0.2">
      <c r="A76" s="14" t="s">
        <v>99</v>
      </c>
      <c r="B76" s="35">
        <f t="shared" si="88"/>
        <v>0</v>
      </c>
      <c r="C76" s="28">
        <f>'Restating Adj'!C76+'Pro Forma Adj'!C76</f>
        <v>0</v>
      </c>
      <c r="D76" s="70">
        <f>'Restating Adj'!D76+'Pro Forma Adj'!D76</f>
        <v>0</v>
      </c>
      <c r="E76" s="70">
        <f>'Restating Adj'!E76+'Pro Forma Adj'!E76</f>
        <v>0</v>
      </c>
      <c r="F76" s="80">
        <f>'Restating Adj'!F76+'Pro Forma Adj'!F76</f>
        <v>0</v>
      </c>
      <c r="G76" s="28">
        <f>'Restating Adj'!G76+'Pro Forma Adj'!G76</f>
        <v>0</v>
      </c>
      <c r="H76" s="70">
        <f>'Restating Adj'!H76+'Pro Forma Adj'!H76</f>
        <v>0</v>
      </c>
      <c r="I76" s="70">
        <f>'Restating Adj'!I76+'Pro Forma Adj'!I76</f>
        <v>0</v>
      </c>
      <c r="J76" s="70">
        <f>'Restating Adj'!J76+'Pro Forma Adj'!J76</f>
        <v>0</v>
      </c>
      <c r="K76" s="70">
        <f>'Restating Adj'!K76+'Pro Forma Adj'!K76</f>
        <v>0</v>
      </c>
      <c r="L76" s="71">
        <f>'Restating Adj'!L76+'Pro Forma Adj'!L76</f>
        <v>0</v>
      </c>
      <c r="M76" s="28">
        <f>'Restating Adj'!M76+'Pro Forma Adj'!M76</f>
        <v>0</v>
      </c>
      <c r="N76" s="70">
        <f>'Restating Adj'!N76+'Pro Forma Adj'!N76</f>
        <v>0</v>
      </c>
      <c r="O76" s="70">
        <f>'Restating Adj'!O76+'Pro Forma Adj'!O76</f>
        <v>0</v>
      </c>
      <c r="P76" s="70">
        <f>'Restating Adj'!P76+'Pro Forma Adj'!P76</f>
        <v>0</v>
      </c>
      <c r="Q76" s="70">
        <f>'Restating Adj'!Q76+'Pro Forma Adj'!Q76</f>
        <v>0</v>
      </c>
      <c r="R76" s="71">
        <f>'Restating Adj'!R76+'Pro Forma Adj'!R76</f>
        <v>0</v>
      </c>
      <c r="S76" s="28">
        <f>'Restating Adj'!S76+'Pro Forma Adj'!S76</f>
        <v>0</v>
      </c>
      <c r="T76" s="70">
        <f>'Restating Adj'!T76+'Pro Forma Adj'!T76</f>
        <v>0</v>
      </c>
      <c r="U76" s="70">
        <f>'Restating Adj'!U76+'Pro Forma Adj'!U76</f>
        <v>0</v>
      </c>
      <c r="V76" s="70">
        <f>'Restating Adj'!V76+'Pro Forma Adj'!V76</f>
        <v>0</v>
      </c>
      <c r="W76" s="71">
        <f>'Restating Adj'!W76+'Pro Forma Adj'!W76</f>
        <v>0</v>
      </c>
      <c r="X76" s="80">
        <f>'Restating Adj'!X76+'Pro Forma Adj'!X76</f>
        <v>0</v>
      </c>
      <c r="Y76" s="28">
        <f>'Restating Adj'!Y76+'Pro Forma Adj'!Y76</f>
        <v>0</v>
      </c>
      <c r="Z76" s="70">
        <f>'Restating Adj'!Z76+'Pro Forma Adj'!Z76</f>
        <v>0</v>
      </c>
      <c r="AA76" s="70">
        <f>'Restating Adj'!AA76+'Pro Forma Adj'!AA76</f>
        <v>0</v>
      </c>
      <c r="AB76" s="28">
        <f>'Restating Adj'!AB76+'Pro Forma Adj'!AB76</f>
        <v>0</v>
      </c>
      <c r="AC76" s="71">
        <f>'Restating Adj'!AC76+'Pro Forma Adj'!AC76</f>
        <v>0</v>
      </c>
      <c r="AD76" s="28">
        <f>'Restating Adj'!AD76+'Pro Forma Adj'!AD76</f>
        <v>0</v>
      </c>
      <c r="AE76" s="70">
        <f>'Restating Adj'!AE76+'Pro Forma Adj'!AE76</f>
        <v>0</v>
      </c>
      <c r="AF76" s="70">
        <f>'Restating Adj'!AF76+'Pro Forma Adj'!AF76</f>
        <v>0</v>
      </c>
      <c r="AG76" s="70">
        <f>'Restating Adj'!AG76+'Pro Forma Adj'!AG76</f>
        <v>0</v>
      </c>
      <c r="AH76" s="70">
        <f>'Restating Adj'!AH76+'Pro Forma Adj'!AH76</f>
        <v>0</v>
      </c>
      <c r="AI76" s="71">
        <f>'Restating Adj'!AI76+'Pro Forma Adj'!AI76</f>
        <v>0</v>
      </c>
      <c r="AJ76" s="28">
        <f>'Restating Adj'!AJ76+'Pro Forma Adj'!AJ76</f>
        <v>0</v>
      </c>
      <c r="AK76" s="70">
        <f>'Restating Adj'!AK76+'Pro Forma Adj'!AK76</f>
        <v>0</v>
      </c>
      <c r="AL76" s="28">
        <f>'Restating Adj'!AL76+'Pro Forma Adj'!AL76</f>
        <v>0</v>
      </c>
      <c r="AM76" s="70">
        <f>'Restating Adj'!AM76+'Pro Forma Adj'!AM76</f>
        <v>0</v>
      </c>
      <c r="AN76" s="70">
        <f>'Restating Adj'!AN76+'Pro Forma Adj'!AN76</f>
        <v>0</v>
      </c>
      <c r="AO76" s="71">
        <f>'Restating Adj'!AO76+'Pro Forma Adj'!AO76</f>
        <v>0</v>
      </c>
      <c r="AP76" s="28">
        <f>'Restating Adj'!AP76+'Pro Forma Adj'!AP76</f>
        <v>0</v>
      </c>
      <c r="AQ76" s="70">
        <f>'Restating Adj'!AQ76+'Pro Forma Adj'!AQ76</f>
        <v>0</v>
      </c>
      <c r="AR76" s="70">
        <f>'Restating Adj'!AR76+'Pro Forma Adj'!AR76</f>
        <v>0</v>
      </c>
      <c r="AS76" s="70">
        <f>'Restating Adj'!AS76+'Pro Forma Adj'!AS76</f>
        <v>0</v>
      </c>
      <c r="AT76" s="70">
        <f>'Restating Adj'!AT76+'Pro Forma Adj'!AT76</f>
        <v>0</v>
      </c>
      <c r="AU76" s="71">
        <f>'Restating Adj'!AU76+'Pro Forma Adj'!AU76</f>
        <v>0</v>
      </c>
      <c r="AV76" s="28">
        <f>'Restating Adj'!AV76+'Pro Forma Adj'!AV76</f>
        <v>0</v>
      </c>
      <c r="AW76" s="71">
        <f>'Restating Adj'!AW76+'Pro Forma Adj'!AW76</f>
        <v>0</v>
      </c>
      <c r="AX76" s="80">
        <f>'Restating Adj'!AX76+'Pro Forma Adj'!AX76</f>
        <v>0</v>
      </c>
      <c r="AY76" s="28">
        <f>'Restating Adj'!AY76+'Pro Forma Adj'!AY76</f>
        <v>0</v>
      </c>
      <c r="AZ76" s="70">
        <f>'Restating Adj'!AZ76+'Pro Forma Adj'!AZ76</f>
        <v>0</v>
      </c>
      <c r="BA76" s="71">
        <f>'Restating Adj'!BA76+'Pro Forma Adj'!BA76</f>
        <v>0</v>
      </c>
      <c r="BB76" s="28">
        <f>'Restating Adj'!BB76+'Pro Forma Adj'!BB76</f>
        <v>0</v>
      </c>
      <c r="BC76" s="70">
        <f>'Restating Adj'!BC76+'Pro Forma Adj'!BC76</f>
        <v>0</v>
      </c>
      <c r="BD76" s="70">
        <f>'Restating Adj'!BD76+'Pro Forma Adj'!BD76</f>
        <v>0</v>
      </c>
      <c r="BE76" s="70">
        <f>'Restating Adj'!BE76+'Pro Forma Adj'!BE76</f>
        <v>0</v>
      </c>
      <c r="BF76" s="71">
        <f>'Restating Adj'!BF76+'Pro Forma Adj'!BF76</f>
        <v>0</v>
      </c>
    </row>
    <row r="77" spans="1:58" x14ac:dyDescent="0.2">
      <c r="A77" s="14" t="s">
        <v>100</v>
      </c>
      <c r="B77" s="35">
        <f t="shared" si="88"/>
        <v>-2372504.2984719351</v>
      </c>
      <c r="C77" s="28">
        <f>'Restating Adj'!C77+'Pro Forma Adj'!C77</f>
        <v>0</v>
      </c>
      <c r="D77" s="70">
        <f>'Restating Adj'!D77+'Pro Forma Adj'!D77</f>
        <v>0</v>
      </c>
      <c r="E77" s="70">
        <f>'Restating Adj'!E77+'Pro Forma Adj'!E77</f>
        <v>0</v>
      </c>
      <c r="F77" s="80">
        <f>'Restating Adj'!F77+'Pro Forma Adj'!F77</f>
        <v>0</v>
      </c>
      <c r="G77" s="28">
        <f>'Restating Adj'!G77+'Pro Forma Adj'!G77</f>
        <v>0</v>
      </c>
      <c r="H77" s="70">
        <f>'Restating Adj'!H77+'Pro Forma Adj'!H77</f>
        <v>0</v>
      </c>
      <c r="I77" s="70">
        <f>'Restating Adj'!I77+'Pro Forma Adj'!I77</f>
        <v>0</v>
      </c>
      <c r="J77" s="70">
        <f>'Restating Adj'!J77+'Pro Forma Adj'!J77</f>
        <v>0</v>
      </c>
      <c r="K77" s="70">
        <f>'Restating Adj'!K77+'Pro Forma Adj'!K77</f>
        <v>0</v>
      </c>
      <c r="L77" s="71">
        <f>'Restating Adj'!L77+'Pro Forma Adj'!L77</f>
        <v>0</v>
      </c>
      <c r="M77" s="28">
        <f>'Restating Adj'!M77+'Pro Forma Adj'!M77</f>
        <v>0</v>
      </c>
      <c r="N77" s="70">
        <f>'Restating Adj'!N77+'Pro Forma Adj'!N77</f>
        <v>0</v>
      </c>
      <c r="O77" s="70">
        <f>'Restating Adj'!O77+'Pro Forma Adj'!O77</f>
        <v>0</v>
      </c>
      <c r="P77" s="70">
        <f>'Restating Adj'!P77+'Pro Forma Adj'!P77</f>
        <v>0</v>
      </c>
      <c r="Q77" s="70">
        <f>'Restating Adj'!Q77+'Pro Forma Adj'!Q77</f>
        <v>0</v>
      </c>
      <c r="R77" s="71">
        <f>'Restating Adj'!R77+'Pro Forma Adj'!R77</f>
        <v>0</v>
      </c>
      <c r="S77" s="28">
        <f>'Restating Adj'!S77+'Pro Forma Adj'!S77</f>
        <v>0</v>
      </c>
      <c r="T77" s="70">
        <f>'Restating Adj'!T77+'Pro Forma Adj'!T77</f>
        <v>0</v>
      </c>
      <c r="U77" s="70">
        <f>'Restating Adj'!U77+'Pro Forma Adj'!U77</f>
        <v>0</v>
      </c>
      <c r="V77" s="70">
        <f>'Restating Adj'!V77+'Pro Forma Adj'!V77</f>
        <v>0</v>
      </c>
      <c r="W77" s="71">
        <f>'Restating Adj'!W77+'Pro Forma Adj'!W77</f>
        <v>0</v>
      </c>
      <c r="X77" s="80">
        <f>'Restating Adj'!X77+'Pro Forma Adj'!X77</f>
        <v>0</v>
      </c>
      <c r="Y77" s="28">
        <f>'Restating Adj'!Y77+'Pro Forma Adj'!Y77</f>
        <v>0</v>
      </c>
      <c r="Z77" s="70">
        <f>'Restating Adj'!Z77+'Pro Forma Adj'!Z77</f>
        <v>0</v>
      </c>
      <c r="AA77" s="70">
        <f>'Restating Adj'!AA77+'Pro Forma Adj'!AA77</f>
        <v>0</v>
      </c>
      <c r="AB77" s="28">
        <f>'Restating Adj'!AB77+'Pro Forma Adj'!AB77</f>
        <v>-2372504.2984719351</v>
      </c>
      <c r="AC77" s="71">
        <f>'Restating Adj'!AC77+'Pro Forma Adj'!AC77</f>
        <v>0</v>
      </c>
      <c r="AD77" s="28">
        <f>'Restating Adj'!AD77+'Pro Forma Adj'!AD77</f>
        <v>0</v>
      </c>
      <c r="AE77" s="70">
        <f>'Restating Adj'!AE77+'Pro Forma Adj'!AE77</f>
        <v>0</v>
      </c>
      <c r="AF77" s="70">
        <f>'Restating Adj'!AF77+'Pro Forma Adj'!AF77</f>
        <v>0</v>
      </c>
      <c r="AG77" s="70">
        <f>'Restating Adj'!AG77+'Pro Forma Adj'!AG77</f>
        <v>0</v>
      </c>
      <c r="AH77" s="70">
        <f>'Restating Adj'!AH77+'Pro Forma Adj'!AH77</f>
        <v>0</v>
      </c>
      <c r="AI77" s="71">
        <f>'Restating Adj'!AI77+'Pro Forma Adj'!AI77</f>
        <v>0</v>
      </c>
      <c r="AJ77" s="28">
        <f>'Restating Adj'!AJ77+'Pro Forma Adj'!AJ77</f>
        <v>0</v>
      </c>
      <c r="AK77" s="70">
        <f>'Restating Adj'!AK77+'Pro Forma Adj'!AK77</f>
        <v>0</v>
      </c>
      <c r="AL77" s="28">
        <f>'Restating Adj'!AL77+'Pro Forma Adj'!AL77</f>
        <v>0</v>
      </c>
      <c r="AM77" s="70">
        <f>'Restating Adj'!AM77+'Pro Forma Adj'!AM77</f>
        <v>0</v>
      </c>
      <c r="AN77" s="70">
        <f>'Restating Adj'!AN77+'Pro Forma Adj'!AN77</f>
        <v>0</v>
      </c>
      <c r="AO77" s="71">
        <f>'Restating Adj'!AO77+'Pro Forma Adj'!AO77</f>
        <v>0</v>
      </c>
      <c r="AP77" s="28">
        <f>'Restating Adj'!AP77+'Pro Forma Adj'!AP77</f>
        <v>0</v>
      </c>
      <c r="AQ77" s="70">
        <f>'Restating Adj'!AQ77+'Pro Forma Adj'!AQ77</f>
        <v>0</v>
      </c>
      <c r="AR77" s="70">
        <f>'Restating Adj'!AR77+'Pro Forma Adj'!AR77</f>
        <v>0</v>
      </c>
      <c r="AS77" s="70">
        <f>'Restating Adj'!AS77+'Pro Forma Adj'!AS77</f>
        <v>0</v>
      </c>
      <c r="AT77" s="70">
        <f>'Restating Adj'!AT77+'Pro Forma Adj'!AT77</f>
        <v>0</v>
      </c>
      <c r="AU77" s="71">
        <f>'Restating Adj'!AU77+'Pro Forma Adj'!AU77</f>
        <v>0</v>
      </c>
      <c r="AV77" s="28">
        <f>'Restating Adj'!AV77+'Pro Forma Adj'!AV77</f>
        <v>0</v>
      </c>
      <c r="AW77" s="71">
        <f>'Restating Adj'!AW77+'Pro Forma Adj'!AW77</f>
        <v>0</v>
      </c>
      <c r="AX77" s="80">
        <f>'Restating Adj'!AX77+'Pro Forma Adj'!AX77</f>
        <v>0</v>
      </c>
      <c r="AY77" s="28">
        <f>'Restating Adj'!AY77+'Pro Forma Adj'!AY77</f>
        <v>0</v>
      </c>
      <c r="AZ77" s="70">
        <f>'Restating Adj'!AZ77+'Pro Forma Adj'!AZ77</f>
        <v>0</v>
      </c>
      <c r="BA77" s="71">
        <f>'Restating Adj'!BA77+'Pro Forma Adj'!BA77</f>
        <v>0</v>
      </c>
      <c r="BB77" s="28">
        <f>'Restating Adj'!BB77+'Pro Forma Adj'!BB77</f>
        <v>0</v>
      </c>
      <c r="BC77" s="70">
        <f>'Restating Adj'!BC77+'Pro Forma Adj'!BC77</f>
        <v>0</v>
      </c>
      <c r="BD77" s="70">
        <f>'Restating Adj'!BD77+'Pro Forma Adj'!BD77</f>
        <v>0</v>
      </c>
      <c r="BE77" s="70">
        <f>'Restating Adj'!BE77+'Pro Forma Adj'!BE77</f>
        <v>0</v>
      </c>
      <c r="BF77" s="71">
        <f>'Restating Adj'!BF77+'Pro Forma Adj'!BF77</f>
        <v>0</v>
      </c>
    </row>
    <row r="78" spans="1:58" x14ac:dyDescent="0.2">
      <c r="A78" s="14" t="s">
        <v>101</v>
      </c>
      <c r="B78" s="35">
        <f t="shared" si="88"/>
        <v>27263376.137064032</v>
      </c>
      <c r="C78" s="28">
        <f>'Restating Adj'!C78+'Pro Forma Adj'!C78</f>
        <v>0</v>
      </c>
      <c r="D78" s="70">
        <f>'Restating Adj'!D78+'Pro Forma Adj'!D78</f>
        <v>0</v>
      </c>
      <c r="E78" s="70">
        <f>'Restating Adj'!E78+'Pro Forma Adj'!E78</f>
        <v>0</v>
      </c>
      <c r="F78" s="80">
        <f>'Restating Adj'!F78+'Pro Forma Adj'!F78</f>
        <v>0</v>
      </c>
      <c r="G78" s="28">
        <f>'Restating Adj'!G78+'Pro Forma Adj'!G78</f>
        <v>0</v>
      </c>
      <c r="H78" s="70">
        <f>'Restating Adj'!H78+'Pro Forma Adj'!H78</f>
        <v>0</v>
      </c>
      <c r="I78" s="70">
        <f>'Restating Adj'!I78+'Pro Forma Adj'!I78</f>
        <v>0</v>
      </c>
      <c r="J78" s="70">
        <f>'Restating Adj'!J78+'Pro Forma Adj'!J78</f>
        <v>0</v>
      </c>
      <c r="K78" s="70">
        <f>'Restating Adj'!K78+'Pro Forma Adj'!K78</f>
        <v>0</v>
      </c>
      <c r="L78" s="71">
        <f>'Restating Adj'!L78+'Pro Forma Adj'!L78</f>
        <v>0</v>
      </c>
      <c r="M78" s="28">
        <f>'Restating Adj'!M78+'Pro Forma Adj'!M78</f>
        <v>0</v>
      </c>
      <c r="N78" s="70">
        <f>'Restating Adj'!N78+'Pro Forma Adj'!N78</f>
        <v>0</v>
      </c>
      <c r="O78" s="70">
        <f>'Restating Adj'!O78+'Pro Forma Adj'!O78</f>
        <v>0</v>
      </c>
      <c r="P78" s="70">
        <f>'Restating Adj'!P78+'Pro Forma Adj'!P78</f>
        <v>-770947.16000000015</v>
      </c>
      <c r="Q78" s="70">
        <f>'Restating Adj'!Q78+'Pro Forma Adj'!Q78</f>
        <v>0</v>
      </c>
      <c r="R78" s="71">
        <f>'Restating Adj'!R78+'Pro Forma Adj'!R78</f>
        <v>0</v>
      </c>
      <c r="S78" s="28">
        <f>'Restating Adj'!S78+'Pro Forma Adj'!S78</f>
        <v>0</v>
      </c>
      <c r="T78" s="70">
        <f>'Restating Adj'!T78+'Pro Forma Adj'!T78</f>
        <v>0</v>
      </c>
      <c r="U78" s="70">
        <f>'Restating Adj'!U78+'Pro Forma Adj'!U78</f>
        <v>0</v>
      </c>
      <c r="V78" s="70">
        <f>'Restating Adj'!V78+'Pro Forma Adj'!V78</f>
        <v>0</v>
      </c>
      <c r="W78" s="71">
        <f>'Restating Adj'!W78+'Pro Forma Adj'!W78</f>
        <v>0</v>
      </c>
      <c r="X78" s="80">
        <f>'Restating Adj'!X78+'Pro Forma Adj'!X78</f>
        <v>0</v>
      </c>
      <c r="Y78" s="28">
        <f>'Restating Adj'!Y78+'Pro Forma Adj'!Y78</f>
        <v>0</v>
      </c>
      <c r="Z78" s="70">
        <f>'Restating Adj'!Z78+'Pro Forma Adj'!Z78</f>
        <v>0</v>
      </c>
      <c r="AA78" s="70">
        <f>'Restating Adj'!AA78+'Pro Forma Adj'!AA78</f>
        <v>2028530.9125303458</v>
      </c>
      <c r="AB78" s="28">
        <f>'Restating Adj'!AB78+'Pro Forma Adj'!AB78</f>
        <v>0</v>
      </c>
      <c r="AC78" s="71">
        <f>'Restating Adj'!AC78+'Pro Forma Adj'!AC78</f>
        <v>0</v>
      </c>
      <c r="AD78" s="28">
        <f>'Restating Adj'!AD78+'Pro Forma Adj'!AD78</f>
        <v>0</v>
      </c>
      <c r="AE78" s="70">
        <f>'Restating Adj'!AE78+'Pro Forma Adj'!AE78</f>
        <v>5423211.5508133173</v>
      </c>
      <c r="AF78" s="70">
        <f>'Restating Adj'!AF78+'Pro Forma Adj'!AF78</f>
        <v>-1400.0989234134249</v>
      </c>
      <c r="AG78" s="70">
        <f>'Restating Adj'!AG78+'Pro Forma Adj'!AG78</f>
        <v>0</v>
      </c>
      <c r="AH78" s="70">
        <f>'Restating Adj'!AH78+'Pro Forma Adj'!AH78</f>
        <v>0</v>
      </c>
      <c r="AI78" s="71">
        <f>'Restating Adj'!AI78+'Pro Forma Adj'!AI78</f>
        <v>0</v>
      </c>
      <c r="AJ78" s="28">
        <f>'Restating Adj'!AJ78+'Pro Forma Adj'!AJ78</f>
        <v>0</v>
      </c>
      <c r="AK78" s="70">
        <f>'Restating Adj'!AK78+'Pro Forma Adj'!AK78</f>
        <v>0</v>
      </c>
      <c r="AL78" s="28">
        <f>'Restating Adj'!AL78+'Pro Forma Adj'!AL78</f>
        <v>0</v>
      </c>
      <c r="AM78" s="70">
        <f>'Restating Adj'!AM78+'Pro Forma Adj'!AM78</f>
        <v>17418111</v>
      </c>
      <c r="AN78" s="70">
        <f>'Restating Adj'!AN78+'Pro Forma Adj'!AN78</f>
        <v>0</v>
      </c>
      <c r="AO78" s="71">
        <f>'Restating Adj'!AO78+'Pro Forma Adj'!AO78</f>
        <v>-364644.74643903616</v>
      </c>
      <c r="AP78" s="28">
        <f>'Restating Adj'!AP78+'Pro Forma Adj'!AP78</f>
        <v>0</v>
      </c>
      <c r="AQ78" s="70">
        <f>'Restating Adj'!AQ78+'Pro Forma Adj'!AQ78</f>
        <v>0</v>
      </c>
      <c r="AR78" s="70">
        <f>'Restating Adj'!AR78+'Pro Forma Adj'!AR78</f>
        <v>0</v>
      </c>
      <c r="AS78" s="70">
        <f>'Restating Adj'!AS78+'Pro Forma Adj'!AS78</f>
        <v>0</v>
      </c>
      <c r="AT78" s="70">
        <f>'Restating Adj'!AT78+'Pro Forma Adj'!AT78</f>
        <v>0</v>
      </c>
      <c r="AU78" s="71">
        <f>'Restating Adj'!AU78+'Pro Forma Adj'!AU78</f>
        <v>76196.730051437393</v>
      </c>
      <c r="AV78" s="28">
        <f>'Restating Adj'!AV78+'Pro Forma Adj'!AV78</f>
        <v>0</v>
      </c>
      <c r="AW78" s="71">
        <f>'Restating Adj'!AW78+'Pro Forma Adj'!AW78</f>
        <v>0</v>
      </c>
      <c r="AX78" s="80">
        <f>'Restating Adj'!AX78+'Pro Forma Adj'!AX78</f>
        <v>0</v>
      </c>
      <c r="AY78" s="28">
        <f>'Restating Adj'!AY78+'Pro Forma Adj'!AY78</f>
        <v>0</v>
      </c>
      <c r="AZ78" s="70">
        <f>'Restating Adj'!AZ78+'Pro Forma Adj'!AZ78</f>
        <v>418474.67101061583</v>
      </c>
      <c r="BA78" s="71">
        <f>'Restating Adj'!BA78+'Pro Forma Adj'!BA78</f>
        <v>0</v>
      </c>
      <c r="BB78" s="28">
        <f>'Restating Adj'!BB78+'Pro Forma Adj'!BB78</f>
        <v>0</v>
      </c>
      <c r="BC78" s="70">
        <f>'Restating Adj'!BC78+'Pro Forma Adj'!BC78</f>
        <v>2952540.8917818591</v>
      </c>
      <c r="BD78" s="70">
        <f>'Restating Adj'!BD78+'Pro Forma Adj'!BD78</f>
        <v>46519.892542761663</v>
      </c>
      <c r="BE78" s="70">
        <f>'Restating Adj'!BE78+'Pro Forma Adj'!BE78</f>
        <v>36782.493696145204</v>
      </c>
      <c r="BF78" s="71">
        <f>'Restating Adj'!BF78+'Pro Forma Adj'!BF78</f>
        <v>0</v>
      </c>
    </row>
    <row r="79" spans="1:58" x14ac:dyDescent="0.2">
      <c r="A79" s="14" t="s">
        <v>102</v>
      </c>
      <c r="B79" s="35">
        <f t="shared" si="88"/>
        <v>5988580.781792054</v>
      </c>
      <c r="C79" s="87">
        <f>'Restating Adj'!C79+'Pro Forma Adj'!C79</f>
        <v>0</v>
      </c>
      <c r="D79" s="78">
        <f>'Restating Adj'!D79+'Pro Forma Adj'!D79</f>
        <v>0</v>
      </c>
      <c r="E79" s="78">
        <f>'Restating Adj'!E79+'Pro Forma Adj'!E79</f>
        <v>0</v>
      </c>
      <c r="F79" s="261">
        <f>'Restating Adj'!F79+'Pro Forma Adj'!F79</f>
        <v>0</v>
      </c>
      <c r="G79" s="87">
        <f>'Restating Adj'!G79+'Pro Forma Adj'!G79</f>
        <v>0</v>
      </c>
      <c r="H79" s="78">
        <f>'Restating Adj'!H79+'Pro Forma Adj'!H79</f>
        <v>0</v>
      </c>
      <c r="I79" s="78">
        <f>'Restating Adj'!I79+'Pro Forma Adj'!I79</f>
        <v>0</v>
      </c>
      <c r="J79" s="78">
        <f>'Restating Adj'!J79+'Pro Forma Adj'!J79</f>
        <v>0</v>
      </c>
      <c r="K79" s="78">
        <f>'Restating Adj'!K79+'Pro Forma Adj'!K79</f>
        <v>0</v>
      </c>
      <c r="L79" s="88">
        <f>'Restating Adj'!L79+'Pro Forma Adj'!L79</f>
        <v>0</v>
      </c>
      <c r="M79" s="87">
        <f>'Restating Adj'!M79+'Pro Forma Adj'!M79</f>
        <v>0</v>
      </c>
      <c r="N79" s="78">
        <f>'Restating Adj'!N79+'Pro Forma Adj'!N79</f>
        <v>0</v>
      </c>
      <c r="O79" s="78">
        <f>'Restating Adj'!O79+'Pro Forma Adj'!O79</f>
        <v>0</v>
      </c>
      <c r="P79" s="78">
        <f>'Restating Adj'!P79+'Pro Forma Adj'!P79</f>
        <v>414133.89288217115</v>
      </c>
      <c r="Q79" s="78">
        <f>'Restating Adj'!Q79+'Pro Forma Adj'!Q79</f>
        <v>0</v>
      </c>
      <c r="R79" s="88">
        <f>'Restating Adj'!R79+'Pro Forma Adj'!R79</f>
        <v>0</v>
      </c>
      <c r="S79" s="87">
        <f>'Restating Adj'!S79+'Pro Forma Adj'!S79</f>
        <v>0</v>
      </c>
      <c r="T79" s="78">
        <f>'Restating Adj'!T79+'Pro Forma Adj'!T79</f>
        <v>0</v>
      </c>
      <c r="U79" s="78">
        <f>'Restating Adj'!U79+'Pro Forma Adj'!U79</f>
        <v>0</v>
      </c>
      <c r="V79" s="78">
        <f>'Restating Adj'!V79+'Pro Forma Adj'!V79</f>
        <v>0</v>
      </c>
      <c r="W79" s="88">
        <f>'Restating Adj'!W79+'Pro Forma Adj'!W79</f>
        <v>0</v>
      </c>
      <c r="X79" s="261">
        <f>'Restating Adj'!X79+'Pro Forma Adj'!X79</f>
        <v>0</v>
      </c>
      <c r="Y79" s="87">
        <f>'Restating Adj'!Y79+'Pro Forma Adj'!Y79</f>
        <v>0</v>
      </c>
      <c r="Z79" s="78">
        <f>'Restating Adj'!Z79+'Pro Forma Adj'!Z79</f>
        <v>0</v>
      </c>
      <c r="AA79" s="78">
        <f>'Restating Adj'!AA79+'Pro Forma Adj'!AA79</f>
        <v>0</v>
      </c>
      <c r="AB79" s="87">
        <f>'Restating Adj'!AB79+'Pro Forma Adj'!AB79</f>
        <v>0</v>
      </c>
      <c r="AC79" s="88">
        <f>'Restating Adj'!AC79+'Pro Forma Adj'!AC79</f>
        <v>0</v>
      </c>
      <c r="AD79" s="87">
        <f>'Restating Adj'!AD79+'Pro Forma Adj'!AD79</f>
        <v>0</v>
      </c>
      <c r="AE79" s="78">
        <f>'Restating Adj'!AE79+'Pro Forma Adj'!AE79</f>
        <v>8297790.0345975189</v>
      </c>
      <c r="AF79" s="78">
        <f>'Restating Adj'!AF79+'Pro Forma Adj'!AF79</f>
        <v>-1347050.6677747429</v>
      </c>
      <c r="AG79" s="78">
        <f>'Restating Adj'!AG79+'Pro Forma Adj'!AG79</f>
        <v>0</v>
      </c>
      <c r="AH79" s="78">
        <f>'Restating Adj'!AH79+'Pro Forma Adj'!AH79</f>
        <v>0</v>
      </c>
      <c r="AI79" s="88">
        <f>'Restating Adj'!AI79+'Pro Forma Adj'!AI79</f>
        <v>0</v>
      </c>
      <c r="AJ79" s="87">
        <f>'Restating Adj'!AJ79+'Pro Forma Adj'!AJ79</f>
        <v>0</v>
      </c>
      <c r="AK79" s="78">
        <f>'Restating Adj'!AK79+'Pro Forma Adj'!AK79</f>
        <v>0</v>
      </c>
      <c r="AL79" s="87">
        <f>'Restating Adj'!AL79+'Pro Forma Adj'!AL79</f>
        <v>0</v>
      </c>
      <c r="AM79" s="78">
        <f>'Restating Adj'!AM79+'Pro Forma Adj'!AM79</f>
        <v>-1538649.2900000005</v>
      </c>
      <c r="AN79" s="78">
        <f>'Restating Adj'!AN79+'Pro Forma Adj'!AN79</f>
        <v>0</v>
      </c>
      <c r="AO79" s="88">
        <f>'Restating Adj'!AO79+'Pro Forma Adj'!AO79</f>
        <v>-2597673.2248429107</v>
      </c>
      <c r="AP79" s="87">
        <f>'Restating Adj'!AP79+'Pro Forma Adj'!AP79</f>
        <v>0</v>
      </c>
      <c r="AQ79" s="78">
        <f>'Restating Adj'!AQ79+'Pro Forma Adj'!AQ79</f>
        <v>0</v>
      </c>
      <c r="AR79" s="78">
        <f>'Restating Adj'!AR79+'Pro Forma Adj'!AR79</f>
        <v>0</v>
      </c>
      <c r="AS79" s="78">
        <f>'Restating Adj'!AS79+'Pro Forma Adj'!AS79</f>
        <v>0</v>
      </c>
      <c r="AT79" s="78">
        <f>'Restating Adj'!AT79+'Pro Forma Adj'!AT79</f>
        <v>0</v>
      </c>
      <c r="AU79" s="88">
        <f>'Restating Adj'!AU79+'Pro Forma Adj'!AU79</f>
        <v>0</v>
      </c>
      <c r="AV79" s="87">
        <f>'Restating Adj'!AV79+'Pro Forma Adj'!AV79</f>
        <v>0</v>
      </c>
      <c r="AW79" s="88">
        <f>'Restating Adj'!AW79+'Pro Forma Adj'!AW79</f>
        <v>0</v>
      </c>
      <c r="AX79" s="261">
        <f>'Restating Adj'!AX79+'Pro Forma Adj'!AX79</f>
        <v>0</v>
      </c>
      <c r="AY79" s="87">
        <f>'Restating Adj'!AY79+'Pro Forma Adj'!AY79</f>
        <v>0</v>
      </c>
      <c r="AZ79" s="78">
        <f>'Restating Adj'!AZ79+'Pro Forma Adj'!AZ79</f>
        <v>0</v>
      </c>
      <c r="BA79" s="88">
        <f>'Restating Adj'!BA79+'Pro Forma Adj'!BA79</f>
        <v>2238035.2736037271</v>
      </c>
      <c r="BB79" s="87">
        <f>'Restating Adj'!BB79+'Pro Forma Adj'!BB79</f>
        <v>0</v>
      </c>
      <c r="BC79" s="78">
        <f>'Restating Adj'!BC79+'Pro Forma Adj'!BC79</f>
        <v>0</v>
      </c>
      <c r="BD79" s="78">
        <f>'Restating Adj'!BD79+'Pro Forma Adj'!BD79</f>
        <v>292054.70207093953</v>
      </c>
      <c r="BE79" s="78">
        <f>'Restating Adj'!BE79+'Pro Forma Adj'!BE79</f>
        <v>229940.06125535205</v>
      </c>
      <c r="BF79" s="88">
        <f>'Restating Adj'!BF79+'Pro Forma Adj'!BF79</f>
        <v>0</v>
      </c>
    </row>
    <row r="80" spans="1:58" x14ac:dyDescent="0.2">
      <c r="A80" s="14" t="s">
        <v>103</v>
      </c>
      <c r="B80" s="255">
        <f t="shared" si="88"/>
        <v>16339148.299002349</v>
      </c>
      <c r="C80" s="153">
        <f t="shared" ref="C80" si="99">C74-C76-C77+C78-C79</f>
        <v>-2240536.6973766158</v>
      </c>
      <c r="D80" s="13">
        <f t="shared" ref="D80:AO80" si="100">D74-D76-D77+D78-D79</f>
        <v>33713237.028113201</v>
      </c>
      <c r="E80" s="13">
        <f t="shared" si="100"/>
        <v>1403022.0003689292</v>
      </c>
      <c r="F80" s="262">
        <f t="shared" si="100"/>
        <v>-172838.66050180205</v>
      </c>
      <c r="G80" s="153">
        <f t="shared" si="100"/>
        <v>-376068.13367364765</v>
      </c>
      <c r="H80" s="13">
        <f t="shared" si="100"/>
        <v>-1807065.9535639419</v>
      </c>
      <c r="I80" s="13">
        <f t="shared" si="100"/>
        <v>609471.75052286382</v>
      </c>
      <c r="J80" s="13">
        <f t="shared" si="100"/>
        <v>3532011.4621380032</v>
      </c>
      <c r="K80" s="13">
        <f t="shared" si="100"/>
        <v>-16906.942670214736</v>
      </c>
      <c r="L80" s="154">
        <f t="shared" si="100"/>
        <v>767.83106542847236</v>
      </c>
      <c r="M80" s="153">
        <f t="shared" si="100"/>
        <v>-545535.87124221772</v>
      </c>
      <c r="N80" s="13">
        <f t="shared" si="100"/>
        <v>629279.35106791416</v>
      </c>
      <c r="O80" s="13">
        <f t="shared" si="100"/>
        <v>-2006742.3164071133</v>
      </c>
      <c r="P80" s="13">
        <f t="shared" si="100"/>
        <v>-2458564.4292701823</v>
      </c>
      <c r="Q80" s="13">
        <f t="shared" si="100"/>
        <v>-73178.965199999977</v>
      </c>
      <c r="R80" s="154">
        <f t="shared" si="100"/>
        <v>-4130186.2725003762</v>
      </c>
      <c r="S80" s="153">
        <f t="shared" ref="S80:T80" si="101">S74-S76-S77+S78-S79</f>
        <v>7141820.6973571628</v>
      </c>
      <c r="T80" s="13">
        <f t="shared" si="101"/>
        <v>-37128076.544088289</v>
      </c>
      <c r="U80" s="13">
        <f t="shared" ref="U80:V80" si="102">U74-U76-U77+U78-U79</f>
        <v>265774.14632870059</v>
      </c>
      <c r="V80" s="13">
        <f t="shared" si="102"/>
        <v>-114140.83764662949</v>
      </c>
      <c r="W80" s="154">
        <f t="shared" ref="W80" si="103">W74-W76-W77+W78-W79</f>
        <v>-37776</v>
      </c>
      <c r="X80" s="262">
        <f t="shared" si="100"/>
        <v>15604614.261644704</v>
      </c>
      <c r="Y80" s="153">
        <f t="shared" si="100"/>
        <v>0</v>
      </c>
      <c r="Z80" s="13">
        <f t="shared" si="100"/>
        <v>0</v>
      </c>
      <c r="AA80" s="13">
        <f t="shared" si="100"/>
        <v>-3905143.9292135295</v>
      </c>
      <c r="AB80" s="153">
        <f t="shared" si="100"/>
        <v>2372504.2984719351</v>
      </c>
      <c r="AC80" s="154">
        <f t="shared" si="100"/>
        <v>-843808.66439033335</v>
      </c>
      <c r="AD80" s="153">
        <f t="shared" si="100"/>
        <v>0</v>
      </c>
      <c r="AE80" s="13">
        <f t="shared" si="100"/>
        <v>-2874578.4837842016</v>
      </c>
      <c r="AF80" s="13">
        <f t="shared" si="100"/>
        <v>1345650.5688513296</v>
      </c>
      <c r="AG80" s="13">
        <f t="shared" si="100"/>
        <v>0</v>
      </c>
      <c r="AH80" s="13">
        <f t="shared" si="100"/>
        <v>-1290521</v>
      </c>
      <c r="AI80" s="154">
        <f>AI74-AI76-AI77+AI78-AI79</f>
        <v>0</v>
      </c>
      <c r="AJ80" s="153">
        <f t="shared" si="100"/>
        <v>16672</v>
      </c>
      <c r="AK80" s="13">
        <f t="shared" ref="AK80" si="104">AK74-AK76-AK77+AK78-AK79</f>
        <v>-232524.95270601709</v>
      </c>
      <c r="AL80" s="153">
        <f t="shared" si="100"/>
        <v>0</v>
      </c>
      <c r="AM80" s="13">
        <f t="shared" si="100"/>
        <v>11945502.439321598</v>
      </c>
      <c r="AN80" s="13">
        <f t="shared" si="100"/>
        <v>0</v>
      </c>
      <c r="AO80" s="154">
        <f t="shared" si="100"/>
        <v>2233028.4784038747</v>
      </c>
      <c r="AP80" s="153">
        <f t="shared" ref="AP80:AW80" si="105">AP74-AP76-AP77+AP78-AP79</f>
        <v>0</v>
      </c>
      <c r="AQ80" s="13">
        <f t="shared" si="105"/>
        <v>-2336.9299999999998</v>
      </c>
      <c r="AR80" s="13">
        <f t="shared" si="105"/>
        <v>0</v>
      </c>
      <c r="AS80" s="13">
        <f t="shared" si="105"/>
        <v>0</v>
      </c>
      <c r="AT80" s="13">
        <f t="shared" si="105"/>
        <v>0</v>
      </c>
      <c r="AU80" s="154">
        <f t="shared" si="105"/>
        <v>253659.07857429984</v>
      </c>
      <c r="AV80" s="153">
        <f t="shared" si="105"/>
        <v>-228855.87557069294</v>
      </c>
      <c r="AW80" s="154">
        <f t="shared" si="105"/>
        <v>-646845.05196292081</v>
      </c>
      <c r="AX80" s="262">
        <f t="shared" ref="AX80:BA80" si="106">AX74-AX76-AX77+AX78-AX79</f>
        <v>-1108014.9153842642</v>
      </c>
      <c r="AY80" s="153">
        <f t="shared" si="106"/>
        <v>0</v>
      </c>
      <c r="AZ80" s="13">
        <f t="shared" si="106"/>
        <v>0</v>
      </c>
      <c r="BA80" s="154">
        <f t="shared" si="106"/>
        <v>-944796.85991910473</v>
      </c>
      <c r="BB80" s="153">
        <f t="shared" ref="BB80:BE80" si="107">BB74-BB76-BB77+BB78-BB79</f>
        <v>0</v>
      </c>
      <c r="BC80" s="13">
        <f t="shared" si="107"/>
        <v>0</v>
      </c>
      <c r="BD80" s="13">
        <f t="shared" si="107"/>
        <v>-292054.70207093953</v>
      </c>
      <c r="BE80" s="13">
        <f t="shared" si="107"/>
        <v>-229940.0612752715</v>
      </c>
      <c r="BF80" s="154">
        <f t="shared" ref="BF80" si="108">BF74-BF76-BF77+BF78-BF79</f>
        <v>-1020828.0428092993</v>
      </c>
    </row>
    <row r="81" spans="1:58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68"/>
      <c r="AX81" s="69"/>
      <c r="AY81" s="27"/>
      <c r="AZ81" s="12"/>
      <c r="BA81" s="68"/>
      <c r="BB81" s="27"/>
      <c r="BC81" s="12"/>
      <c r="BD81" s="12"/>
      <c r="BE81" s="12"/>
      <c r="BF81" s="68"/>
    </row>
    <row r="82" spans="1:58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68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</row>
    <row r="83" spans="1:58" x14ac:dyDescent="0.2">
      <c r="A83" s="14" t="s">
        <v>105</v>
      </c>
      <c r="B83" s="36">
        <f>SUM(C83:BF83)</f>
        <v>16339148.299002349</v>
      </c>
      <c r="C83" s="27">
        <f>C80-C82</f>
        <v>-2240536.6973766158</v>
      </c>
      <c r="D83" s="12">
        <f t="shared" ref="D83:AO83" si="109">D80-D82</f>
        <v>33713237.028113201</v>
      </c>
      <c r="E83" s="12">
        <f t="shared" si="109"/>
        <v>1403022.0003689292</v>
      </c>
      <c r="F83" s="69">
        <f t="shared" si="109"/>
        <v>-172838.66050180205</v>
      </c>
      <c r="G83" s="27">
        <f t="shared" si="109"/>
        <v>-376068.13367364765</v>
      </c>
      <c r="H83" s="12">
        <f t="shared" si="109"/>
        <v>-1807065.9535639419</v>
      </c>
      <c r="I83" s="12">
        <f t="shared" si="109"/>
        <v>609471.75052286382</v>
      </c>
      <c r="J83" s="12">
        <f t="shared" si="109"/>
        <v>3532011.4621380032</v>
      </c>
      <c r="K83" s="12">
        <f t="shared" si="109"/>
        <v>-16906.942670214736</v>
      </c>
      <c r="L83" s="68">
        <f t="shared" si="109"/>
        <v>767.83106542847236</v>
      </c>
      <c r="M83" s="27">
        <f t="shared" si="109"/>
        <v>-545535.87124221772</v>
      </c>
      <c r="N83" s="12">
        <f t="shared" si="109"/>
        <v>629279.35106791416</v>
      </c>
      <c r="O83" s="12">
        <f t="shared" si="109"/>
        <v>-2006742.3164071133</v>
      </c>
      <c r="P83" s="12">
        <f t="shared" si="109"/>
        <v>-2458564.4292701823</v>
      </c>
      <c r="Q83" s="12">
        <f t="shared" si="109"/>
        <v>-73178.965199999977</v>
      </c>
      <c r="R83" s="68">
        <f t="shared" si="109"/>
        <v>-4130186.2725003762</v>
      </c>
      <c r="S83" s="27">
        <f t="shared" ref="S83:T83" si="110">S80-S82</f>
        <v>7141820.6973571628</v>
      </c>
      <c r="T83" s="12">
        <f t="shared" si="110"/>
        <v>-37128076.544088289</v>
      </c>
      <c r="U83" s="12">
        <f t="shared" ref="U83:V83" si="111">U80-U82</f>
        <v>265774.14632870059</v>
      </c>
      <c r="V83" s="12">
        <f t="shared" si="111"/>
        <v>-114140.83764662949</v>
      </c>
      <c r="W83" s="68">
        <f t="shared" ref="W83" si="112">W80-W82</f>
        <v>-37776</v>
      </c>
      <c r="X83" s="69">
        <f t="shared" si="109"/>
        <v>15604614.261644704</v>
      </c>
      <c r="Y83" s="27">
        <f t="shared" si="109"/>
        <v>0</v>
      </c>
      <c r="Z83" s="12">
        <f t="shared" si="109"/>
        <v>0</v>
      </c>
      <c r="AA83" s="12">
        <f t="shared" si="109"/>
        <v>-3905143.9292135295</v>
      </c>
      <c r="AB83" s="27">
        <f t="shared" si="109"/>
        <v>2372504.2984719351</v>
      </c>
      <c r="AC83" s="68">
        <f t="shared" si="109"/>
        <v>-843808.66439033335</v>
      </c>
      <c r="AD83" s="27">
        <f t="shared" si="109"/>
        <v>0</v>
      </c>
      <c r="AE83" s="12">
        <f t="shared" si="109"/>
        <v>-2874578.4837842016</v>
      </c>
      <c r="AF83" s="12">
        <f t="shared" si="109"/>
        <v>1345650.5688513296</v>
      </c>
      <c r="AG83" s="12">
        <f t="shared" si="109"/>
        <v>0</v>
      </c>
      <c r="AH83" s="12">
        <f t="shared" si="109"/>
        <v>-1290521</v>
      </c>
      <c r="AI83" s="68">
        <f>AI80-AI82</f>
        <v>0</v>
      </c>
      <c r="AJ83" s="27">
        <f t="shared" si="109"/>
        <v>16672</v>
      </c>
      <c r="AK83" s="12">
        <f t="shared" ref="AK83" si="113">AK80-AK82</f>
        <v>-232524.95270601709</v>
      </c>
      <c r="AL83" s="27">
        <f t="shared" si="109"/>
        <v>0</v>
      </c>
      <c r="AM83" s="12">
        <f t="shared" si="109"/>
        <v>11945502.439321598</v>
      </c>
      <c r="AN83" s="12">
        <f t="shared" si="109"/>
        <v>0</v>
      </c>
      <c r="AO83" s="68">
        <f t="shared" si="109"/>
        <v>2233028.4784038747</v>
      </c>
      <c r="AP83" s="27">
        <f t="shared" ref="AP83:AW83" si="114">AP80-AP82</f>
        <v>0</v>
      </c>
      <c r="AQ83" s="12">
        <f t="shared" si="114"/>
        <v>-2336.9299999999998</v>
      </c>
      <c r="AR83" s="12">
        <f t="shared" si="114"/>
        <v>0</v>
      </c>
      <c r="AS83" s="12">
        <f t="shared" si="114"/>
        <v>0</v>
      </c>
      <c r="AT83" s="12">
        <f t="shared" si="114"/>
        <v>0</v>
      </c>
      <c r="AU83" s="68">
        <f t="shared" si="114"/>
        <v>253659.07857429984</v>
      </c>
      <c r="AV83" s="27">
        <f t="shared" si="114"/>
        <v>-228855.87557069294</v>
      </c>
      <c r="AW83" s="68">
        <f t="shared" si="114"/>
        <v>-646845.05196292081</v>
      </c>
      <c r="AX83" s="69">
        <f t="shared" ref="AX83:BA83" si="115">AX80-AX82</f>
        <v>-1108014.9153842642</v>
      </c>
      <c r="AY83" s="27">
        <f t="shared" si="115"/>
        <v>0</v>
      </c>
      <c r="AZ83" s="12">
        <f t="shared" si="115"/>
        <v>0</v>
      </c>
      <c r="BA83" s="68">
        <f t="shared" si="115"/>
        <v>-944796.85991910473</v>
      </c>
      <c r="BB83" s="27">
        <f t="shared" ref="BB83:BE83" si="116">BB80-BB82</f>
        <v>0</v>
      </c>
      <c r="BC83" s="12">
        <f t="shared" si="116"/>
        <v>0</v>
      </c>
      <c r="BD83" s="12">
        <f t="shared" si="116"/>
        <v>-292054.70207093953</v>
      </c>
      <c r="BE83" s="12">
        <f t="shared" si="116"/>
        <v>-229940.0612752715</v>
      </c>
      <c r="BF83" s="68">
        <f t="shared" ref="BF83" si="117">BF80-BF82</f>
        <v>-1020828.0428092993</v>
      </c>
    </row>
    <row r="84" spans="1:58" x14ac:dyDescent="0.2">
      <c r="A84" s="14"/>
      <c r="B84" s="36">
        <f>SUM(C84:AW84)</f>
        <v>0</v>
      </c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68"/>
      <c r="AX84" s="69"/>
      <c r="AY84" s="27"/>
      <c r="AZ84" s="12"/>
      <c r="BA84" s="68"/>
      <c r="BB84" s="27"/>
      <c r="BC84" s="12"/>
      <c r="BD84" s="12"/>
      <c r="BE84" s="12"/>
      <c r="BF84" s="68"/>
    </row>
    <row r="85" spans="1:58" x14ac:dyDescent="0.2">
      <c r="A85" s="14" t="s">
        <v>129</v>
      </c>
      <c r="B85" s="36">
        <f>SUM(C85:BF85)</f>
        <v>3431221.1427904908</v>
      </c>
      <c r="C85" s="27">
        <f>C83*0.21</f>
        <v>-470512.70644908928</v>
      </c>
      <c r="D85" s="12">
        <f t="shared" ref="D85:AW85" si="118">D83*0.21</f>
        <v>7079779.7759037716</v>
      </c>
      <c r="E85" s="12">
        <f t="shared" si="118"/>
        <v>294634.62007747515</v>
      </c>
      <c r="F85" s="69">
        <f t="shared" si="118"/>
        <v>-36296.118705378431</v>
      </c>
      <c r="G85" s="27">
        <f t="shared" si="118"/>
        <v>-78974.308071466003</v>
      </c>
      <c r="H85" s="12">
        <f t="shared" si="118"/>
        <v>-379483.85024842777</v>
      </c>
      <c r="I85" s="12">
        <f t="shared" si="118"/>
        <v>127989.06760980139</v>
      </c>
      <c r="J85" s="12">
        <f t="shared" si="118"/>
        <v>741722.40704898059</v>
      </c>
      <c r="K85" s="12">
        <f t="shared" si="118"/>
        <v>-3550.4579607450942</v>
      </c>
      <c r="L85" s="68">
        <f t="shared" si="118"/>
        <v>161.2445237399792</v>
      </c>
      <c r="M85" s="27">
        <f t="shared" si="118"/>
        <v>-114562.53296086572</v>
      </c>
      <c r="N85" s="12">
        <f t="shared" si="118"/>
        <v>132148.66372426198</v>
      </c>
      <c r="O85" s="12">
        <f t="shared" si="118"/>
        <v>-421415.88644549379</v>
      </c>
      <c r="P85" s="12">
        <f t="shared" si="118"/>
        <v>-516298.53014673828</v>
      </c>
      <c r="Q85" s="12">
        <f t="shared" si="118"/>
        <v>-15367.582691999994</v>
      </c>
      <c r="R85" s="68">
        <f t="shared" si="118"/>
        <v>-867339.11722507898</v>
      </c>
      <c r="S85" s="27">
        <f t="shared" ref="S85:T85" si="119">S83*0.21</f>
        <v>1499782.3464450042</v>
      </c>
      <c r="T85" s="12">
        <f t="shared" si="119"/>
        <v>-7796896.0742585408</v>
      </c>
      <c r="U85" s="12">
        <f t="shared" si="118"/>
        <v>55812.570729027124</v>
      </c>
      <c r="V85" s="12">
        <f t="shared" ref="V85:W85" si="120">V83*0.21</f>
        <v>-23969.57590579219</v>
      </c>
      <c r="W85" s="68">
        <f t="shared" si="120"/>
        <v>-7932.96</v>
      </c>
      <c r="X85" s="69">
        <f t="shared" si="118"/>
        <v>3276968.9949453878</v>
      </c>
      <c r="Y85" s="27">
        <f t="shared" si="118"/>
        <v>0</v>
      </c>
      <c r="Z85" s="12">
        <f t="shared" si="118"/>
        <v>0</v>
      </c>
      <c r="AA85" s="12">
        <f t="shared" si="118"/>
        <v>-820080.22513484117</v>
      </c>
      <c r="AB85" s="27">
        <f t="shared" si="118"/>
        <v>498225.90267910634</v>
      </c>
      <c r="AC85" s="68">
        <f t="shared" si="118"/>
        <v>-177199.81952197</v>
      </c>
      <c r="AD85" s="27">
        <f t="shared" si="118"/>
        <v>0</v>
      </c>
      <c r="AE85" s="12">
        <f t="shared" si="118"/>
        <v>-603661.48159468232</v>
      </c>
      <c r="AF85" s="12">
        <f t="shared" si="118"/>
        <v>282586.61945877923</v>
      </c>
      <c r="AG85" s="12">
        <f t="shared" si="118"/>
        <v>0</v>
      </c>
      <c r="AH85" s="12">
        <f t="shared" si="118"/>
        <v>-271009.40999999997</v>
      </c>
      <c r="AI85" s="68">
        <f>AI83*0.21</f>
        <v>0</v>
      </c>
      <c r="AJ85" s="27">
        <f t="shared" si="118"/>
        <v>3501.12</v>
      </c>
      <c r="AK85" s="12">
        <f t="shared" ref="AK85" si="121">AK83*0.21</f>
        <v>-48830.240068263585</v>
      </c>
      <c r="AL85" s="27">
        <f t="shared" si="118"/>
        <v>0</v>
      </c>
      <c r="AM85" s="12">
        <f t="shared" si="118"/>
        <v>2508555.5122575355</v>
      </c>
      <c r="AN85" s="12">
        <f t="shared" si="118"/>
        <v>0</v>
      </c>
      <c r="AO85" s="68">
        <f t="shared" si="118"/>
        <v>468935.98046481365</v>
      </c>
      <c r="AP85" s="27">
        <f t="shared" si="118"/>
        <v>0</v>
      </c>
      <c r="AQ85" s="12">
        <f t="shared" si="118"/>
        <v>-490.75529999999992</v>
      </c>
      <c r="AR85" s="12">
        <f t="shared" si="118"/>
        <v>0</v>
      </c>
      <c r="AS85" s="12">
        <f t="shared" si="118"/>
        <v>0</v>
      </c>
      <c r="AT85" s="12">
        <f t="shared" si="118"/>
        <v>0</v>
      </c>
      <c r="AU85" s="68">
        <f t="shared" si="118"/>
        <v>53268.406500602963</v>
      </c>
      <c r="AV85" s="27">
        <f t="shared" si="118"/>
        <v>-48059.733869845513</v>
      </c>
      <c r="AW85" s="68">
        <f t="shared" si="118"/>
        <v>-135837.46091221337</v>
      </c>
      <c r="AX85" s="69">
        <f t="shared" ref="AX85:BA85" si="122">AX83*0.21</f>
        <v>-232683.13223069548</v>
      </c>
      <c r="AY85" s="27">
        <f t="shared" si="122"/>
        <v>0</v>
      </c>
      <c r="AZ85" s="12">
        <f t="shared" si="122"/>
        <v>0</v>
      </c>
      <c r="BA85" s="68">
        <f t="shared" si="122"/>
        <v>-198407.34058301197</v>
      </c>
      <c r="BB85" s="27">
        <f t="shared" ref="BB85:BE85" si="123">BB83*0.21</f>
        <v>0</v>
      </c>
      <c r="BC85" s="12">
        <f t="shared" si="123"/>
        <v>0</v>
      </c>
      <c r="BD85" s="12">
        <f t="shared" si="123"/>
        <v>-61331.487434897295</v>
      </c>
      <c r="BE85" s="12">
        <f t="shared" si="123"/>
        <v>-48287.412867807012</v>
      </c>
      <c r="BF85" s="68">
        <f t="shared" ref="BF85" si="124">BF83*0.21</f>
        <v>-214373.88898995286</v>
      </c>
    </row>
    <row r="86" spans="1:58" x14ac:dyDescent="0.2">
      <c r="A86" s="14" t="s">
        <v>297</v>
      </c>
      <c r="B86" s="36">
        <f>SUM(C86:BF86)</f>
        <v>-6039117.7064277744</v>
      </c>
      <c r="C86" s="27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69">
        <f>'Restating Adj'!F86+'Pro Forma Adj'!F86</f>
        <v>0</v>
      </c>
      <c r="G86" s="27">
        <f>'Restating Adj'!G86+'Pro Forma Adj'!G86</f>
        <v>0</v>
      </c>
      <c r="H86" s="12">
        <f>'Restating Adj'!H86+'Pro Forma Adj'!H86</f>
        <v>0</v>
      </c>
      <c r="I86" s="12">
        <f>'Restating Adj'!I86+'Pro Forma Adj'!I86</f>
        <v>0</v>
      </c>
      <c r="J86" s="12">
        <f>'Restating Adj'!J86+'Pro Forma Adj'!J86</f>
        <v>0</v>
      </c>
      <c r="K86" s="12">
        <f>'Restating Adj'!K86+'Pro Forma Adj'!K86</f>
        <v>0</v>
      </c>
      <c r="L86" s="68">
        <f>'Restating Adj'!L86+'Pro Forma Adj'!L86</f>
        <v>0</v>
      </c>
      <c r="M86" s="27">
        <f>'Restating Adj'!M86+'Pro Forma Adj'!M86</f>
        <v>0</v>
      </c>
      <c r="N86" s="12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12">
        <f>'Restating Adj'!Q86+'Pro Forma Adj'!Q86</f>
        <v>0</v>
      </c>
      <c r="R86" s="68">
        <f>'Restating Adj'!R86+'Pro Forma Adj'!R86</f>
        <v>0</v>
      </c>
      <c r="S86" s="27">
        <f>'Restating Adj'!S86+'Pro Forma Adj'!S86</f>
        <v>0</v>
      </c>
      <c r="T86" s="12">
        <f>'Restating Adj'!T86+'Pro Forma Adj'!T86</f>
        <v>0</v>
      </c>
      <c r="U86" s="12">
        <f>'Restating Adj'!U86+'Pro Forma Adj'!U86</f>
        <v>0</v>
      </c>
      <c r="V86" s="12">
        <f>'Restating Adj'!V86+'Pro Forma Adj'!V86</f>
        <v>0</v>
      </c>
      <c r="W86" s="68">
        <f>'Restating Adj'!W86+'Pro Forma Adj'!W86</f>
        <v>0</v>
      </c>
      <c r="X86" s="69">
        <f>'Restating Adj'!X86+'Pro Forma Adj'!X86</f>
        <v>0</v>
      </c>
      <c r="Y86" s="27">
        <f>'Restating Adj'!Y86+'Pro Forma Adj'!Y86</f>
        <v>0</v>
      </c>
      <c r="Z86" s="12">
        <f>'Restating Adj'!Z86+'Pro Forma Adj'!Z86</f>
        <v>0</v>
      </c>
      <c r="AA86" s="12">
        <f>'Restating Adj'!AA86+'Pro Forma Adj'!AA86</f>
        <v>0</v>
      </c>
      <c r="AB86" s="27">
        <f>'Restating Adj'!AB86+'Pro Forma Adj'!AB86</f>
        <v>0</v>
      </c>
      <c r="AC86" s="68">
        <f>'Restating Adj'!AC86+'Pro Forma Adj'!AC86</f>
        <v>0</v>
      </c>
      <c r="AD86" s="27">
        <f>'Restating Adj'!AD86+'Pro Forma Adj'!AD86</f>
        <v>-6025906.1791799143</v>
      </c>
      <c r="AE86" s="12">
        <f>'Restating Adj'!AE86+'Pro Forma Adj'!AE86</f>
        <v>0</v>
      </c>
      <c r="AF86" s="12">
        <f>'Restating Adj'!AF86+'Pro Forma Adj'!AF86</f>
        <v>19448.884243294335</v>
      </c>
      <c r="AG86" s="12">
        <f>'Restating Adj'!AG86+'Pro Forma Adj'!AG86</f>
        <v>0</v>
      </c>
      <c r="AH86" s="12">
        <f>'Restating Adj'!AH86+'Pro Forma Adj'!AH86</f>
        <v>0</v>
      </c>
      <c r="AI86" s="68">
        <f>'Restating Adj'!AI86+'Pro Forma Adj'!AI86</f>
        <v>0</v>
      </c>
      <c r="AJ86" s="27">
        <f>'Restating Adj'!AJ86+'Pro Forma Adj'!AJ86</f>
        <v>0</v>
      </c>
      <c r="AK86" s="12">
        <f>'Restating Adj'!AK86+'Pro Forma Adj'!AK86</f>
        <v>0</v>
      </c>
      <c r="AL86" s="27">
        <f>'Restating Adj'!AL86+'Pro Forma Adj'!AL86</f>
        <v>0</v>
      </c>
      <c r="AM86" s="12">
        <f>'Restating Adj'!AM86+'Pro Forma Adj'!AM86</f>
        <v>0</v>
      </c>
      <c r="AN86" s="12">
        <f>'Restating Adj'!AN86+'Pro Forma Adj'!AN86</f>
        <v>0</v>
      </c>
      <c r="AO86" s="68">
        <f>'Restating Adj'!AO86+'Pro Forma Adj'!AO86</f>
        <v>0</v>
      </c>
      <c r="AP86" s="27">
        <f>'Restating Adj'!AP86+'Pro Forma Adj'!AP86</f>
        <v>0</v>
      </c>
      <c r="AQ86" s="12">
        <f>'Restating Adj'!AQ86+'Pro Forma Adj'!AQ86</f>
        <v>0</v>
      </c>
      <c r="AR86" s="12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68">
        <f>'Restating Adj'!AU86+'Pro Forma Adj'!AU86</f>
        <v>0</v>
      </c>
      <c r="AV86" s="27">
        <f>'Restating Adj'!AV86+'Pro Forma Adj'!AV86</f>
        <v>0</v>
      </c>
      <c r="AW86" s="68">
        <f>'Restating Adj'!AW86+'Pro Forma Adj'!AW86</f>
        <v>0</v>
      </c>
      <c r="AX86" s="69">
        <f>'Restating Adj'!AX86+'Pro Forma Adj'!AX86</f>
        <v>-32660.411491154693</v>
      </c>
      <c r="AY86" s="27">
        <f>'Restating Adj'!AY86+'Pro Forma Adj'!AY86</f>
        <v>0</v>
      </c>
      <c r="AZ86" s="12">
        <f>'Restating Adj'!AZ86+'Pro Forma Adj'!AZ86</f>
        <v>0</v>
      </c>
      <c r="BA86" s="68">
        <f>'Restating Adj'!BA86+'Pro Forma Adj'!BA86</f>
        <v>0</v>
      </c>
      <c r="BB86" s="27">
        <f>'Restating Adj'!BB86+'Pro Forma Adj'!BB86</f>
        <v>0</v>
      </c>
      <c r="BC86" s="12">
        <f>'Restating Adj'!BC86+'Pro Forma Adj'!BC86</f>
        <v>0</v>
      </c>
      <c r="BD86" s="12">
        <f>'Restating Adj'!BD86+'Pro Forma Adj'!BD86</f>
        <v>0</v>
      </c>
      <c r="BE86" s="12">
        <f>'Restating Adj'!BE86+'Pro Forma Adj'!BE86</f>
        <v>0</v>
      </c>
      <c r="BF86" s="68">
        <f>'Restating Adj'!BF86+'Pro Forma Adj'!BF86</f>
        <v>0</v>
      </c>
    </row>
    <row r="87" spans="1:58" s="2" customFormat="1" ht="13.5" thickBot="1" x14ac:dyDescent="0.25">
      <c r="A87" s="14" t="s">
        <v>131</v>
      </c>
      <c r="B87" s="256">
        <f>SUM(C87:BF87)</f>
        <v>-2607896.5636372841</v>
      </c>
      <c r="C87" s="91">
        <f>C85+C86</f>
        <v>-470512.70644908928</v>
      </c>
      <c r="D87" s="89">
        <f t="shared" ref="D87:AO87" si="125">D85+D86</f>
        <v>7079779.7759037716</v>
      </c>
      <c r="E87" s="89">
        <f t="shared" si="125"/>
        <v>294634.62007747515</v>
      </c>
      <c r="F87" s="263">
        <f t="shared" si="125"/>
        <v>-36296.118705378431</v>
      </c>
      <c r="G87" s="91">
        <f t="shared" si="125"/>
        <v>-78974.308071466003</v>
      </c>
      <c r="H87" s="89">
        <f t="shared" si="125"/>
        <v>-379483.85024842777</v>
      </c>
      <c r="I87" s="89">
        <f t="shared" si="125"/>
        <v>127989.06760980139</v>
      </c>
      <c r="J87" s="89">
        <f t="shared" si="125"/>
        <v>741722.40704898059</v>
      </c>
      <c r="K87" s="89">
        <f t="shared" si="125"/>
        <v>-3550.4579607450942</v>
      </c>
      <c r="L87" s="90">
        <f t="shared" si="125"/>
        <v>161.2445237399792</v>
      </c>
      <c r="M87" s="91">
        <f t="shared" si="125"/>
        <v>-114562.53296086572</v>
      </c>
      <c r="N87" s="89">
        <f t="shared" si="125"/>
        <v>132148.66372426198</v>
      </c>
      <c r="O87" s="89">
        <f t="shared" si="125"/>
        <v>-421415.88644549379</v>
      </c>
      <c r="P87" s="89">
        <f t="shared" si="125"/>
        <v>-516298.53014673828</v>
      </c>
      <c r="Q87" s="89">
        <f t="shared" si="125"/>
        <v>-15367.582691999994</v>
      </c>
      <c r="R87" s="90">
        <f t="shared" si="125"/>
        <v>-867339.11722507898</v>
      </c>
      <c r="S87" s="91">
        <f t="shared" ref="S87:T87" si="126">S85+S86</f>
        <v>1499782.3464450042</v>
      </c>
      <c r="T87" s="89">
        <f t="shared" si="126"/>
        <v>-7796896.0742585408</v>
      </c>
      <c r="U87" s="89">
        <f t="shared" ref="U87:V87" si="127">U85+U86</f>
        <v>55812.570729027124</v>
      </c>
      <c r="V87" s="89">
        <f t="shared" si="127"/>
        <v>-23969.57590579219</v>
      </c>
      <c r="W87" s="90">
        <f t="shared" ref="W87" si="128">W85+W86</f>
        <v>-7932.96</v>
      </c>
      <c r="X87" s="263">
        <f t="shared" si="125"/>
        <v>3276968.9949453878</v>
      </c>
      <c r="Y87" s="91">
        <f t="shared" si="125"/>
        <v>0</v>
      </c>
      <c r="Z87" s="89">
        <f t="shared" si="125"/>
        <v>0</v>
      </c>
      <c r="AA87" s="89">
        <f t="shared" si="125"/>
        <v>-820080.22513484117</v>
      </c>
      <c r="AB87" s="91">
        <f t="shared" si="125"/>
        <v>498225.90267910634</v>
      </c>
      <c r="AC87" s="90">
        <f t="shared" si="125"/>
        <v>-177199.81952197</v>
      </c>
      <c r="AD87" s="91">
        <f t="shared" si="125"/>
        <v>-6025906.1791799143</v>
      </c>
      <c r="AE87" s="89">
        <f t="shared" si="125"/>
        <v>-603661.48159468232</v>
      </c>
      <c r="AF87" s="89">
        <f t="shared" si="125"/>
        <v>302035.50370207359</v>
      </c>
      <c r="AG87" s="89">
        <f t="shared" si="125"/>
        <v>0</v>
      </c>
      <c r="AH87" s="89">
        <f t="shared" si="125"/>
        <v>-271009.40999999997</v>
      </c>
      <c r="AI87" s="90">
        <f>AI85+AI86</f>
        <v>0</v>
      </c>
      <c r="AJ87" s="91">
        <f t="shared" si="125"/>
        <v>3501.12</v>
      </c>
      <c r="AK87" s="89">
        <f t="shared" ref="AK87" si="129">AK85+AK86</f>
        <v>-48830.240068263585</v>
      </c>
      <c r="AL87" s="91">
        <f t="shared" si="125"/>
        <v>0</v>
      </c>
      <c r="AM87" s="89">
        <f t="shared" si="125"/>
        <v>2508555.5122575355</v>
      </c>
      <c r="AN87" s="89">
        <f t="shared" si="125"/>
        <v>0</v>
      </c>
      <c r="AO87" s="90">
        <f t="shared" si="125"/>
        <v>468935.98046481365</v>
      </c>
      <c r="AP87" s="91">
        <f t="shared" ref="AP87:AW87" si="130">AP85+AP86</f>
        <v>0</v>
      </c>
      <c r="AQ87" s="89">
        <f t="shared" si="130"/>
        <v>-490.75529999999992</v>
      </c>
      <c r="AR87" s="89">
        <f t="shared" si="130"/>
        <v>0</v>
      </c>
      <c r="AS87" s="89">
        <f t="shared" si="130"/>
        <v>0</v>
      </c>
      <c r="AT87" s="89">
        <f t="shared" si="130"/>
        <v>0</v>
      </c>
      <c r="AU87" s="90">
        <f t="shared" si="130"/>
        <v>53268.406500602963</v>
      </c>
      <c r="AV87" s="91">
        <f t="shared" si="130"/>
        <v>-48059.733869845513</v>
      </c>
      <c r="AW87" s="90">
        <f t="shared" si="130"/>
        <v>-135837.46091221337</v>
      </c>
      <c r="AX87" s="263">
        <f t="shared" ref="AX87:BA87" si="131">AX85+AX86</f>
        <v>-265343.54372185015</v>
      </c>
      <c r="AY87" s="91">
        <f t="shared" si="131"/>
        <v>0</v>
      </c>
      <c r="AZ87" s="89">
        <f t="shared" si="131"/>
        <v>0</v>
      </c>
      <c r="BA87" s="90">
        <f t="shared" si="131"/>
        <v>-198407.34058301197</v>
      </c>
      <c r="BB87" s="91">
        <f t="shared" ref="BB87:BE87" si="132">BB85+BB86</f>
        <v>0</v>
      </c>
      <c r="BC87" s="89">
        <f t="shared" si="132"/>
        <v>0</v>
      </c>
      <c r="BD87" s="89">
        <f t="shared" si="132"/>
        <v>-61331.487434897295</v>
      </c>
      <c r="BE87" s="89">
        <f t="shared" si="132"/>
        <v>-48287.412867807012</v>
      </c>
      <c r="BF87" s="90">
        <f t="shared" ref="BF87" si="133">BF85+BF86</f>
        <v>-214373.88898995286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1"/>
      <c r="B90" s="12" t="s">
        <v>233</v>
      </c>
      <c r="C90" s="12">
        <f>C71-[2]Results!D417</f>
        <v>0</v>
      </c>
      <c r="D90" s="12">
        <f>D71-[2]Results!E417</f>
        <v>0</v>
      </c>
      <c r="E90" s="12">
        <f>E71-[2]Results!F417</f>
        <v>0</v>
      </c>
      <c r="F90" s="12">
        <f>F71-[2]Results!D532</f>
        <v>0</v>
      </c>
      <c r="G90" s="12">
        <f>G71-[2]Results!E532</f>
        <v>0</v>
      </c>
      <c r="H90" s="12">
        <f>H71-[2]Results!F532</f>
        <v>0</v>
      </c>
      <c r="I90" s="12">
        <f>I71-[2]Results!G532</f>
        <v>0</v>
      </c>
      <c r="J90" s="12">
        <f>J71-[2]Results!H532</f>
        <v>0</v>
      </c>
      <c r="K90" s="12">
        <f>K71-[2]Results!I532</f>
        <v>0</v>
      </c>
      <c r="L90" s="12">
        <f>L71-[2]Results!J532</f>
        <v>0</v>
      </c>
      <c r="M90" s="12">
        <f>M71-[2]Results!K532</f>
        <v>0</v>
      </c>
      <c r="N90" s="12">
        <f>N71-[2]Results!L532</f>
        <v>0</v>
      </c>
      <c r="O90" s="12">
        <f>O71-[2]Results!M532</f>
        <v>0</v>
      </c>
      <c r="P90" s="12">
        <f>P71-[2]Results!N532</f>
        <v>0</v>
      </c>
      <c r="Q90" s="12">
        <f>Q71-[2]Results!O532</f>
        <v>0</v>
      </c>
      <c r="R90" s="12">
        <f>R71-[2]Results!P532</f>
        <v>0</v>
      </c>
      <c r="S90" s="12">
        <f>S71-[2]Results!D646</f>
        <v>0</v>
      </c>
      <c r="T90" s="12">
        <f>T71-[2]Results!E646</f>
        <v>0</v>
      </c>
      <c r="U90" s="12">
        <f>U71-[2]Results!F646</f>
        <v>0</v>
      </c>
      <c r="V90" s="12">
        <f>V71-[2]Results!G646</f>
        <v>0</v>
      </c>
      <c r="W90" s="12">
        <f>W71-[2]Results!H646</f>
        <v>0</v>
      </c>
      <c r="X90" s="12">
        <f>X71-SUM([2]Results!$D$760:$E$760)</f>
        <v>0</v>
      </c>
      <c r="Y90" s="12">
        <f>Y71-SUM([2]Results!$F$760:$G$760)</f>
        <v>0</v>
      </c>
      <c r="Z90" s="12">
        <f>Z71-SUM([2]Results!$H$760:$K$760)</f>
        <v>0</v>
      </c>
      <c r="AA90" s="12">
        <f>AA71-[2]Results!$L$760</f>
        <v>0</v>
      </c>
      <c r="AB90" s="12">
        <f>AB71-[2]Results!D875</f>
        <v>0</v>
      </c>
      <c r="AC90" s="12">
        <f>AC71-[2]Results!E875</f>
        <v>0</v>
      </c>
      <c r="AD90" s="12">
        <f>AD71-[2]Results!F875</f>
        <v>0</v>
      </c>
      <c r="AE90" s="12">
        <f>AE71-SUM([2]Results!$G$875:$H$875)</f>
        <v>0</v>
      </c>
      <c r="AF90" s="12">
        <f>AF71-[2]Results!I875</f>
        <v>0</v>
      </c>
      <c r="AG90" s="12">
        <f>AG71-[2]Results!J875</f>
        <v>0</v>
      </c>
      <c r="AH90" s="12">
        <f>AH71-[2]Results!K875</f>
        <v>0</v>
      </c>
      <c r="AI90" s="12">
        <f>AI71-[2]Results!L875</f>
        <v>0</v>
      </c>
      <c r="AJ90" s="12">
        <f>AJ71-[2]Results!M875</f>
        <v>0</v>
      </c>
      <c r="AK90" s="12">
        <f>AK71-[2]Results!N875</f>
        <v>0</v>
      </c>
      <c r="AL90" s="12">
        <f>AL71-SUM([2]Results!$F$990:$L$990)</f>
        <v>0</v>
      </c>
      <c r="AM90" s="12">
        <f>AM71-[2]Results!M990</f>
        <v>0</v>
      </c>
      <c r="AN90" s="12">
        <f>AN71-[2]Results!N990</f>
        <v>0</v>
      </c>
      <c r="AO90" s="12">
        <f>AO71-SUM([2]Results!$O$990:$P$990)</f>
        <v>0</v>
      </c>
      <c r="AP90" s="12">
        <f>AP71-SUM([2]Results!$Q$990:$R$990)</f>
        <v>0</v>
      </c>
      <c r="AQ90" s="12">
        <f>AQ71-[2]Results!S990</f>
        <v>0</v>
      </c>
      <c r="AR90" s="12">
        <f>AR71-[2]Results!T990</f>
        <v>0</v>
      </c>
      <c r="AS90" s="12">
        <f>AS71-[2]Results!U990</f>
        <v>0</v>
      </c>
      <c r="AT90" s="12">
        <f>AT71-[2]Results!V990</f>
        <v>0</v>
      </c>
      <c r="AU90" s="12">
        <f>AU71-[2]Results!W990</f>
        <v>0</v>
      </c>
      <c r="AV90" s="12">
        <f>AV71-[2]Results!X990</f>
        <v>0</v>
      </c>
      <c r="AW90" s="12">
        <f>AW71-[2]Results!Y990</f>
        <v>0</v>
      </c>
      <c r="AX90" s="12">
        <f>AX71-SUM([2]Results!$D$1108:$E$1108)</f>
        <v>0</v>
      </c>
      <c r="AY90" s="12">
        <f>AY71-[2]Results!$D$1225</f>
        <v>0</v>
      </c>
      <c r="AZ90" s="12">
        <f>AZ71-[2]Results!E$1225</f>
        <v>0</v>
      </c>
      <c r="BA90" s="12">
        <f>BA71-[2]Results!F$1225</f>
        <v>0</v>
      </c>
      <c r="BB90" s="12">
        <f>BB71-[2]Results!G$1225</f>
        <v>0</v>
      </c>
      <c r="BC90" s="12">
        <f>BC71-[2]Results!H$1225</f>
        <v>-5.5879354476928711E-9</v>
      </c>
      <c r="BD90" s="12">
        <f>BD71-[2]Results!I$1225</f>
        <v>4.3202022381592542E-2</v>
      </c>
      <c r="BE90" s="12">
        <f>BE71-[2]Results!J$1225</f>
        <v>0</v>
      </c>
      <c r="BF90" s="12">
        <f>BF71-[2]Results!K$1225</f>
        <v>0</v>
      </c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52"/>
      <c r="C93" s="2">
        <f>C87-[2]Results!D434</f>
        <v>0</v>
      </c>
      <c r="D93" s="2">
        <f>D87-[2]Results!E434</f>
        <v>0</v>
      </c>
      <c r="E93" s="2">
        <f>E87-[2]Results!F434</f>
        <v>0</v>
      </c>
      <c r="F93" s="2">
        <f>F87-[2]Results!D549</f>
        <v>0</v>
      </c>
      <c r="G93" s="2">
        <f>G87-[2]Results!E549</f>
        <v>0</v>
      </c>
      <c r="H93" s="2">
        <f>H87-[2]Results!F549</f>
        <v>0</v>
      </c>
      <c r="I93" s="2">
        <f>I87-[2]Results!G549</f>
        <v>0</v>
      </c>
      <c r="J93" s="2">
        <f>J87-[2]Results!H549</f>
        <v>0</v>
      </c>
      <c r="K93" s="2">
        <f>K87-[2]Results!I549</f>
        <v>0</v>
      </c>
      <c r="L93" s="2">
        <f>L87-[2]Results!J549</f>
        <v>0</v>
      </c>
      <c r="M93" s="2">
        <f>M87-[2]Results!K549</f>
        <v>0</v>
      </c>
      <c r="N93" s="2">
        <f>N87-[2]Results!L549</f>
        <v>0</v>
      </c>
      <c r="O93" s="2">
        <f>O87-[2]Results!M549</f>
        <v>0</v>
      </c>
      <c r="P93" s="2">
        <f>P87-[2]Results!N549</f>
        <v>0</v>
      </c>
      <c r="Q93" s="2">
        <f>Q87-[2]Results!O549</f>
        <v>0</v>
      </c>
      <c r="R93" s="2">
        <f>R87-[2]Results!P549</f>
        <v>0</v>
      </c>
      <c r="S93" s="2">
        <f>S87-[2]Results!D663</f>
        <v>0</v>
      </c>
      <c r="T93" s="2">
        <f>T87-[2]Results!E663</f>
        <v>0</v>
      </c>
      <c r="U93" s="2">
        <f>U87-[2]Results!F663</f>
        <v>0</v>
      </c>
      <c r="V93" s="2">
        <f>V87-[2]Results!G663</f>
        <v>0</v>
      </c>
      <c r="W93" s="2">
        <f>W87-[2]Results!H663</f>
        <v>0</v>
      </c>
      <c r="X93" s="2">
        <f>X87-SUM([2]Results!$D$777:$E$777)</f>
        <v>0</v>
      </c>
      <c r="Y93" s="2">
        <f>Y87-SUM([2]Results!$F$777:$G$777)</f>
        <v>0</v>
      </c>
      <c r="Z93" s="2">
        <f>Z87-SUM([2]Results!$H$777:$K$777)</f>
        <v>0</v>
      </c>
      <c r="AA93" s="2">
        <f>AA87-[2]Results!$L$777</f>
        <v>0</v>
      </c>
      <c r="AB93" s="2">
        <f>AB87-[2]Results!D895</f>
        <v>0</v>
      </c>
      <c r="AC93" s="2">
        <f>AC87-[2]Results!E895</f>
        <v>0</v>
      </c>
      <c r="AD93" s="2">
        <f>AD87-[2]Results!F895</f>
        <v>0</v>
      </c>
      <c r="AE93" s="2">
        <f>AE87-SUM([2]Results!$G$895:$H$895)</f>
        <v>0</v>
      </c>
      <c r="AF93" s="2">
        <f>AF87-[2]Results!I895</f>
        <v>0</v>
      </c>
      <c r="AG93" s="2">
        <f>AG87-[2]Results!J895</f>
        <v>0</v>
      </c>
      <c r="AH93" s="2">
        <f>AH87-[2]Results!K895</f>
        <v>0</v>
      </c>
      <c r="AI93" s="2">
        <f>AI87-[2]Results!L895</f>
        <v>0</v>
      </c>
      <c r="AJ93" s="2">
        <f>AJ87-[2]Results!M895</f>
        <v>0</v>
      </c>
      <c r="AK93" s="2">
        <f>AK87-[2]Results!N895</f>
        <v>0</v>
      </c>
      <c r="AL93" s="2">
        <f>AL87-SUM([2]Results!$F$1007:$L$1007)</f>
        <v>0</v>
      </c>
      <c r="AM93" s="2">
        <f>AM87-[2]Results!M1007</f>
        <v>0</v>
      </c>
      <c r="AN93" s="2">
        <f>AN87-[2]Results!N1007</f>
        <v>0</v>
      </c>
      <c r="AO93" s="2">
        <f>AO87-SUM([2]Results!$O$1007:$P$1007)</f>
        <v>0</v>
      </c>
      <c r="AP93" s="2">
        <f>AP87-SUM([2]Results!$Q$1007:$R$1007)</f>
        <v>0</v>
      </c>
      <c r="AQ93" s="2">
        <f>AQ87-[2]Results!S1007</f>
        <v>0</v>
      </c>
      <c r="AR93" s="2">
        <f>AR87-[2]Results!T1007</f>
        <v>0</v>
      </c>
      <c r="AS93" s="2">
        <f>AS87-[2]Results!U1007</f>
        <v>0</v>
      </c>
      <c r="AT93" s="2">
        <f>AT87-[2]Results!V1007</f>
        <v>0</v>
      </c>
      <c r="AU93" s="2">
        <f>AU87-[2]Results!W1007</f>
        <v>0</v>
      </c>
      <c r="AV93" s="2">
        <f>AV87-[2]Results!X1007</f>
        <v>0</v>
      </c>
      <c r="AW93" s="2">
        <f>AW87-[2]Results!Y1007</f>
        <v>0</v>
      </c>
      <c r="AX93" s="2">
        <f>AX87-SUM([2]Results!$D$1128:$E$1128)</f>
        <v>0</v>
      </c>
      <c r="AY93" s="2">
        <f>AY87-[2]Results!$D$1242</f>
        <v>0</v>
      </c>
      <c r="AZ93" s="2">
        <f>AZ87-[2]Results!E$1242</f>
        <v>0</v>
      </c>
      <c r="BA93" s="2">
        <f>BA87-[2]Results!F$1242</f>
        <v>0</v>
      </c>
      <c r="BB93" s="2">
        <f>BB87-[2]Results!G$1242</f>
        <v>0</v>
      </c>
      <c r="BC93" s="2">
        <f>BC87-[2]Results!H$1242</f>
        <v>9.7788870334625241E-11</v>
      </c>
      <c r="BD93" s="2">
        <f>BD87-[2]Results!I$1242</f>
        <v>3.2480144480359741E-2</v>
      </c>
      <c r="BE93" s="2">
        <f>BE87-[2]Results!J$1242</f>
        <v>0</v>
      </c>
      <c r="BF93" s="2">
        <f>BF87-[2]Results!K$1242</f>
        <v>0</v>
      </c>
    </row>
  </sheetData>
  <mergeCells count="13">
    <mergeCell ref="AB7:AC7"/>
    <mergeCell ref="C7:E7"/>
    <mergeCell ref="G7:L7"/>
    <mergeCell ref="M7:R7"/>
    <mergeCell ref="S7:W7"/>
    <mergeCell ref="Y7:AA7"/>
    <mergeCell ref="AV7:AW7"/>
    <mergeCell ref="AY7:BA7"/>
    <mergeCell ref="BB7:BF7"/>
    <mergeCell ref="AJ7:AK7"/>
    <mergeCell ref="AD7:AI7"/>
    <mergeCell ref="AL7:AO7"/>
    <mergeCell ref="AP7:AU7"/>
  </mergeCells>
  <pageMargins left="0.7" right="0.7" top="0.75" bottom="0.75" header="0.3" footer="0.3"/>
  <pageSetup scale="59" firstPageNumber="7" fitToWidth="0" orientation="portrait" useFirstPageNumber="1" r:id="rId1"/>
  <headerFooter alignWithMargins="0">
    <oddHeader>&amp;RPage 1.&amp;P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  <ignoredErrors>
    <ignoredError sqref="C55:D56 C17:D18 C41:D42 C29 C16 B72:B73 B68:B69 B81 R55:R56 R17:R18 R41:R42 AL55:AO56 AL17:AO18 AL41:AO42 X55:AA56 X17:AA18 X41:AA42 AJ41:AJ42 AJ17:AJ18 AJ55:AJ56 AB55:AH56 AB17:AH18 AB41:AH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M93"/>
  <sheetViews>
    <sheetView view="pageBreakPreview" zoomScale="80" zoomScaleNormal="70" zoomScaleSheetLayoutView="80" workbookViewId="0">
      <pane xSplit="2" ySplit="9" topLeftCell="Y70" activePane="bottomRight" state="frozen"/>
      <selection activeCell="F7" sqref="F7"/>
      <selection pane="topRight" activeCell="F7" sqref="F7"/>
      <selection pane="bottomLeft" activeCell="F7" sqref="F7"/>
      <selection pane="bottomRight" activeCell="Y45" sqref="Y45"/>
    </sheetView>
  </sheetViews>
  <sheetFormatPr defaultColWidth="9.140625" defaultRowHeight="12.75" x14ac:dyDescent="0.2"/>
  <cols>
    <col min="1" max="1" width="44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64" width="17.28515625" style="2" bestFit="1" customWidth="1"/>
    <col min="65" max="65" width="9.140625" style="2"/>
    <col min="66" max="16384" width="9.140625" style="15"/>
  </cols>
  <sheetData>
    <row r="1" spans="1:65" x14ac:dyDescent="0.2">
      <c r="A1" s="4" t="s">
        <v>41</v>
      </c>
    </row>
    <row r="2" spans="1:65" s="2" customFormat="1" ht="12.75" customHeight="1" x14ac:dyDescent="0.2">
      <c r="A2" s="138" t="str">
        <f>'Total Adj'!A2</f>
        <v>Washington 2023 General Rate Case</v>
      </c>
    </row>
    <row r="3" spans="1:65" s="2" customFormat="1" x14ac:dyDescent="0.2">
      <c r="A3" s="139" t="s">
        <v>348</v>
      </c>
    </row>
    <row r="4" spans="1:65" s="2" customFormat="1" x14ac:dyDescent="0.2">
      <c r="A4" s="140"/>
    </row>
    <row r="5" spans="1:65" s="2" customFormat="1" x14ac:dyDescent="0.2">
      <c r="A5" s="138"/>
      <c r="R5" s="2" t="s">
        <v>265</v>
      </c>
    </row>
    <row r="6" spans="1:65" s="4" customFormat="1" ht="13.5" thickBot="1" x14ac:dyDescent="0.25">
      <c r="A6" s="140"/>
    </row>
    <row r="7" spans="1:65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 t="s">
        <v>36</v>
      </c>
      <c r="AO7" s="292"/>
      <c r="AP7" s="291" t="s">
        <v>36</v>
      </c>
      <c r="AQ7" s="293"/>
      <c r="AR7" s="293"/>
      <c r="AS7" s="293"/>
      <c r="AT7" s="293" t="s">
        <v>36</v>
      </c>
      <c r="AU7" s="292"/>
      <c r="AV7" s="291" t="s">
        <v>36</v>
      </c>
      <c r="AW7" s="292"/>
      <c r="AX7" s="257" t="s">
        <v>262</v>
      </c>
      <c r="AY7" s="291" t="s">
        <v>289</v>
      </c>
      <c r="AZ7" s="293" t="s">
        <v>349</v>
      </c>
      <c r="BA7" s="292"/>
      <c r="BB7" s="291" t="s">
        <v>289</v>
      </c>
      <c r="BC7" s="293"/>
      <c r="BD7" s="293"/>
      <c r="BE7" s="293"/>
      <c r="BF7" s="292" t="s">
        <v>349</v>
      </c>
      <c r="BG7" s="268"/>
      <c r="BH7" s="268"/>
      <c r="BI7" s="268"/>
      <c r="BJ7" s="268"/>
      <c r="BK7" s="268"/>
      <c r="BL7" s="268"/>
      <c r="BM7" s="4"/>
    </row>
    <row r="8" spans="1:65" x14ac:dyDescent="0.2">
      <c r="B8" s="67"/>
      <c r="C8" s="67" t="s">
        <v>0</v>
      </c>
      <c r="D8" s="64" t="s">
        <v>2</v>
      </c>
      <c r="E8" s="64" t="s">
        <v>3</v>
      </c>
      <c r="F8" s="66" t="s">
        <v>1</v>
      </c>
      <c r="G8" s="67" t="s">
        <v>4</v>
      </c>
      <c r="H8" s="64" t="s">
        <v>5</v>
      </c>
      <c r="I8" s="64" t="s">
        <v>6</v>
      </c>
      <c r="J8" s="64" t="s">
        <v>7</v>
      </c>
      <c r="K8" s="64" t="s">
        <v>8</v>
      </c>
      <c r="L8" s="65" t="s">
        <v>9</v>
      </c>
      <c r="M8" s="67" t="s">
        <v>37</v>
      </c>
      <c r="N8" s="64" t="s">
        <v>175</v>
      </c>
      <c r="O8" s="64" t="s">
        <v>176</v>
      </c>
      <c r="P8" s="64" t="s">
        <v>249</v>
      </c>
      <c r="Q8" s="64" t="s">
        <v>250</v>
      </c>
      <c r="R8" s="264" t="s">
        <v>251</v>
      </c>
      <c r="S8" s="245" t="s">
        <v>10</v>
      </c>
      <c r="T8" s="246" t="s">
        <v>40</v>
      </c>
      <c r="U8" s="64" t="s">
        <v>252</v>
      </c>
      <c r="V8" s="64" t="s">
        <v>253</v>
      </c>
      <c r="W8" s="65" t="s">
        <v>298</v>
      </c>
      <c r="X8" s="66" t="s">
        <v>11</v>
      </c>
      <c r="Y8" s="67" t="s">
        <v>223</v>
      </c>
      <c r="Z8" s="64" t="s">
        <v>227</v>
      </c>
      <c r="AA8" s="64" t="s">
        <v>232</v>
      </c>
      <c r="AB8" s="67" t="s">
        <v>12</v>
      </c>
      <c r="AC8" s="65" t="s">
        <v>13</v>
      </c>
      <c r="AD8" s="67" t="s">
        <v>14</v>
      </c>
      <c r="AE8" s="64" t="s">
        <v>15</v>
      </c>
      <c r="AF8" s="64" t="s">
        <v>38</v>
      </c>
      <c r="AG8" s="64" t="s">
        <v>39</v>
      </c>
      <c r="AH8" s="64" t="s">
        <v>16</v>
      </c>
      <c r="AI8" s="65" t="s">
        <v>17</v>
      </c>
      <c r="AJ8" s="67" t="s">
        <v>239</v>
      </c>
      <c r="AK8" s="64" t="s">
        <v>254</v>
      </c>
      <c r="AL8" s="67" t="s">
        <v>18</v>
      </c>
      <c r="AM8" s="64" t="s">
        <v>19</v>
      </c>
      <c r="AN8" s="64" t="s">
        <v>20</v>
      </c>
      <c r="AO8" s="65" t="s">
        <v>21</v>
      </c>
      <c r="AP8" s="67" t="s">
        <v>22</v>
      </c>
      <c r="AQ8" s="64" t="s">
        <v>23</v>
      </c>
      <c r="AR8" s="64" t="s">
        <v>24</v>
      </c>
      <c r="AS8" s="64" t="s">
        <v>25</v>
      </c>
      <c r="AT8" s="64" t="s">
        <v>26</v>
      </c>
      <c r="AU8" s="65" t="s">
        <v>181</v>
      </c>
      <c r="AV8" s="67" t="s">
        <v>224</v>
      </c>
      <c r="AW8" s="64" t="s">
        <v>306</v>
      </c>
      <c r="AX8" s="66" t="s">
        <v>257</v>
      </c>
      <c r="AY8" s="67" t="s">
        <v>285</v>
      </c>
      <c r="AZ8" s="64" t="s">
        <v>287</v>
      </c>
      <c r="BA8" s="65" t="s">
        <v>288</v>
      </c>
      <c r="BB8" s="67" t="s">
        <v>290</v>
      </c>
      <c r="BC8" s="64" t="s">
        <v>292</v>
      </c>
      <c r="BD8" s="64" t="s">
        <v>294</v>
      </c>
      <c r="BE8" s="64" t="s">
        <v>295</v>
      </c>
      <c r="BF8" s="65" t="s">
        <v>296</v>
      </c>
      <c r="BG8" s="64"/>
      <c r="BH8" s="64"/>
      <c r="BI8" s="64"/>
      <c r="BJ8" s="64"/>
      <c r="BK8" s="64"/>
      <c r="BL8" s="64"/>
    </row>
    <row r="9" spans="1:65" s="142" customFormat="1" ht="81" customHeight="1" x14ac:dyDescent="0.2">
      <c r="A9" s="14"/>
      <c r="B9" s="252" t="s">
        <v>240</v>
      </c>
      <c r="C9" s="92" t="s">
        <v>106</v>
      </c>
      <c r="D9" s="94" t="s">
        <v>236</v>
      </c>
      <c r="E9" s="94" t="s">
        <v>266</v>
      </c>
      <c r="F9" s="258" t="s">
        <v>246</v>
      </c>
      <c r="G9" s="92" t="s">
        <v>237</v>
      </c>
      <c r="H9" s="94" t="s">
        <v>308</v>
      </c>
      <c r="I9" s="94" t="s">
        <v>267</v>
      </c>
      <c r="J9" s="94" t="s">
        <v>177</v>
      </c>
      <c r="K9" s="94" t="s">
        <v>221</v>
      </c>
      <c r="L9" s="93" t="s">
        <v>248</v>
      </c>
      <c r="M9" s="92" t="s">
        <v>238</v>
      </c>
      <c r="N9" s="94" t="s">
        <v>268</v>
      </c>
      <c r="O9" s="94" t="s">
        <v>107</v>
      </c>
      <c r="P9" s="94" t="s">
        <v>263</v>
      </c>
      <c r="Q9" s="94" t="s">
        <v>269</v>
      </c>
      <c r="R9" s="93" t="s">
        <v>300</v>
      </c>
      <c r="S9" s="92" t="s">
        <v>309</v>
      </c>
      <c r="T9" s="94" t="s">
        <v>317</v>
      </c>
      <c r="U9" s="94" t="s">
        <v>270</v>
      </c>
      <c r="V9" s="94" t="s">
        <v>310</v>
      </c>
      <c r="W9" s="93" t="s">
        <v>299</v>
      </c>
      <c r="X9" s="258" t="s">
        <v>311</v>
      </c>
      <c r="Y9" s="92" t="s">
        <v>271</v>
      </c>
      <c r="Z9" s="94" t="s">
        <v>272</v>
      </c>
      <c r="AA9" s="94" t="s">
        <v>273</v>
      </c>
      <c r="AB9" s="92" t="s">
        <v>275</v>
      </c>
      <c r="AC9" s="93" t="s">
        <v>274</v>
      </c>
      <c r="AD9" s="92" t="s">
        <v>276</v>
      </c>
      <c r="AE9" s="94" t="s">
        <v>277</v>
      </c>
      <c r="AF9" s="94" t="s">
        <v>278</v>
      </c>
      <c r="AG9" s="94" t="s">
        <v>279</v>
      </c>
      <c r="AH9" s="94" t="s">
        <v>312</v>
      </c>
      <c r="AI9" s="93" t="s">
        <v>313</v>
      </c>
      <c r="AJ9" s="92" t="s">
        <v>314</v>
      </c>
      <c r="AK9" s="94" t="s">
        <v>255</v>
      </c>
      <c r="AL9" s="92" t="s">
        <v>280</v>
      </c>
      <c r="AM9" s="94" t="s">
        <v>315</v>
      </c>
      <c r="AN9" s="94" t="s">
        <v>108</v>
      </c>
      <c r="AO9" s="93" t="s">
        <v>281</v>
      </c>
      <c r="AP9" s="92" t="s">
        <v>256</v>
      </c>
      <c r="AQ9" s="94" t="s">
        <v>91</v>
      </c>
      <c r="AR9" s="94" t="s">
        <v>229</v>
      </c>
      <c r="AS9" s="94" t="s">
        <v>282</v>
      </c>
      <c r="AT9" s="94" t="s">
        <v>283</v>
      </c>
      <c r="AU9" s="93" t="s">
        <v>284</v>
      </c>
      <c r="AV9" s="92" t="s">
        <v>353</v>
      </c>
      <c r="AW9" s="94" t="s">
        <v>307</v>
      </c>
      <c r="AX9" s="258" t="s">
        <v>316</v>
      </c>
      <c r="AY9" s="92" t="s">
        <v>286</v>
      </c>
      <c r="AZ9" s="94" t="s">
        <v>318</v>
      </c>
      <c r="BA9" s="93" t="s">
        <v>319</v>
      </c>
      <c r="BB9" s="92" t="s">
        <v>291</v>
      </c>
      <c r="BC9" s="94" t="s">
        <v>293</v>
      </c>
      <c r="BD9" s="94" t="s">
        <v>321</v>
      </c>
      <c r="BE9" s="94" t="s">
        <v>322</v>
      </c>
      <c r="BF9" s="93" t="s">
        <v>320</v>
      </c>
      <c r="BG9" s="94"/>
      <c r="BH9" s="94"/>
      <c r="BI9" s="94"/>
      <c r="BJ9" s="94"/>
      <c r="BK9" s="94"/>
      <c r="BL9" s="94"/>
      <c r="BM9" s="14"/>
    </row>
    <row r="10" spans="1:65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X10" s="150"/>
      <c r="AY10" s="36"/>
      <c r="BA10" s="76"/>
      <c r="BB10" s="36"/>
      <c r="BF10" s="76"/>
    </row>
    <row r="11" spans="1:65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12"/>
      <c r="AX11" s="69"/>
      <c r="AY11" s="27"/>
      <c r="AZ11" s="12"/>
      <c r="BA11" s="68"/>
      <c r="BB11" s="27"/>
      <c r="BC11" s="12"/>
      <c r="BD11" s="12"/>
      <c r="BE11" s="12"/>
      <c r="BF11" s="68"/>
      <c r="BG11" s="12"/>
      <c r="BH11" s="12"/>
      <c r="BI11" s="12"/>
      <c r="BJ11" s="12"/>
      <c r="BK11" s="12"/>
      <c r="BL11" s="12"/>
    </row>
    <row r="12" spans="1:65" x14ac:dyDescent="0.2">
      <c r="A12" s="14" t="s">
        <v>45</v>
      </c>
      <c r="B12" s="28">
        <f>SUM(C12:BF12)</f>
        <v>31472700.330736585</v>
      </c>
      <c r="C12" s="29">
        <f>'[37]3.1'!$I$15</f>
        <v>-2240536.6973766158</v>
      </c>
      <c r="D12" s="72">
        <f>'[37]3.2'!$I$15+'[37]3.2'!$I$22</f>
        <v>33713237.028113201</v>
      </c>
      <c r="E12" s="72"/>
      <c r="F12" s="259"/>
      <c r="G12" s="29"/>
      <c r="H12" s="72"/>
      <c r="I12" s="72"/>
      <c r="J12" s="72"/>
      <c r="K12" s="72"/>
      <c r="L12" s="73"/>
      <c r="M12" s="29"/>
      <c r="N12" s="72"/>
      <c r="O12" s="72"/>
      <c r="P12" s="72"/>
      <c r="Q12" s="72"/>
      <c r="R12" s="73"/>
      <c r="S12" s="29"/>
      <c r="T12" s="72"/>
      <c r="U12" s="72"/>
      <c r="V12" s="72"/>
      <c r="W12" s="73"/>
      <c r="X12" s="259"/>
      <c r="Y12" s="29"/>
      <c r="Z12" s="72"/>
      <c r="AA12" s="72"/>
      <c r="AB12" s="29"/>
      <c r="AC12" s="73"/>
      <c r="AD12" s="29"/>
      <c r="AE12" s="72"/>
      <c r="AF12" s="72"/>
      <c r="AG12" s="72"/>
      <c r="AH12" s="72"/>
      <c r="AI12" s="73"/>
      <c r="AJ12" s="29"/>
      <c r="AK12" s="72"/>
      <c r="AL12" s="29"/>
      <c r="AM12" s="72"/>
      <c r="AN12" s="72"/>
      <c r="AO12" s="73"/>
      <c r="AP12" s="29"/>
      <c r="AQ12" s="72"/>
      <c r="AR12" s="72"/>
      <c r="AS12" s="72"/>
      <c r="AT12" s="72"/>
      <c r="AU12" s="73"/>
      <c r="AV12" s="29"/>
      <c r="AW12" s="72"/>
      <c r="AX12" s="259"/>
      <c r="AY12" s="29"/>
      <c r="AZ12" s="72"/>
      <c r="BA12" s="73"/>
      <c r="BB12" s="29"/>
      <c r="BC12" s="72"/>
      <c r="BD12" s="72"/>
      <c r="BE12" s="72"/>
      <c r="BF12" s="73"/>
      <c r="BG12" s="72"/>
      <c r="BH12" s="72"/>
      <c r="BI12" s="72"/>
      <c r="BJ12" s="72"/>
      <c r="BK12" s="72"/>
      <c r="BL12" s="72"/>
    </row>
    <row r="13" spans="1:65" x14ac:dyDescent="0.2">
      <c r="A13" s="14" t="s">
        <v>46</v>
      </c>
      <c r="B13" s="28">
        <f>SUM(C13:BF13)</f>
        <v>0</v>
      </c>
      <c r="C13" s="29"/>
      <c r="D13" s="72"/>
      <c r="E13" s="72"/>
      <c r="F13" s="259"/>
      <c r="G13" s="29"/>
      <c r="H13" s="72"/>
      <c r="I13" s="72"/>
      <c r="J13" s="72"/>
      <c r="K13" s="72"/>
      <c r="L13" s="73"/>
      <c r="M13" s="29"/>
      <c r="N13" s="72"/>
      <c r="O13" s="72"/>
      <c r="P13" s="72"/>
      <c r="Q13" s="72"/>
      <c r="R13" s="73"/>
      <c r="S13" s="29"/>
      <c r="T13" s="72"/>
      <c r="U13" s="72"/>
      <c r="V13" s="72"/>
      <c r="W13" s="73"/>
      <c r="X13" s="259"/>
      <c r="Y13" s="29"/>
      <c r="Z13" s="72"/>
      <c r="AA13" s="72"/>
      <c r="AB13" s="29"/>
      <c r="AC13" s="73"/>
      <c r="AD13" s="29"/>
      <c r="AE13" s="72"/>
      <c r="AF13" s="72"/>
      <c r="AG13" s="72"/>
      <c r="AH13" s="72"/>
      <c r="AI13" s="73"/>
      <c r="AJ13" s="29"/>
      <c r="AK13" s="72"/>
      <c r="AL13" s="29"/>
      <c r="AM13" s="72"/>
      <c r="AN13" s="72"/>
      <c r="AO13" s="73"/>
      <c r="AP13" s="29"/>
      <c r="AQ13" s="72"/>
      <c r="AR13" s="72"/>
      <c r="AS13" s="72"/>
      <c r="AT13" s="72"/>
      <c r="AU13" s="73"/>
      <c r="AV13" s="29"/>
      <c r="AW13" s="72"/>
      <c r="AX13" s="259"/>
      <c r="AY13" s="29"/>
      <c r="AZ13" s="72"/>
      <c r="BA13" s="73"/>
      <c r="BB13" s="29"/>
      <c r="BC13" s="72"/>
      <c r="BD13" s="72"/>
      <c r="BE13" s="72"/>
      <c r="BF13" s="73"/>
      <c r="BG13" s="72"/>
      <c r="BH13" s="72"/>
      <c r="BI13" s="72"/>
      <c r="BJ13" s="72"/>
      <c r="BK13" s="72"/>
      <c r="BL13" s="72"/>
    </row>
    <row r="14" spans="1:65" x14ac:dyDescent="0.2">
      <c r="A14" s="14" t="s">
        <v>47</v>
      </c>
      <c r="B14" s="28">
        <f>SUM(C14:BF14)</f>
        <v>0</v>
      </c>
      <c r="C14" s="29"/>
      <c r="D14" s="72"/>
      <c r="E14" s="72"/>
      <c r="F14" s="259"/>
      <c r="G14" s="29"/>
      <c r="H14" s="72"/>
      <c r="I14" s="72"/>
      <c r="J14" s="72"/>
      <c r="K14" s="72"/>
      <c r="L14" s="73"/>
      <c r="M14" s="29"/>
      <c r="N14" s="72"/>
      <c r="O14" s="72"/>
      <c r="P14" s="72"/>
      <c r="Q14" s="72"/>
      <c r="R14" s="73"/>
      <c r="S14" s="29"/>
      <c r="T14" s="72"/>
      <c r="U14" s="72"/>
      <c r="V14" s="72"/>
      <c r="W14" s="73"/>
      <c r="X14" s="259"/>
      <c r="Y14" s="29"/>
      <c r="Z14" s="72"/>
      <c r="AA14" s="72"/>
      <c r="AB14" s="29"/>
      <c r="AC14" s="73"/>
      <c r="AD14" s="29"/>
      <c r="AE14" s="72"/>
      <c r="AF14" s="72"/>
      <c r="AG14" s="72"/>
      <c r="AH14" s="72"/>
      <c r="AI14" s="73"/>
      <c r="AJ14" s="29"/>
      <c r="AK14" s="72"/>
      <c r="AL14" s="29"/>
      <c r="AM14" s="72"/>
      <c r="AN14" s="72"/>
      <c r="AO14" s="73"/>
      <c r="AP14" s="29"/>
      <c r="AQ14" s="72"/>
      <c r="AR14" s="72"/>
      <c r="AS14" s="72"/>
      <c r="AT14" s="72"/>
      <c r="AU14" s="73"/>
      <c r="AV14" s="29"/>
      <c r="AW14" s="72"/>
      <c r="AX14" s="259"/>
      <c r="AY14" s="29"/>
      <c r="AZ14" s="72"/>
      <c r="BA14" s="73"/>
      <c r="BB14" s="29"/>
      <c r="BC14" s="72"/>
      <c r="BD14" s="72"/>
      <c r="BE14" s="72"/>
      <c r="BF14" s="73"/>
      <c r="BG14" s="72"/>
      <c r="BH14" s="72"/>
      <c r="BI14" s="72"/>
      <c r="BJ14" s="72"/>
      <c r="BK14" s="72"/>
      <c r="BL14" s="72"/>
    </row>
    <row r="15" spans="1:65" x14ac:dyDescent="0.2">
      <c r="A15" s="14" t="s">
        <v>48</v>
      </c>
      <c r="B15" s="28">
        <f>SUM(C15:BF15)</f>
        <v>-21606.74304644515</v>
      </c>
      <c r="C15" s="29"/>
      <c r="D15" s="72"/>
      <c r="E15" s="72">
        <f>SUM('[38]3.3'!$I$11:$I$12)</f>
        <v>-21606.74304644515</v>
      </c>
      <c r="F15" s="259"/>
      <c r="G15" s="29"/>
      <c r="H15" s="72"/>
      <c r="I15" s="72"/>
      <c r="J15" s="72"/>
      <c r="K15" s="72"/>
      <c r="L15" s="73"/>
      <c r="M15" s="29"/>
      <c r="N15" s="72"/>
      <c r="O15" s="72"/>
      <c r="P15" s="72"/>
      <c r="Q15" s="72"/>
      <c r="R15" s="73"/>
      <c r="S15" s="29"/>
      <c r="T15" s="72"/>
      <c r="U15" s="72"/>
      <c r="V15" s="72"/>
      <c r="W15" s="73"/>
      <c r="X15" s="259"/>
      <c r="Y15" s="29"/>
      <c r="Z15" s="72"/>
      <c r="AA15" s="72"/>
      <c r="AB15" s="29"/>
      <c r="AC15" s="73"/>
      <c r="AD15" s="29"/>
      <c r="AE15" s="72"/>
      <c r="AF15" s="72"/>
      <c r="AG15" s="72"/>
      <c r="AH15" s="72"/>
      <c r="AI15" s="73"/>
      <c r="AJ15" s="29"/>
      <c r="AK15" s="72"/>
      <c r="AL15" s="29"/>
      <c r="AM15" s="72"/>
      <c r="AN15" s="72"/>
      <c r="AO15" s="73"/>
      <c r="AP15" s="29"/>
      <c r="AQ15" s="72"/>
      <c r="AR15" s="72"/>
      <c r="AS15" s="72"/>
      <c r="AT15" s="72"/>
      <c r="AU15" s="73"/>
      <c r="AV15" s="29"/>
      <c r="AW15" s="72"/>
      <c r="AX15" s="259"/>
      <c r="AY15" s="29"/>
      <c r="AZ15" s="72"/>
      <c r="BA15" s="73"/>
      <c r="BB15" s="29"/>
      <c r="BC15" s="72"/>
      <c r="BD15" s="72"/>
      <c r="BE15" s="72"/>
      <c r="BF15" s="73"/>
      <c r="BG15" s="72"/>
      <c r="BH15" s="72"/>
      <c r="BI15" s="72"/>
      <c r="BJ15" s="72"/>
      <c r="BK15" s="72"/>
      <c r="BL15" s="72"/>
    </row>
    <row r="16" spans="1:65" x14ac:dyDescent="0.2">
      <c r="A16" s="14" t="s">
        <v>49</v>
      </c>
      <c r="B16" s="30">
        <f>SUM(C16:BF16)</f>
        <v>31451093.587690141</v>
      </c>
      <c r="C16" s="30">
        <f>SUM(C12:C15)</f>
        <v>-2240536.6973766158</v>
      </c>
      <c r="D16" s="74">
        <f>SUM(D12:D15)</f>
        <v>33713237.028113201</v>
      </c>
      <c r="E16" s="74">
        <f>SUM(E13:E15)</f>
        <v>-21606.74304644515</v>
      </c>
      <c r="F16" s="143">
        <f t="shared" ref="F16:AJ16" si="0">SUM(F12:F15)</f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si="0"/>
        <v>0</v>
      </c>
      <c r="T16" s="74">
        <f t="shared" si="0"/>
        <v>0</v>
      </c>
      <c r="U16" s="74">
        <f t="shared" si="0"/>
        <v>0</v>
      </c>
      <c r="V16" s="74">
        <f t="shared" si="0"/>
        <v>0</v>
      </c>
      <c r="W16" s="75">
        <f t="shared" si="0"/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:BA16" si="1">SUM(AK12:AK15)</f>
        <v>0</v>
      </c>
      <c r="AL16" s="30">
        <f t="shared" si="1"/>
        <v>0</v>
      </c>
      <c r="AM16" s="74">
        <f t="shared" si="1"/>
        <v>0</v>
      </c>
      <c r="AN16" s="74">
        <f t="shared" si="1"/>
        <v>0</v>
      </c>
      <c r="AO16" s="75">
        <f t="shared" si="1"/>
        <v>0</v>
      </c>
      <c r="AP16" s="30">
        <f t="shared" si="1"/>
        <v>0</v>
      </c>
      <c r="AQ16" s="74">
        <f t="shared" si="1"/>
        <v>0</v>
      </c>
      <c r="AR16" s="74">
        <f t="shared" si="1"/>
        <v>0</v>
      </c>
      <c r="AS16" s="74">
        <f t="shared" si="1"/>
        <v>0</v>
      </c>
      <c r="AT16" s="74">
        <f t="shared" si="1"/>
        <v>0</v>
      </c>
      <c r="AU16" s="75">
        <f t="shared" si="1"/>
        <v>0</v>
      </c>
      <c r="AV16" s="30">
        <f t="shared" si="1"/>
        <v>0</v>
      </c>
      <c r="AW16" s="74">
        <f t="shared" si="1"/>
        <v>0</v>
      </c>
      <c r="AX16" s="143">
        <f t="shared" si="1"/>
        <v>0</v>
      </c>
      <c r="AY16" s="30">
        <f t="shared" si="1"/>
        <v>0</v>
      </c>
      <c r="AZ16" s="74">
        <f t="shared" si="1"/>
        <v>0</v>
      </c>
      <c r="BA16" s="75">
        <f t="shared" si="1"/>
        <v>0</v>
      </c>
      <c r="BB16" s="30">
        <f t="shared" ref="BB16:BF16" si="2">SUM(BB12:BB15)</f>
        <v>0</v>
      </c>
      <c r="BC16" s="74">
        <f t="shared" si="2"/>
        <v>0</v>
      </c>
      <c r="BD16" s="74">
        <f t="shared" si="2"/>
        <v>0</v>
      </c>
      <c r="BE16" s="74">
        <f t="shared" si="2"/>
        <v>0</v>
      </c>
      <c r="BF16" s="75">
        <f t="shared" si="2"/>
        <v>0</v>
      </c>
      <c r="BG16" s="12"/>
      <c r="BH16" s="12"/>
      <c r="BI16" s="12"/>
      <c r="BJ16" s="12"/>
      <c r="BK16" s="12"/>
      <c r="BL16" s="12"/>
    </row>
    <row r="17" spans="1:64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12"/>
      <c r="AX17" s="69"/>
      <c r="AY17" s="27"/>
      <c r="AZ17" s="12"/>
      <c r="BA17" s="68"/>
      <c r="BB17" s="27"/>
      <c r="BC17" s="12"/>
      <c r="BD17" s="12"/>
      <c r="BE17" s="12"/>
      <c r="BF17" s="68"/>
      <c r="BG17" s="12"/>
      <c r="BH17" s="12"/>
      <c r="BI17" s="12"/>
      <c r="BJ17" s="12"/>
      <c r="BK17" s="12"/>
      <c r="BL17" s="12"/>
    </row>
    <row r="18" spans="1:64" x14ac:dyDescent="0.2">
      <c r="A18" s="14" t="s">
        <v>50</v>
      </c>
      <c r="B18" s="27"/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12"/>
      <c r="AX18" s="69"/>
      <c r="AY18" s="27"/>
      <c r="AZ18" s="12"/>
      <c r="BA18" s="68"/>
      <c r="BB18" s="27"/>
      <c r="BC18" s="12"/>
      <c r="BD18" s="12"/>
      <c r="BE18" s="12"/>
      <c r="BF18" s="68"/>
      <c r="BG18" s="12"/>
      <c r="BH18" s="12"/>
      <c r="BI18" s="12"/>
      <c r="BJ18" s="12"/>
      <c r="BK18" s="12"/>
      <c r="BL18" s="12"/>
    </row>
    <row r="19" spans="1:64" x14ac:dyDescent="0.2">
      <c r="A19" s="14" t="s">
        <v>51</v>
      </c>
      <c r="B19" s="28">
        <f t="shared" ref="B19:B38" si="3">SUM(C19:BF19)</f>
        <v>1095325.7945093364</v>
      </c>
      <c r="C19" s="29"/>
      <c r="D19" s="72"/>
      <c r="E19" s="72"/>
      <c r="F19" s="259"/>
      <c r="G19" s="29">
        <f>SUM('[49]4.2'!$I$11:$I$18)</f>
        <v>64166.110936278637</v>
      </c>
      <c r="H19" s="72"/>
      <c r="I19" s="72"/>
      <c r="J19" s="72"/>
      <c r="K19" s="72"/>
      <c r="L19" s="73"/>
      <c r="M19" s="29"/>
      <c r="N19" s="72"/>
      <c r="O19" s="72"/>
      <c r="P19" s="72"/>
      <c r="Q19" s="72"/>
      <c r="R19" s="73"/>
      <c r="S19" s="29"/>
      <c r="T19" s="72"/>
      <c r="U19" s="72"/>
      <c r="V19" s="72"/>
      <c r="W19" s="73"/>
      <c r="X19" s="259"/>
      <c r="Y19" s="29"/>
      <c r="Z19" s="72"/>
      <c r="AA19" s="72">
        <f>'[32]6.4'!$I$13</f>
        <v>2233092.2074194313</v>
      </c>
      <c r="AB19" s="29"/>
      <c r="AC19" s="73"/>
      <c r="AD19" s="29"/>
      <c r="AE19" s="72"/>
      <c r="AF19" s="72"/>
      <c r="AG19" s="72"/>
      <c r="AH19" s="72"/>
      <c r="AI19" s="73"/>
      <c r="AJ19" s="29"/>
      <c r="AK19" s="72"/>
      <c r="AL19" s="29"/>
      <c r="AM19" s="72"/>
      <c r="AN19" s="72"/>
      <c r="AO19" s="73"/>
      <c r="AP19" s="29"/>
      <c r="AQ19" s="72"/>
      <c r="AR19" s="72"/>
      <c r="AS19" s="72"/>
      <c r="AT19" s="72"/>
      <c r="AU19" s="73"/>
      <c r="AV19" s="29"/>
      <c r="AW19" s="72"/>
      <c r="AX19" s="259"/>
      <c r="AY19" s="29"/>
      <c r="AZ19" s="72"/>
      <c r="BA19" s="73">
        <f>SUM('[5]10.3'!$I$14:$I$24)</f>
        <v>-1201932.5238463734</v>
      </c>
      <c r="BB19" s="29"/>
      <c r="BC19" s="72"/>
      <c r="BD19" s="72"/>
      <c r="BE19" s="72"/>
      <c r="BF19" s="73"/>
      <c r="BG19" s="72"/>
      <c r="BH19" s="72"/>
      <c r="BI19" s="72"/>
      <c r="BJ19" s="72"/>
      <c r="BK19" s="72"/>
      <c r="BL19" s="72"/>
    </row>
    <row r="20" spans="1:64" x14ac:dyDescent="0.2">
      <c r="A20" s="14" t="s">
        <v>52</v>
      </c>
      <c r="B20" s="28">
        <f t="shared" si="3"/>
        <v>0</v>
      </c>
      <c r="C20" s="29"/>
      <c r="D20" s="72"/>
      <c r="E20" s="72"/>
      <c r="F20" s="259"/>
      <c r="G20" s="29"/>
      <c r="H20" s="72"/>
      <c r="I20" s="72"/>
      <c r="J20" s="72"/>
      <c r="K20" s="72"/>
      <c r="L20" s="73"/>
      <c r="M20" s="29"/>
      <c r="N20" s="72"/>
      <c r="O20" s="72"/>
      <c r="P20" s="72"/>
      <c r="Q20" s="72"/>
      <c r="R20" s="73"/>
      <c r="S20" s="29"/>
      <c r="T20" s="72"/>
      <c r="U20" s="72"/>
      <c r="V20" s="72"/>
      <c r="W20" s="73"/>
      <c r="X20" s="259"/>
      <c r="Y20" s="29"/>
      <c r="Z20" s="72"/>
      <c r="AA20" s="72"/>
      <c r="AB20" s="29"/>
      <c r="AC20" s="73"/>
      <c r="AD20" s="29"/>
      <c r="AE20" s="72"/>
      <c r="AF20" s="72"/>
      <c r="AG20" s="72"/>
      <c r="AH20" s="72"/>
      <c r="AI20" s="73"/>
      <c r="AJ20" s="29"/>
      <c r="AK20" s="72"/>
      <c r="AL20" s="29"/>
      <c r="AM20" s="72"/>
      <c r="AN20" s="72"/>
      <c r="AO20" s="73"/>
      <c r="AP20" s="29"/>
      <c r="AQ20" s="72"/>
      <c r="AR20" s="72"/>
      <c r="AS20" s="72"/>
      <c r="AT20" s="72"/>
      <c r="AU20" s="73"/>
      <c r="AV20" s="29"/>
      <c r="AW20" s="72"/>
      <c r="AX20" s="259"/>
      <c r="AY20" s="29"/>
      <c r="AZ20" s="72"/>
      <c r="BA20" s="73"/>
      <c r="BB20" s="29"/>
      <c r="BC20" s="72"/>
      <c r="BD20" s="72"/>
      <c r="BE20" s="72"/>
      <c r="BF20" s="73"/>
      <c r="BG20" s="72"/>
      <c r="BH20" s="72"/>
      <c r="BI20" s="72"/>
      <c r="BJ20" s="72"/>
      <c r="BK20" s="72"/>
      <c r="BL20" s="72"/>
    </row>
    <row r="21" spans="1:64" x14ac:dyDescent="0.2">
      <c r="A21" s="14" t="s">
        <v>53</v>
      </c>
      <c r="B21" s="28">
        <f t="shared" si="3"/>
        <v>1776039.1875827373</v>
      </c>
      <c r="C21" s="29"/>
      <c r="D21" s="72"/>
      <c r="E21" s="72"/>
      <c r="F21" s="259"/>
      <c r="G21" s="29">
        <f>SUM('[49]4.2'!$I$19:$I$22)</f>
        <v>22955.949749923831</v>
      </c>
      <c r="H21" s="72"/>
      <c r="I21" s="72"/>
      <c r="J21" s="72"/>
      <c r="K21" s="72"/>
      <c r="L21" s="73"/>
      <c r="M21" s="29"/>
      <c r="N21" s="72"/>
      <c r="O21" s="72">
        <f>'[39]4.10'!$I$11</f>
        <v>2006742.3164071133</v>
      </c>
      <c r="P21" s="72"/>
      <c r="Q21" s="72"/>
      <c r="R21" s="73"/>
      <c r="S21" s="29"/>
      <c r="T21" s="72"/>
      <c r="U21" s="72"/>
      <c r="V21" s="72"/>
      <c r="W21" s="73"/>
      <c r="X21" s="259"/>
      <c r="Y21" s="29"/>
      <c r="Z21" s="72"/>
      <c r="AA21" s="72"/>
      <c r="AB21" s="29"/>
      <c r="AC21" s="73"/>
      <c r="AD21" s="29"/>
      <c r="AE21" s="72"/>
      <c r="AF21" s="72"/>
      <c r="AG21" s="72"/>
      <c r="AH21" s="72"/>
      <c r="AI21" s="73"/>
      <c r="AJ21" s="29"/>
      <c r="AK21" s="72"/>
      <c r="AL21" s="29"/>
      <c r="AM21" s="72"/>
      <c r="AN21" s="72"/>
      <c r="AO21" s="73"/>
      <c r="AP21" s="29"/>
      <c r="AQ21" s="72"/>
      <c r="AR21" s="72"/>
      <c r="AS21" s="72"/>
      <c r="AT21" s="72"/>
      <c r="AU21" s="73">
        <f>'[23]8.10'!$I$10</f>
        <v>-253659.07857429984</v>
      </c>
      <c r="AV21" s="29"/>
      <c r="AW21" s="72"/>
      <c r="AX21" s="259"/>
      <c r="AY21" s="29"/>
      <c r="AZ21" s="72"/>
      <c r="BA21" s="73"/>
      <c r="BB21" s="29"/>
      <c r="BC21" s="72"/>
      <c r="BD21" s="72"/>
      <c r="BE21" s="72"/>
      <c r="BF21" s="73"/>
      <c r="BG21" s="72"/>
      <c r="BH21" s="72"/>
      <c r="BI21" s="72"/>
      <c r="BJ21" s="72"/>
      <c r="BK21" s="72"/>
      <c r="BL21" s="72"/>
    </row>
    <row r="22" spans="1:64" x14ac:dyDescent="0.2">
      <c r="A22" s="14" t="s">
        <v>54</v>
      </c>
      <c r="B22" s="28">
        <f t="shared" si="3"/>
        <v>-7171811.8867383823</v>
      </c>
      <c r="C22" s="29"/>
      <c r="D22" s="72"/>
      <c r="E22" s="72"/>
      <c r="F22" s="259"/>
      <c r="G22" s="29">
        <f>SUM('[49]4.2'!$I$23:$I$32)</f>
        <v>38260.01958423607</v>
      </c>
      <c r="H22" s="72"/>
      <c r="I22" s="72"/>
      <c r="J22" s="72"/>
      <c r="K22" s="72"/>
      <c r="L22" s="73"/>
      <c r="M22" s="29"/>
      <c r="N22" s="72">
        <f>SUM('[43]4.9'!$I$12:$I$13,'[43]4.9'!$I$33:$I$34)</f>
        <v>-68251.20896545524</v>
      </c>
      <c r="O22" s="72"/>
      <c r="P22" s="72"/>
      <c r="Q22" s="72"/>
      <c r="R22" s="73"/>
      <c r="S22" s="29">
        <f>'[42]5.1'!$I$20</f>
        <v>-7141820.6973571628</v>
      </c>
      <c r="T22" s="72"/>
      <c r="U22" s="72"/>
      <c r="V22" s="72"/>
      <c r="W22" s="73"/>
      <c r="X22" s="259"/>
      <c r="Y22" s="29"/>
      <c r="Z22" s="72"/>
      <c r="AA22" s="72"/>
      <c r="AB22" s="29"/>
      <c r="AC22" s="73"/>
      <c r="AD22" s="29"/>
      <c r="AE22" s="72"/>
      <c r="AF22" s="72"/>
      <c r="AG22" s="72"/>
      <c r="AH22" s="72"/>
      <c r="AI22" s="73"/>
      <c r="AJ22" s="29"/>
      <c r="AK22" s="72"/>
      <c r="AL22" s="29"/>
      <c r="AM22" s="72"/>
      <c r="AN22" s="72"/>
      <c r="AO22" s="73"/>
      <c r="AP22" s="29"/>
      <c r="AQ22" s="72"/>
      <c r="AR22" s="72"/>
      <c r="AS22" s="72"/>
      <c r="AT22" s="72"/>
      <c r="AU22" s="73"/>
      <c r="AV22" s="29"/>
      <c r="AW22" s="72"/>
      <c r="AX22" s="259"/>
      <c r="AY22" s="29"/>
      <c r="AZ22" s="72"/>
      <c r="BA22" s="73"/>
      <c r="BB22" s="29"/>
      <c r="BC22" s="72"/>
      <c r="BD22" s="72"/>
      <c r="BE22" s="72"/>
      <c r="BF22" s="73"/>
      <c r="BG22" s="72"/>
      <c r="BH22" s="72"/>
      <c r="BI22" s="72"/>
      <c r="BJ22" s="72"/>
      <c r="BK22" s="72"/>
      <c r="BL22" s="72"/>
    </row>
    <row r="23" spans="1:64" x14ac:dyDescent="0.2">
      <c r="A23" s="14" t="s">
        <v>55</v>
      </c>
      <c r="B23" s="28">
        <f t="shared" si="3"/>
        <v>37087.187348888561</v>
      </c>
      <c r="C23" s="29"/>
      <c r="D23" s="72"/>
      <c r="E23" s="72"/>
      <c r="F23" s="259"/>
      <c r="G23" s="29">
        <f>SUM('[49]4.2'!$I$33:$I$34)</f>
        <v>37087.187348888561</v>
      </c>
      <c r="H23" s="72"/>
      <c r="I23" s="72"/>
      <c r="J23" s="72"/>
      <c r="K23" s="72"/>
      <c r="L23" s="73"/>
      <c r="M23" s="29"/>
      <c r="N23" s="72"/>
      <c r="O23" s="72"/>
      <c r="P23" s="72"/>
      <c r="Q23" s="72"/>
      <c r="R23" s="73"/>
      <c r="S23" s="29"/>
      <c r="T23" s="72"/>
      <c r="U23" s="72"/>
      <c r="V23" s="72"/>
      <c r="W23" s="73"/>
      <c r="X23" s="259"/>
      <c r="Y23" s="29"/>
      <c r="Z23" s="72"/>
      <c r="AA23" s="72"/>
      <c r="AB23" s="29"/>
      <c r="AC23" s="73"/>
      <c r="AD23" s="29"/>
      <c r="AE23" s="72"/>
      <c r="AF23" s="72"/>
      <c r="AG23" s="72"/>
      <c r="AH23" s="72"/>
      <c r="AI23" s="73"/>
      <c r="AJ23" s="29"/>
      <c r="AK23" s="72"/>
      <c r="AL23" s="29"/>
      <c r="AM23" s="72"/>
      <c r="AN23" s="72"/>
      <c r="AO23" s="73"/>
      <c r="AP23" s="29"/>
      <c r="AQ23" s="72"/>
      <c r="AR23" s="72"/>
      <c r="AS23" s="72"/>
      <c r="AT23" s="72"/>
      <c r="AU23" s="73"/>
      <c r="AV23" s="29"/>
      <c r="AW23" s="72"/>
      <c r="AX23" s="259"/>
      <c r="AY23" s="29"/>
      <c r="AZ23" s="72"/>
      <c r="BA23" s="73"/>
      <c r="BB23" s="29"/>
      <c r="BC23" s="72"/>
      <c r="BD23" s="72"/>
      <c r="BE23" s="72"/>
      <c r="BF23" s="73"/>
      <c r="BG23" s="72"/>
      <c r="BH23" s="72"/>
      <c r="BI23" s="72"/>
      <c r="BJ23" s="72"/>
      <c r="BK23" s="72"/>
      <c r="BL23" s="72"/>
    </row>
    <row r="24" spans="1:64" x14ac:dyDescent="0.2">
      <c r="A24" s="14" t="s">
        <v>56</v>
      </c>
      <c r="B24" s="28">
        <f t="shared" si="3"/>
        <v>149316.59718380499</v>
      </c>
      <c r="C24" s="29"/>
      <c r="D24" s="72"/>
      <c r="E24" s="72"/>
      <c r="F24" s="259"/>
      <c r="G24" s="29">
        <f>SUM('[49]4.2'!$I$35:$I$38)</f>
        <v>149316.59718380499</v>
      </c>
      <c r="H24" s="72"/>
      <c r="I24" s="72"/>
      <c r="J24" s="72"/>
      <c r="K24" s="72"/>
      <c r="L24" s="73"/>
      <c r="M24" s="29"/>
      <c r="N24" s="72"/>
      <c r="O24" s="72"/>
      <c r="P24" s="72"/>
      <c r="Q24" s="72"/>
      <c r="R24" s="73"/>
      <c r="S24" s="29"/>
      <c r="T24" s="72"/>
      <c r="U24" s="72"/>
      <c r="V24" s="72"/>
      <c r="W24" s="73"/>
      <c r="X24" s="259"/>
      <c r="Y24" s="29"/>
      <c r="Z24" s="72"/>
      <c r="AA24" s="72"/>
      <c r="AB24" s="29"/>
      <c r="AC24" s="73"/>
      <c r="AD24" s="29"/>
      <c r="AE24" s="72"/>
      <c r="AF24" s="72"/>
      <c r="AG24" s="72"/>
      <c r="AH24" s="72"/>
      <c r="AI24" s="73"/>
      <c r="AJ24" s="29"/>
      <c r="AK24" s="72"/>
      <c r="AL24" s="29"/>
      <c r="AM24" s="72"/>
      <c r="AN24" s="72"/>
      <c r="AO24" s="73"/>
      <c r="AP24" s="29"/>
      <c r="AQ24" s="72"/>
      <c r="AR24" s="72"/>
      <c r="AS24" s="72"/>
      <c r="AT24" s="72"/>
      <c r="AU24" s="73"/>
      <c r="AV24" s="29"/>
      <c r="AW24" s="72"/>
      <c r="AX24" s="259"/>
      <c r="AY24" s="29"/>
      <c r="AZ24" s="72"/>
      <c r="BA24" s="73"/>
      <c r="BB24" s="29"/>
      <c r="BC24" s="72"/>
      <c r="BD24" s="72"/>
      <c r="BE24" s="72"/>
      <c r="BF24" s="73"/>
      <c r="BG24" s="72"/>
      <c r="BH24" s="72"/>
      <c r="BI24" s="72"/>
      <c r="BJ24" s="72"/>
      <c r="BK24" s="72"/>
      <c r="BL24" s="72"/>
    </row>
    <row r="25" spans="1:64" x14ac:dyDescent="0.2">
      <c r="A25" s="14" t="s">
        <v>57</v>
      </c>
      <c r="B25" s="28">
        <f t="shared" si="3"/>
        <v>-197738.65332847723</v>
      </c>
      <c r="C25" s="29"/>
      <c r="D25" s="72"/>
      <c r="E25" s="72"/>
      <c r="F25" s="259"/>
      <c r="G25" s="29">
        <f>SUM('[49]4.2'!$I$39:$I$40)</f>
        <v>31668.420919798504</v>
      </c>
      <c r="H25" s="72"/>
      <c r="I25" s="72"/>
      <c r="J25" s="72"/>
      <c r="K25" s="72"/>
      <c r="L25" s="73"/>
      <c r="M25" s="29">
        <f>'[44]4.8'!$I$10</f>
        <v>-229407.07424827572</v>
      </c>
      <c r="N25" s="72"/>
      <c r="O25" s="72"/>
      <c r="P25" s="72"/>
      <c r="Q25" s="72"/>
      <c r="R25" s="73"/>
      <c r="S25" s="29"/>
      <c r="T25" s="72"/>
      <c r="U25" s="72"/>
      <c r="V25" s="72"/>
      <c r="W25" s="73"/>
      <c r="X25" s="259"/>
      <c r="Y25" s="29"/>
      <c r="Z25" s="72"/>
      <c r="AA25" s="72"/>
      <c r="AB25" s="29"/>
      <c r="AC25" s="73"/>
      <c r="AD25" s="29"/>
      <c r="AE25" s="72"/>
      <c r="AF25" s="72"/>
      <c r="AG25" s="72"/>
      <c r="AH25" s="72"/>
      <c r="AI25" s="73"/>
      <c r="AJ25" s="29"/>
      <c r="AK25" s="72"/>
      <c r="AL25" s="29"/>
      <c r="AM25" s="72"/>
      <c r="AN25" s="72"/>
      <c r="AO25" s="73"/>
      <c r="AP25" s="29"/>
      <c r="AQ25" s="72"/>
      <c r="AR25" s="72"/>
      <c r="AS25" s="72"/>
      <c r="AT25" s="72"/>
      <c r="AU25" s="73"/>
      <c r="AV25" s="29"/>
      <c r="AW25" s="72"/>
      <c r="AX25" s="259"/>
      <c r="AY25" s="29"/>
      <c r="AZ25" s="72"/>
      <c r="BA25" s="73"/>
      <c r="BB25" s="29"/>
      <c r="BC25" s="72"/>
      <c r="BD25" s="72"/>
      <c r="BE25" s="72"/>
      <c r="BF25" s="73"/>
      <c r="BG25" s="72"/>
      <c r="BH25" s="72"/>
      <c r="BI25" s="72"/>
      <c r="BJ25" s="72"/>
      <c r="BK25" s="72"/>
      <c r="BL25" s="72"/>
    </row>
    <row r="26" spans="1:64" x14ac:dyDescent="0.2">
      <c r="A26" s="14" t="s">
        <v>58</v>
      </c>
      <c r="B26" s="28">
        <f t="shared" si="3"/>
        <v>21803.306990815341</v>
      </c>
      <c r="C26" s="29"/>
      <c r="D26" s="72"/>
      <c r="E26" s="72"/>
      <c r="F26" s="259">
        <f>'[50]4.1'!$I$25+'[50]4.1'!$I$29</f>
        <v>-508.5731942273153</v>
      </c>
      <c r="G26" s="29">
        <f>SUM('[49]4.2'!$I$41:$I$42)</f>
        <v>4768.4332511350867</v>
      </c>
      <c r="H26" s="72"/>
      <c r="I26" s="72"/>
      <c r="J26" s="72"/>
      <c r="K26" s="72">
        <f>'[46]4.6'!$I$11+'[46]4.6'!$I$17+'[46]4.6'!$I$19</f>
        <v>17543.446933907569</v>
      </c>
      <c r="L26" s="73"/>
      <c r="M26" s="29"/>
      <c r="N26" s="72"/>
      <c r="O26" s="72"/>
      <c r="P26" s="72"/>
      <c r="Q26" s="72"/>
      <c r="R26" s="73"/>
      <c r="S26" s="29"/>
      <c r="T26" s="72"/>
      <c r="U26" s="72"/>
      <c r="V26" s="72"/>
      <c r="W26" s="73"/>
      <c r="X26" s="259"/>
      <c r="Y26" s="29"/>
      <c r="Z26" s="72"/>
      <c r="AA26" s="72"/>
      <c r="AB26" s="29"/>
      <c r="AC26" s="73"/>
      <c r="AD26" s="29"/>
      <c r="AE26" s="72"/>
      <c r="AF26" s="72"/>
      <c r="AG26" s="72"/>
      <c r="AH26" s="72"/>
      <c r="AI26" s="73"/>
      <c r="AJ26" s="29"/>
      <c r="AK26" s="72"/>
      <c r="AL26" s="29"/>
      <c r="AM26" s="72"/>
      <c r="AN26" s="72"/>
      <c r="AO26" s="73"/>
      <c r="AP26" s="29"/>
      <c r="AQ26" s="72"/>
      <c r="AR26" s="72"/>
      <c r="AS26" s="72"/>
      <c r="AT26" s="72"/>
      <c r="AU26" s="73"/>
      <c r="AV26" s="29"/>
      <c r="AW26" s="72"/>
      <c r="AX26" s="259"/>
      <c r="AY26" s="29"/>
      <c r="AZ26" s="72"/>
      <c r="BA26" s="73"/>
      <c r="BB26" s="29"/>
      <c r="BC26" s="72"/>
      <c r="BD26" s="72"/>
      <c r="BE26" s="72"/>
      <c r="BF26" s="73"/>
      <c r="BG26" s="72"/>
      <c r="BH26" s="72"/>
      <c r="BI26" s="72"/>
      <c r="BJ26" s="72"/>
      <c r="BK26" s="72"/>
      <c r="BL26" s="72"/>
    </row>
    <row r="27" spans="1:64" x14ac:dyDescent="0.2">
      <c r="A27" s="14" t="s">
        <v>59</v>
      </c>
      <c r="B27" s="28">
        <f t="shared" si="3"/>
        <v>0</v>
      </c>
      <c r="C27" s="29"/>
      <c r="D27" s="72"/>
      <c r="E27" s="72"/>
      <c r="F27" s="259"/>
      <c r="G27" s="29"/>
      <c r="H27" s="72"/>
      <c r="I27" s="72"/>
      <c r="J27" s="72"/>
      <c r="K27" s="72"/>
      <c r="L27" s="73"/>
      <c r="M27" s="29"/>
      <c r="N27" s="72"/>
      <c r="O27" s="72"/>
      <c r="P27" s="72"/>
      <c r="Q27" s="72"/>
      <c r="R27" s="73"/>
      <c r="S27" s="29"/>
      <c r="T27" s="72"/>
      <c r="U27" s="72"/>
      <c r="V27" s="72"/>
      <c r="W27" s="73"/>
      <c r="X27" s="259"/>
      <c r="Y27" s="29"/>
      <c r="Z27" s="72"/>
      <c r="AA27" s="72"/>
      <c r="AB27" s="29"/>
      <c r="AC27" s="73"/>
      <c r="AD27" s="29"/>
      <c r="AE27" s="72"/>
      <c r="AF27" s="72"/>
      <c r="AG27" s="72"/>
      <c r="AH27" s="72"/>
      <c r="AI27" s="73"/>
      <c r="AJ27" s="29"/>
      <c r="AK27" s="72"/>
      <c r="AL27" s="29"/>
      <c r="AM27" s="72"/>
      <c r="AN27" s="72"/>
      <c r="AO27" s="73"/>
      <c r="AP27" s="29"/>
      <c r="AQ27" s="72"/>
      <c r="AR27" s="72"/>
      <c r="AS27" s="72"/>
      <c r="AT27" s="72"/>
      <c r="AU27" s="73"/>
      <c r="AV27" s="29"/>
      <c r="AW27" s="72"/>
      <c r="AX27" s="259"/>
      <c r="AY27" s="29"/>
      <c r="AZ27" s="72"/>
      <c r="BA27" s="73"/>
      <c r="BB27" s="29"/>
      <c r="BC27" s="72"/>
      <c r="BD27" s="72"/>
      <c r="BE27" s="72"/>
      <c r="BF27" s="73"/>
      <c r="BG27" s="72"/>
      <c r="BH27" s="72"/>
      <c r="BI27" s="72"/>
      <c r="BJ27" s="72"/>
      <c r="BK27" s="72"/>
      <c r="BL27" s="72"/>
    </row>
    <row r="28" spans="1:64" x14ac:dyDescent="0.2">
      <c r="A28" s="14" t="s">
        <v>60</v>
      </c>
      <c r="B28" s="28">
        <f t="shared" si="3"/>
        <v>1397511.8869547788</v>
      </c>
      <c r="C28" s="31"/>
      <c r="D28" s="77"/>
      <c r="E28" s="77"/>
      <c r="F28" s="260">
        <f>SUM('[50]4.1'!$I$18:$I$23)+'[50]4.1'!$I$32</f>
        <v>93809.123439928429</v>
      </c>
      <c r="G28" s="31">
        <f>SUM('[49]4.2'!$I$43:$I$46)</f>
        <v>27845.414699581903</v>
      </c>
      <c r="H28" s="77"/>
      <c r="I28" s="77">
        <f>'[48]4.4'!$I$11</f>
        <v>-194940.36013907607</v>
      </c>
      <c r="J28" s="77"/>
      <c r="K28" s="77">
        <f>'[46]4.6'!$I$12</f>
        <v>-636.50426369283355</v>
      </c>
      <c r="L28" s="79">
        <f>'[45]4.7'!$I$27</f>
        <v>-767.83106542847236</v>
      </c>
      <c r="M28" s="31">
        <f>'[44]4.8'!$I$12</f>
        <v>774942.94549049344</v>
      </c>
      <c r="N28" s="77">
        <f>SUM('[43]4.9'!$I$19,'[43]4.9'!$I$23,'[43]4.9'!$I$27,'[43]4.9'!$I$38,'[43]4.9'!$I$36)</f>
        <v>-561028.14210245886</v>
      </c>
      <c r="O28" s="77"/>
      <c r="P28" s="77">
        <f>'[53]4.11'!$I$11</f>
        <v>1273483.376388011</v>
      </c>
      <c r="Q28" s="77"/>
      <c r="R28" s="79"/>
      <c r="S28" s="31"/>
      <c r="T28" s="77"/>
      <c r="U28" s="77"/>
      <c r="V28" s="77"/>
      <c r="W28" s="79"/>
      <c r="X28" s="260"/>
      <c r="Y28" s="31"/>
      <c r="Z28" s="77"/>
      <c r="AA28" s="77"/>
      <c r="AB28" s="31"/>
      <c r="AC28" s="79"/>
      <c r="AD28" s="31"/>
      <c r="AE28" s="77"/>
      <c r="AF28" s="77"/>
      <c r="AG28" s="77"/>
      <c r="AH28" s="77"/>
      <c r="AI28" s="79"/>
      <c r="AJ28" s="31"/>
      <c r="AK28" s="77"/>
      <c r="AL28" s="31"/>
      <c r="AM28" s="77"/>
      <c r="AN28" s="77"/>
      <c r="AO28" s="79"/>
      <c r="AP28" s="31"/>
      <c r="AQ28" s="77"/>
      <c r="AR28" s="77"/>
      <c r="AS28" s="77"/>
      <c r="AT28" s="77"/>
      <c r="AU28" s="79"/>
      <c r="AV28" s="31"/>
      <c r="AW28" s="77"/>
      <c r="AX28" s="260"/>
      <c r="AY28" s="31"/>
      <c r="AZ28" s="77"/>
      <c r="BA28" s="79">
        <f>SUM('[5]10.3'!$I$25:$I$26)</f>
        <v>-15196.135492579706</v>
      </c>
      <c r="BB28" s="31"/>
      <c r="BC28" s="77"/>
      <c r="BD28" s="77"/>
      <c r="BE28" s="77"/>
      <c r="BF28" s="79"/>
      <c r="BG28" s="72"/>
      <c r="BH28" s="72"/>
      <c r="BI28" s="72"/>
      <c r="BJ28" s="72"/>
      <c r="BK28" s="72"/>
      <c r="BL28" s="72"/>
    </row>
    <row r="29" spans="1:64" x14ac:dyDescent="0.2">
      <c r="A29" s="14" t="s">
        <v>61</v>
      </c>
      <c r="B29" s="254">
        <f t="shared" si="3"/>
        <v>-2892466.5794964973</v>
      </c>
      <c r="C29" s="27">
        <f t="shared" ref="C29:AF29" si="4">SUM(C19:C28)</f>
        <v>0</v>
      </c>
      <c r="D29" s="12">
        <f t="shared" si="4"/>
        <v>0</v>
      </c>
      <c r="E29" s="12">
        <f t="shared" si="4"/>
        <v>0</v>
      </c>
      <c r="F29" s="69">
        <f t="shared" si="4"/>
        <v>93300.550245701117</v>
      </c>
      <c r="G29" s="27">
        <f t="shared" si="4"/>
        <v>376068.13367364765</v>
      </c>
      <c r="H29" s="12">
        <f t="shared" si="4"/>
        <v>0</v>
      </c>
      <c r="I29" s="12">
        <f t="shared" si="4"/>
        <v>-194940.36013907607</v>
      </c>
      <c r="J29" s="12">
        <f t="shared" si="4"/>
        <v>0</v>
      </c>
      <c r="K29" s="12">
        <f t="shared" si="4"/>
        <v>16906.942670214736</v>
      </c>
      <c r="L29" s="68">
        <f t="shared" si="4"/>
        <v>-767.83106542847236</v>
      </c>
      <c r="M29" s="27">
        <f t="shared" si="4"/>
        <v>545535.87124221772</v>
      </c>
      <c r="N29" s="12">
        <f t="shared" si="4"/>
        <v>-629279.35106791416</v>
      </c>
      <c r="O29" s="12">
        <f t="shared" si="4"/>
        <v>2006742.3164071133</v>
      </c>
      <c r="P29" s="12">
        <f t="shared" si="4"/>
        <v>1273483.376388011</v>
      </c>
      <c r="Q29" s="12">
        <f t="shared" si="4"/>
        <v>0</v>
      </c>
      <c r="R29" s="68">
        <f t="shared" si="4"/>
        <v>0</v>
      </c>
      <c r="S29" s="27">
        <f t="shared" si="4"/>
        <v>-7141820.6973571628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68">
        <f t="shared" si="4"/>
        <v>0</v>
      </c>
      <c r="X29" s="69">
        <f t="shared" si="4"/>
        <v>0</v>
      </c>
      <c r="Y29" s="27">
        <f t="shared" si="4"/>
        <v>0</v>
      </c>
      <c r="Z29" s="12">
        <f t="shared" si="4"/>
        <v>0</v>
      </c>
      <c r="AA29" s="12">
        <f t="shared" si="4"/>
        <v>2233092.2074194313</v>
      </c>
      <c r="AB29" s="27">
        <f t="shared" si="4"/>
        <v>0</v>
      </c>
      <c r="AC29" s="68">
        <f t="shared" si="4"/>
        <v>0</v>
      </c>
      <c r="AD29" s="27">
        <f t="shared" si="4"/>
        <v>0</v>
      </c>
      <c r="AE29" s="12">
        <f t="shared" si="4"/>
        <v>0</v>
      </c>
      <c r="AF29" s="12">
        <f t="shared" si="4"/>
        <v>0</v>
      </c>
      <c r="AG29" s="12">
        <f t="shared" ref="AG29:BA29" si="5">SUM(AG19:AG28)</f>
        <v>0</v>
      </c>
      <c r="AH29" s="12">
        <f t="shared" si="5"/>
        <v>0</v>
      </c>
      <c r="AI29" s="68">
        <f>SUM(AI19:AI28)</f>
        <v>0</v>
      </c>
      <c r="AJ29" s="27">
        <f t="shared" si="5"/>
        <v>0</v>
      </c>
      <c r="AK29" s="12">
        <f t="shared" si="5"/>
        <v>0</v>
      </c>
      <c r="AL29" s="27">
        <f t="shared" si="5"/>
        <v>0</v>
      </c>
      <c r="AM29" s="12">
        <f t="shared" si="5"/>
        <v>0</v>
      </c>
      <c r="AN29" s="12">
        <f t="shared" si="5"/>
        <v>0</v>
      </c>
      <c r="AO29" s="68">
        <f t="shared" si="5"/>
        <v>0</v>
      </c>
      <c r="AP29" s="27">
        <f t="shared" si="5"/>
        <v>0</v>
      </c>
      <c r="AQ29" s="12">
        <f t="shared" si="5"/>
        <v>0</v>
      </c>
      <c r="AR29" s="12">
        <f t="shared" si="5"/>
        <v>0</v>
      </c>
      <c r="AS29" s="12">
        <f t="shared" si="5"/>
        <v>0</v>
      </c>
      <c r="AT29" s="12">
        <f t="shared" si="5"/>
        <v>0</v>
      </c>
      <c r="AU29" s="68">
        <f t="shared" si="5"/>
        <v>-253659.07857429984</v>
      </c>
      <c r="AV29" s="27">
        <f t="shared" si="5"/>
        <v>0</v>
      </c>
      <c r="AW29" s="12">
        <f t="shared" si="5"/>
        <v>0</v>
      </c>
      <c r="AX29" s="69">
        <f t="shared" si="5"/>
        <v>0</v>
      </c>
      <c r="AY29" s="27">
        <f t="shared" si="5"/>
        <v>0</v>
      </c>
      <c r="AZ29" s="12">
        <f t="shared" si="5"/>
        <v>0</v>
      </c>
      <c r="BA29" s="68">
        <f t="shared" si="5"/>
        <v>-1217128.6593389532</v>
      </c>
      <c r="BB29" s="27">
        <f t="shared" ref="BB29:BF29" si="6">SUM(BB19:BB28)</f>
        <v>0</v>
      </c>
      <c r="BC29" s="12">
        <f t="shared" si="6"/>
        <v>0</v>
      </c>
      <c r="BD29" s="12">
        <f t="shared" si="6"/>
        <v>0</v>
      </c>
      <c r="BE29" s="12">
        <f t="shared" si="6"/>
        <v>0</v>
      </c>
      <c r="BF29" s="68">
        <f t="shared" si="6"/>
        <v>0</v>
      </c>
      <c r="BG29" s="12"/>
      <c r="BH29" s="12"/>
      <c r="BI29" s="12"/>
      <c r="BJ29" s="12"/>
      <c r="BK29" s="12"/>
      <c r="BL29" s="12"/>
    </row>
    <row r="30" spans="1:64" x14ac:dyDescent="0.2">
      <c r="A30" s="14" t="s">
        <v>62</v>
      </c>
      <c r="B30" s="28">
        <f t="shared" si="3"/>
        <v>0</v>
      </c>
      <c r="C30" s="29"/>
      <c r="D30" s="72"/>
      <c r="E30" s="72"/>
      <c r="F30" s="259"/>
      <c r="G30" s="29"/>
      <c r="H30" s="72"/>
      <c r="I30" s="72"/>
      <c r="J30" s="72"/>
      <c r="K30" s="72"/>
      <c r="L30" s="73"/>
      <c r="M30" s="29"/>
      <c r="N30" s="72"/>
      <c r="O30" s="72"/>
      <c r="P30" s="72"/>
      <c r="Q30" s="72"/>
      <c r="R30" s="73"/>
      <c r="S30" s="29"/>
      <c r="T30" s="72"/>
      <c r="U30" s="72"/>
      <c r="V30" s="72"/>
      <c r="W30" s="73"/>
      <c r="X30" s="259"/>
      <c r="Y30" s="29"/>
      <c r="Z30" s="72"/>
      <c r="AA30" s="72"/>
      <c r="AB30" s="29"/>
      <c r="AC30" s="73"/>
      <c r="AD30" s="29"/>
      <c r="AE30" s="72"/>
      <c r="AF30" s="72"/>
      <c r="AG30" s="72"/>
      <c r="AH30" s="72"/>
      <c r="AI30" s="73"/>
      <c r="AJ30" s="29"/>
      <c r="AK30" s="72"/>
      <c r="AL30" s="29"/>
      <c r="AM30" s="72"/>
      <c r="AN30" s="72"/>
      <c r="AO30" s="73"/>
      <c r="AP30" s="29"/>
      <c r="AQ30" s="72"/>
      <c r="AR30" s="72"/>
      <c r="AS30" s="72"/>
      <c r="AT30" s="72"/>
      <c r="AU30" s="73"/>
      <c r="AV30" s="29"/>
      <c r="AW30" s="72"/>
      <c r="AX30" s="259"/>
      <c r="AY30" s="29"/>
      <c r="AZ30" s="72"/>
      <c r="BA30" s="73"/>
      <c r="BB30" s="29"/>
      <c r="BC30" s="72"/>
      <c r="BD30" s="72"/>
      <c r="BE30" s="72"/>
      <c r="BF30" s="73"/>
      <c r="BG30" s="72"/>
      <c r="BH30" s="72"/>
      <c r="BI30" s="72"/>
      <c r="BJ30" s="72"/>
      <c r="BK30" s="72"/>
      <c r="BL30" s="72"/>
    </row>
    <row r="31" spans="1:64" x14ac:dyDescent="0.2">
      <c r="A31" s="14" t="s">
        <v>63</v>
      </c>
      <c r="B31" s="28">
        <f t="shared" si="3"/>
        <v>3700582.6343244445</v>
      </c>
      <c r="C31" s="29"/>
      <c r="D31" s="72"/>
      <c r="E31" s="72"/>
      <c r="F31" s="259"/>
      <c r="G31" s="29"/>
      <c r="H31" s="72"/>
      <c r="I31" s="72"/>
      <c r="J31" s="72"/>
      <c r="K31" s="72"/>
      <c r="L31" s="73"/>
      <c r="M31" s="29"/>
      <c r="N31" s="72"/>
      <c r="O31" s="72"/>
      <c r="P31" s="72"/>
      <c r="Q31" s="72"/>
      <c r="R31" s="73"/>
      <c r="S31" s="29"/>
      <c r="T31" s="72"/>
      <c r="U31" s="72"/>
      <c r="V31" s="72"/>
      <c r="W31" s="73"/>
      <c r="X31" s="259"/>
      <c r="Y31" s="29"/>
      <c r="Z31" s="72"/>
      <c r="AA31" s="72">
        <f>SUM('[32]6.4'!$I$11:$I$12)</f>
        <v>3700582.6343244445</v>
      </c>
      <c r="AB31" s="29"/>
      <c r="AC31" s="73"/>
      <c r="AD31" s="29"/>
      <c r="AE31" s="72"/>
      <c r="AF31" s="72"/>
      <c r="AG31" s="72"/>
      <c r="AH31" s="72"/>
      <c r="AI31" s="73"/>
      <c r="AJ31" s="29"/>
      <c r="AK31" s="72"/>
      <c r="AL31" s="29"/>
      <c r="AM31" s="72"/>
      <c r="AN31" s="72"/>
      <c r="AO31" s="73"/>
      <c r="AP31" s="29"/>
      <c r="AQ31" s="72"/>
      <c r="AR31" s="72"/>
      <c r="AS31" s="72"/>
      <c r="AT31" s="72"/>
      <c r="AU31" s="73"/>
      <c r="AV31" s="29"/>
      <c r="AW31" s="72"/>
      <c r="AX31" s="259"/>
      <c r="AY31" s="29"/>
      <c r="AZ31" s="72"/>
      <c r="BA31" s="73"/>
      <c r="BB31" s="29"/>
      <c r="BC31" s="72"/>
      <c r="BD31" s="72"/>
      <c r="BE31" s="72"/>
      <c r="BF31" s="73"/>
      <c r="BG31" s="72"/>
      <c r="BH31" s="72"/>
      <c r="BI31" s="72"/>
      <c r="BJ31" s="72"/>
      <c r="BK31" s="72"/>
      <c r="BL31" s="72"/>
    </row>
    <row r="32" spans="1:64" x14ac:dyDescent="0.2">
      <c r="A32" s="14" t="s">
        <v>64</v>
      </c>
      <c r="B32" s="28">
        <f t="shared" si="3"/>
        <v>1214411.2456543308</v>
      </c>
      <c r="C32" s="29"/>
      <c r="D32" s="72"/>
      <c r="E32" s="72"/>
      <c r="F32" s="259"/>
      <c r="G32" s="29"/>
      <c r="H32" s="72"/>
      <c r="I32" s="72"/>
      <c r="J32" s="72"/>
      <c r="K32" s="72"/>
      <c r="L32" s="73"/>
      <c r="M32" s="29"/>
      <c r="N32" s="72"/>
      <c r="O32" s="72"/>
      <c r="P32" s="72"/>
      <c r="Q32" s="72"/>
      <c r="R32" s="73"/>
      <c r="S32" s="29"/>
      <c r="T32" s="72"/>
      <c r="U32" s="72"/>
      <c r="V32" s="72"/>
      <c r="W32" s="73"/>
      <c r="X32" s="259"/>
      <c r="Y32" s="29"/>
      <c r="Z32" s="72"/>
      <c r="AA32" s="72"/>
      <c r="AB32" s="29"/>
      <c r="AC32" s="73"/>
      <c r="AD32" s="29"/>
      <c r="AE32" s="72"/>
      <c r="AF32" s="72"/>
      <c r="AG32" s="72"/>
      <c r="AH32" s="72">
        <f>'[26]7.7'!$I$10</f>
        <v>1290521</v>
      </c>
      <c r="AI32" s="73"/>
      <c r="AJ32" s="29"/>
      <c r="AK32" s="72"/>
      <c r="AL32" s="29"/>
      <c r="AM32" s="72"/>
      <c r="AN32" s="72"/>
      <c r="AO32" s="73"/>
      <c r="AP32" s="29"/>
      <c r="AQ32" s="72"/>
      <c r="AR32" s="72"/>
      <c r="AS32" s="72"/>
      <c r="AT32" s="72"/>
      <c r="AU32" s="73"/>
      <c r="AV32" s="29"/>
      <c r="AW32" s="72"/>
      <c r="AX32" s="259"/>
      <c r="AY32" s="29"/>
      <c r="AZ32" s="72"/>
      <c r="BA32" s="73">
        <f>'[5]10.3'!$I$10</f>
        <v>-76109.754345669193</v>
      </c>
      <c r="BB32" s="29"/>
      <c r="BC32" s="72"/>
      <c r="BD32" s="72"/>
      <c r="BE32" s="72"/>
      <c r="BF32" s="73"/>
      <c r="BG32" s="72"/>
      <c r="BH32" s="72"/>
      <c r="BI32" s="72"/>
      <c r="BJ32" s="72"/>
      <c r="BK32" s="72"/>
      <c r="BL32" s="72"/>
    </row>
    <row r="33" spans="1:65" x14ac:dyDescent="0.2">
      <c r="A33" s="14" t="s">
        <v>65</v>
      </c>
      <c r="B33" s="28">
        <f t="shared" si="3"/>
        <v>18175763.888751026</v>
      </c>
      <c r="C33" s="29">
        <f>C87</f>
        <v>-470512.70644908928</v>
      </c>
      <c r="D33" s="72">
        <f t="shared" ref="D33:AV33" si="7">D87</f>
        <v>7079779.7759037716</v>
      </c>
      <c r="E33" s="72">
        <f t="shared" ref="E33" si="8">E87</f>
        <v>-4537.4160397534815</v>
      </c>
      <c r="F33" s="259">
        <f t="shared" si="7"/>
        <v>-36296.118705378431</v>
      </c>
      <c r="G33" s="29">
        <f t="shared" si="7"/>
        <v>-78974.308071466003</v>
      </c>
      <c r="H33" s="72">
        <f t="shared" si="7"/>
        <v>0</v>
      </c>
      <c r="I33" s="72">
        <f t="shared" si="7"/>
        <v>40937.475629205976</v>
      </c>
      <c r="J33" s="72">
        <f t="shared" ref="J33:K33" si="9">J87</f>
        <v>0</v>
      </c>
      <c r="K33" s="72">
        <f t="shared" si="9"/>
        <v>-3550.4579607450942</v>
      </c>
      <c r="L33" s="73">
        <f t="shared" si="7"/>
        <v>161.2445237399792</v>
      </c>
      <c r="M33" s="29">
        <f t="shared" si="7"/>
        <v>-114562.53296086572</v>
      </c>
      <c r="N33" s="72">
        <f t="shared" si="7"/>
        <v>132148.66372426198</v>
      </c>
      <c r="O33" s="72">
        <f t="shared" si="7"/>
        <v>-421415.88644549379</v>
      </c>
      <c r="P33" s="72">
        <f t="shared" si="7"/>
        <v>-516298.53014673828</v>
      </c>
      <c r="Q33" s="72">
        <f t="shared" si="7"/>
        <v>0</v>
      </c>
      <c r="R33" s="73">
        <f t="shared" si="7"/>
        <v>0</v>
      </c>
      <c r="S33" s="29">
        <f t="shared" ref="S33" si="10">S87</f>
        <v>1499782.3464450042</v>
      </c>
      <c r="T33" s="72">
        <f t="shared" ref="T33:U33" si="11">T87</f>
        <v>0</v>
      </c>
      <c r="U33" s="72">
        <f t="shared" si="11"/>
        <v>0</v>
      </c>
      <c r="V33" s="72">
        <f t="shared" ref="V33:W33" si="12">V87</f>
        <v>0</v>
      </c>
      <c r="W33" s="73">
        <f t="shared" si="12"/>
        <v>0</v>
      </c>
      <c r="X33" s="259">
        <f t="shared" ref="X33:AA33" si="13">X87</f>
        <v>0</v>
      </c>
      <c r="Y33" s="29">
        <f t="shared" ref="Y33:Z33" si="14">Y87</f>
        <v>0</v>
      </c>
      <c r="Z33" s="72">
        <f t="shared" si="14"/>
        <v>0</v>
      </c>
      <c r="AA33" s="72">
        <f t="shared" si="13"/>
        <v>-820080.22513484117</v>
      </c>
      <c r="AB33" s="29">
        <f t="shared" si="7"/>
        <v>1050504.8702744148</v>
      </c>
      <c r="AC33" s="73">
        <f t="shared" ref="AC33" si="15">AC87</f>
        <v>0</v>
      </c>
      <c r="AD33" s="29">
        <f t="shared" si="7"/>
        <v>10953810.298519813</v>
      </c>
      <c r="AE33" s="72">
        <f t="shared" ref="AE33" si="16">AE87</f>
        <v>213626.81411536437</v>
      </c>
      <c r="AF33" s="72">
        <f t="shared" si="7"/>
        <v>0</v>
      </c>
      <c r="AG33" s="72">
        <f t="shared" si="7"/>
        <v>0</v>
      </c>
      <c r="AH33" s="72">
        <f t="shared" si="7"/>
        <v>-271009.40999999997</v>
      </c>
      <c r="AI33" s="73">
        <f>AI87</f>
        <v>0</v>
      </c>
      <c r="AJ33" s="29">
        <f t="shared" ref="AJ33" si="17">AJ87</f>
        <v>0</v>
      </c>
      <c r="AK33" s="72">
        <f t="shared" ref="AK33" si="18">AK87</f>
        <v>0</v>
      </c>
      <c r="AL33" s="29">
        <f t="shared" si="7"/>
        <v>0</v>
      </c>
      <c r="AM33" s="72">
        <f t="shared" si="7"/>
        <v>0</v>
      </c>
      <c r="AN33" s="72">
        <f t="shared" si="7"/>
        <v>0</v>
      </c>
      <c r="AO33" s="73">
        <f t="shared" si="7"/>
        <v>0</v>
      </c>
      <c r="AP33" s="29">
        <f t="shared" ref="AP33" si="19">AP87</f>
        <v>0</v>
      </c>
      <c r="AQ33" s="72">
        <f t="shared" si="7"/>
        <v>-490.75529999999992</v>
      </c>
      <c r="AR33" s="72">
        <f t="shared" si="7"/>
        <v>0</v>
      </c>
      <c r="AS33" s="72">
        <f t="shared" si="7"/>
        <v>0</v>
      </c>
      <c r="AT33" s="72">
        <f t="shared" si="7"/>
        <v>0</v>
      </c>
      <c r="AU33" s="73">
        <f t="shared" ref="AU33" si="20">AU87</f>
        <v>53268.406500602963</v>
      </c>
      <c r="AV33" s="29">
        <f t="shared" si="7"/>
        <v>0</v>
      </c>
      <c r="AW33" s="72">
        <f t="shared" ref="AW33" si="21">AW87</f>
        <v>0</v>
      </c>
      <c r="AX33" s="259">
        <f t="shared" ref="AX33:BA33" si="22">AX87</f>
        <v>0</v>
      </c>
      <c r="AY33" s="29">
        <f t="shared" si="22"/>
        <v>0</v>
      </c>
      <c r="AZ33" s="72">
        <f t="shared" si="22"/>
        <v>87879.68091222932</v>
      </c>
      <c r="BA33" s="73">
        <f t="shared" si="22"/>
        <v>-198407.34058301197</v>
      </c>
      <c r="BB33" s="29">
        <f t="shared" ref="BB33:BF33" si="23">BB87</f>
        <v>0</v>
      </c>
      <c r="BC33" s="72">
        <f t="shared" si="23"/>
        <v>0</v>
      </c>
      <c r="BD33" s="72">
        <f t="shared" si="23"/>
        <v>0</v>
      </c>
      <c r="BE33" s="72">
        <f t="shared" si="23"/>
        <v>0</v>
      </c>
      <c r="BF33" s="73">
        <f t="shared" si="23"/>
        <v>0</v>
      </c>
      <c r="BG33" s="72"/>
      <c r="BH33" s="72"/>
      <c r="BI33" s="72"/>
      <c r="BJ33" s="72"/>
      <c r="BK33" s="72"/>
      <c r="BL33" s="72"/>
    </row>
    <row r="34" spans="1:65" x14ac:dyDescent="0.2">
      <c r="A34" s="14" t="s">
        <v>66</v>
      </c>
      <c r="B34" s="28">
        <f t="shared" si="3"/>
        <v>0</v>
      </c>
      <c r="C34" s="28">
        <v>0</v>
      </c>
      <c r="D34" s="70">
        <v>0</v>
      </c>
      <c r="E34" s="70">
        <v>0</v>
      </c>
      <c r="F34" s="80">
        <v>0</v>
      </c>
      <c r="G34" s="28">
        <v>0</v>
      </c>
      <c r="H34" s="70">
        <v>0</v>
      </c>
      <c r="I34" s="70">
        <v>0</v>
      </c>
      <c r="J34" s="70">
        <v>0</v>
      </c>
      <c r="K34" s="70">
        <v>0</v>
      </c>
      <c r="L34" s="71">
        <v>0</v>
      </c>
      <c r="M34" s="28">
        <v>0</v>
      </c>
      <c r="N34" s="70">
        <v>0</v>
      </c>
      <c r="O34" s="70">
        <v>0</v>
      </c>
      <c r="P34" s="70">
        <v>0</v>
      </c>
      <c r="Q34" s="70">
        <v>0</v>
      </c>
      <c r="R34" s="71">
        <v>0</v>
      </c>
      <c r="S34" s="28">
        <v>0</v>
      </c>
      <c r="T34" s="70">
        <v>0</v>
      </c>
      <c r="U34" s="70">
        <v>0</v>
      </c>
      <c r="V34" s="70">
        <v>0</v>
      </c>
      <c r="W34" s="71">
        <v>0</v>
      </c>
      <c r="X34" s="80">
        <v>0</v>
      </c>
      <c r="Y34" s="28">
        <v>0</v>
      </c>
      <c r="Z34" s="70">
        <v>0</v>
      </c>
      <c r="AA34" s="70">
        <v>0</v>
      </c>
      <c r="AB34" s="28">
        <v>0</v>
      </c>
      <c r="AC34" s="71">
        <v>0</v>
      </c>
      <c r="AD34" s="28">
        <v>0</v>
      </c>
      <c r="AE34" s="70">
        <v>0</v>
      </c>
      <c r="AF34" s="70">
        <v>0</v>
      </c>
      <c r="AG34" s="70">
        <v>0</v>
      </c>
      <c r="AH34" s="70">
        <v>0</v>
      </c>
      <c r="AI34" s="71">
        <v>0</v>
      </c>
      <c r="AJ34" s="28">
        <v>0</v>
      </c>
      <c r="AK34" s="70">
        <v>0</v>
      </c>
      <c r="AL34" s="28">
        <v>0</v>
      </c>
      <c r="AM34" s="70">
        <v>0</v>
      </c>
      <c r="AN34" s="70">
        <v>0</v>
      </c>
      <c r="AO34" s="71">
        <v>0</v>
      </c>
      <c r="AP34" s="28">
        <v>0</v>
      </c>
      <c r="AQ34" s="70">
        <v>0</v>
      </c>
      <c r="AR34" s="70">
        <v>0</v>
      </c>
      <c r="AS34" s="70">
        <v>0</v>
      </c>
      <c r="AT34" s="70">
        <v>0</v>
      </c>
      <c r="AU34" s="71">
        <v>0</v>
      </c>
      <c r="AV34" s="28">
        <v>0</v>
      </c>
      <c r="AW34" s="70">
        <v>0</v>
      </c>
      <c r="AX34" s="80">
        <v>0</v>
      </c>
      <c r="AY34" s="28">
        <v>0</v>
      </c>
      <c r="AZ34" s="70">
        <v>0</v>
      </c>
      <c r="BA34" s="71">
        <v>0</v>
      </c>
      <c r="BB34" s="28">
        <v>0</v>
      </c>
      <c r="BC34" s="70">
        <v>0</v>
      </c>
      <c r="BD34" s="70">
        <v>0</v>
      </c>
      <c r="BE34" s="70">
        <v>0</v>
      </c>
      <c r="BF34" s="71">
        <v>0</v>
      </c>
      <c r="BG34" s="70"/>
      <c r="BH34" s="70"/>
      <c r="BI34" s="70"/>
      <c r="BJ34" s="70"/>
      <c r="BK34" s="70"/>
      <c r="BL34" s="70"/>
    </row>
    <row r="35" spans="1:65" s="272" customFormat="1" x14ac:dyDescent="0.2">
      <c r="A35" s="14" t="s">
        <v>67</v>
      </c>
      <c r="B35" s="28">
        <f t="shared" si="3"/>
        <v>511979.77277357085</v>
      </c>
      <c r="C35" s="29"/>
      <c r="D35" s="72"/>
      <c r="E35" s="72"/>
      <c r="F35" s="259"/>
      <c r="G35" s="29"/>
      <c r="H35" s="72"/>
      <c r="I35" s="72"/>
      <c r="J35" s="72"/>
      <c r="K35" s="72"/>
      <c r="L35" s="73"/>
      <c r="M35" s="29"/>
      <c r="N35" s="72"/>
      <c r="O35" s="72"/>
      <c r="P35" s="72">
        <f>SUM('[53]4.11'!$I$20:$I$21)</f>
        <v>291371.44046879199</v>
      </c>
      <c r="Q35" s="72"/>
      <c r="R35" s="73"/>
      <c r="S35" s="29"/>
      <c r="T35" s="72"/>
      <c r="U35" s="72"/>
      <c r="V35" s="72"/>
      <c r="W35" s="73"/>
      <c r="X35" s="259"/>
      <c r="Y35" s="29"/>
      <c r="Z35" s="72"/>
      <c r="AA35" s="72"/>
      <c r="AB35" s="29"/>
      <c r="AC35" s="73"/>
      <c r="AD35" s="29"/>
      <c r="AE35" s="72">
        <f>SUM('[29]7.4.1'!$I$32:$I$33)</f>
        <v>-250112.25268758263</v>
      </c>
      <c r="AF35" s="72"/>
      <c r="AG35" s="72"/>
      <c r="AH35" s="72"/>
      <c r="AI35" s="73"/>
      <c r="AJ35" s="29"/>
      <c r="AK35" s="72"/>
      <c r="AL35" s="29"/>
      <c r="AM35" s="72"/>
      <c r="AN35" s="72"/>
      <c r="AO35" s="73"/>
      <c r="AP35" s="29"/>
      <c r="AQ35" s="72"/>
      <c r="AR35" s="72"/>
      <c r="AS35" s="72"/>
      <c r="AT35" s="72"/>
      <c r="AU35" s="73"/>
      <c r="AV35" s="29"/>
      <c r="AW35" s="72"/>
      <c r="AX35" s="259"/>
      <c r="AY35" s="29"/>
      <c r="AZ35" s="72">
        <f>'[4]10.2'!$I$21</f>
        <v>-102888.69346269607</v>
      </c>
      <c r="BA35" s="73">
        <f>'[5]10.3'!$I$12</f>
        <v>573609.27845505753</v>
      </c>
      <c r="BB35" s="29"/>
      <c r="BC35" s="72"/>
      <c r="BD35" s="72"/>
      <c r="BE35" s="72"/>
      <c r="BF35" s="73"/>
      <c r="BG35" s="271"/>
      <c r="BH35" s="271"/>
      <c r="BI35" s="271"/>
      <c r="BJ35" s="271"/>
      <c r="BK35" s="271"/>
      <c r="BL35" s="271"/>
      <c r="BM35" s="273"/>
    </row>
    <row r="36" spans="1:65" x14ac:dyDescent="0.2">
      <c r="A36" s="14" t="s">
        <v>68</v>
      </c>
      <c r="B36" s="28">
        <f t="shared" si="3"/>
        <v>0</v>
      </c>
      <c r="C36" s="29"/>
      <c r="D36" s="72"/>
      <c r="E36" s="72"/>
      <c r="F36" s="259"/>
      <c r="G36" s="29"/>
      <c r="H36" s="72"/>
      <c r="I36" s="72"/>
      <c r="J36" s="72"/>
      <c r="K36" s="72"/>
      <c r="L36" s="73"/>
      <c r="M36" s="29"/>
      <c r="N36" s="72"/>
      <c r="O36" s="72"/>
      <c r="P36" s="72"/>
      <c r="Q36" s="72"/>
      <c r="R36" s="73"/>
      <c r="S36" s="29"/>
      <c r="T36" s="72"/>
      <c r="U36" s="72"/>
      <c r="V36" s="72"/>
      <c r="W36" s="73"/>
      <c r="X36" s="259"/>
      <c r="Y36" s="29"/>
      <c r="Z36" s="72"/>
      <c r="AA36" s="72"/>
      <c r="AB36" s="29"/>
      <c r="AC36" s="73"/>
      <c r="AD36" s="29"/>
      <c r="AE36" s="72"/>
      <c r="AF36" s="72"/>
      <c r="AG36" s="72"/>
      <c r="AH36" s="72"/>
      <c r="AI36" s="73"/>
      <c r="AJ36" s="29"/>
      <c r="AK36" s="72"/>
      <c r="AL36" s="29"/>
      <c r="AM36" s="72"/>
      <c r="AN36" s="72"/>
      <c r="AO36" s="73"/>
      <c r="AP36" s="29"/>
      <c r="AQ36" s="72"/>
      <c r="AR36" s="72"/>
      <c r="AS36" s="72"/>
      <c r="AT36" s="72"/>
      <c r="AU36" s="73"/>
      <c r="AV36" s="29"/>
      <c r="AW36" s="72"/>
      <c r="AX36" s="259"/>
      <c r="AY36" s="29"/>
      <c r="AZ36" s="72"/>
      <c r="BA36" s="73"/>
      <c r="BB36" s="29"/>
      <c r="BC36" s="72"/>
      <c r="BD36" s="72"/>
      <c r="BE36" s="72"/>
      <c r="BF36" s="73"/>
      <c r="BG36" s="72"/>
      <c r="BH36" s="72"/>
      <c r="BI36" s="72"/>
      <c r="BJ36" s="72"/>
      <c r="BK36" s="72"/>
      <c r="BL36" s="72"/>
    </row>
    <row r="37" spans="1:65" x14ac:dyDescent="0.2">
      <c r="A37" s="14" t="s">
        <v>69</v>
      </c>
      <c r="B37" s="28">
        <f t="shared" si="3"/>
        <v>81875.040256100925</v>
      </c>
      <c r="C37" s="29"/>
      <c r="D37" s="72"/>
      <c r="E37" s="72"/>
      <c r="F37" s="259">
        <f>'[50]4.1'!$I$14</f>
        <v>79538.110256100932</v>
      </c>
      <c r="G37" s="29"/>
      <c r="H37" s="72"/>
      <c r="I37" s="72"/>
      <c r="J37" s="72"/>
      <c r="K37" s="72"/>
      <c r="L37" s="73"/>
      <c r="M37" s="29"/>
      <c r="N37" s="72"/>
      <c r="O37" s="72"/>
      <c r="P37" s="72"/>
      <c r="Q37" s="72"/>
      <c r="R37" s="73"/>
      <c r="S37" s="29"/>
      <c r="T37" s="72"/>
      <c r="U37" s="72"/>
      <c r="V37" s="72"/>
      <c r="W37" s="73"/>
      <c r="X37" s="259"/>
      <c r="Y37" s="29"/>
      <c r="Z37" s="72"/>
      <c r="AA37" s="72"/>
      <c r="AB37" s="29"/>
      <c r="AC37" s="73"/>
      <c r="AD37" s="29"/>
      <c r="AE37" s="72"/>
      <c r="AF37" s="72"/>
      <c r="AG37" s="72"/>
      <c r="AH37" s="72"/>
      <c r="AI37" s="73"/>
      <c r="AJ37" s="29"/>
      <c r="AK37" s="72"/>
      <c r="AL37" s="29"/>
      <c r="AM37" s="72"/>
      <c r="AN37" s="72"/>
      <c r="AO37" s="73"/>
      <c r="AP37" s="29"/>
      <c r="AQ37" s="72">
        <f>'[14]8.6'!$I$11</f>
        <v>2336.9299999999998</v>
      </c>
      <c r="AR37" s="72"/>
      <c r="AS37" s="72"/>
      <c r="AT37" s="72"/>
      <c r="AU37" s="73"/>
      <c r="AV37" s="29"/>
      <c r="AW37" s="72"/>
      <c r="AX37" s="259"/>
      <c r="AY37" s="29"/>
      <c r="AZ37" s="72"/>
      <c r="BA37" s="73"/>
      <c r="BB37" s="29"/>
      <c r="BC37" s="72"/>
      <c r="BD37" s="72"/>
      <c r="BE37" s="72"/>
      <c r="BF37" s="73"/>
      <c r="BG37" s="72"/>
      <c r="BH37" s="72"/>
      <c r="BI37" s="72"/>
      <c r="BJ37" s="72"/>
      <c r="BK37" s="72"/>
      <c r="BL37" s="72"/>
    </row>
    <row r="38" spans="1:65" x14ac:dyDescent="0.2">
      <c r="A38" s="14" t="s">
        <v>70</v>
      </c>
      <c r="B38" s="30">
        <f t="shared" si="3"/>
        <v>20792146.002262976</v>
      </c>
      <c r="C38" s="30">
        <f t="shared" ref="C38:AF38" si="24">SUM(C29:C37)</f>
        <v>-470512.70644908928</v>
      </c>
      <c r="D38" s="74">
        <f t="shared" si="24"/>
        <v>7079779.7759037716</v>
      </c>
      <c r="E38" s="74">
        <f t="shared" si="24"/>
        <v>-4537.4160397534815</v>
      </c>
      <c r="F38" s="143">
        <f t="shared" si="24"/>
        <v>136542.54179642361</v>
      </c>
      <c r="G38" s="30">
        <f t="shared" si="24"/>
        <v>297093.82560218166</v>
      </c>
      <c r="H38" s="74">
        <f t="shared" si="24"/>
        <v>0</v>
      </c>
      <c r="I38" s="74">
        <f t="shared" si="24"/>
        <v>-154002.88450987008</v>
      </c>
      <c r="J38" s="74">
        <f t="shared" si="24"/>
        <v>0</v>
      </c>
      <c r="K38" s="74">
        <f t="shared" si="24"/>
        <v>13356.484709469642</v>
      </c>
      <c r="L38" s="75">
        <f t="shared" si="24"/>
        <v>-606.58654168849318</v>
      </c>
      <c r="M38" s="30">
        <f t="shared" si="24"/>
        <v>430973.33828135201</v>
      </c>
      <c r="N38" s="74">
        <f t="shared" si="24"/>
        <v>-497130.68734365219</v>
      </c>
      <c r="O38" s="74">
        <f t="shared" si="24"/>
        <v>1585326.4299616194</v>
      </c>
      <c r="P38" s="74">
        <f t="shared" si="24"/>
        <v>1048556.2867100647</v>
      </c>
      <c r="Q38" s="74">
        <f t="shared" si="24"/>
        <v>0</v>
      </c>
      <c r="R38" s="75">
        <f t="shared" si="24"/>
        <v>0</v>
      </c>
      <c r="S38" s="30">
        <f t="shared" si="24"/>
        <v>-5642038.3509121584</v>
      </c>
      <c r="T38" s="74">
        <f t="shared" si="24"/>
        <v>0</v>
      </c>
      <c r="U38" s="74">
        <f t="shared" si="24"/>
        <v>0</v>
      </c>
      <c r="V38" s="74">
        <f t="shared" si="24"/>
        <v>0</v>
      </c>
      <c r="W38" s="75">
        <f t="shared" si="24"/>
        <v>0</v>
      </c>
      <c r="X38" s="143">
        <f t="shared" si="24"/>
        <v>0</v>
      </c>
      <c r="Y38" s="30">
        <f t="shared" si="24"/>
        <v>0</v>
      </c>
      <c r="Z38" s="74">
        <f t="shared" si="24"/>
        <v>0</v>
      </c>
      <c r="AA38" s="74">
        <f t="shared" si="24"/>
        <v>5113594.6166090341</v>
      </c>
      <c r="AB38" s="30">
        <f t="shared" si="24"/>
        <v>1050504.8702744148</v>
      </c>
      <c r="AC38" s="75">
        <f t="shared" si="24"/>
        <v>0</v>
      </c>
      <c r="AD38" s="30">
        <f t="shared" si="24"/>
        <v>10953810.298519813</v>
      </c>
      <c r="AE38" s="74">
        <f t="shared" si="24"/>
        <v>-36485.438572218263</v>
      </c>
      <c r="AF38" s="74">
        <f t="shared" si="24"/>
        <v>0</v>
      </c>
      <c r="AG38" s="74">
        <f t="shared" ref="AG38:BA38" si="25">SUM(AG29:AG37)</f>
        <v>0</v>
      </c>
      <c r="AH38" s="74">
        <f t="shared" si="25"/>
        <v>1019511.5900000001</v>
      </c>
      <c r="AI38" s="75">
        <f>SUM(AI29:AI37)</f>
        <v>0</v>
      </c>
      <c r="AJ38" s="30">
        <f t="shared" si="25"/>
        <v>0</v>
      </c>
      <c r="AK38" s="74">
        <f t="shared" si="25"/>
        <v>0</v>
      </c>
      <c r="AL38" s="30">
        <f t="shared" si="25"/>
        <v>0</v>
      </c>
      <c r="AM38" s="74">
        <f t="shared" si="25"/>
        <v>0</v>
      </c>
      <c r="AN38" s="74">
        <f t="shared" si="25"/>
        <v>0</v>
      </c>
      <c r="AO38" s="75">
        <f t="shared" si="25"/>
        <v>0</v>
      </c>
      <c r="AP38" s="30">
        <f t="shared" si="25"/>
        <v>0</v>
      </c>
      <c r="AQ38" s="74">
        <f t="shared" si="25"/>
        <v>1846.1747</v>
      </c>
      <c r="AR38" s="74">
        <f t="shared" si="25"/>
        <v>0</v>
      </c>
      <c r="AS38" s="74">
        <f t="shared" si="25"/>
        <v>0</v>
      </c>
      <c r="AT38" s="74">
        <f t="shared" si="25"/>
        <v>0</v>
      </c>
      <c r="AU38" s="75">
        <f t="shared" si="25"/>
        <v>-200390.67207369689</v>
      </c>
      <c r="AV38" s="30">
        <f t="shared" si="25"/>
        <v>0</v>
      </c>
      <c r="AW38" s="74">
        <f t="shared" si="25"/>
        <v>0</v>
      </c>
      <c r="AX38" s="143">
        <f t="shared" si="25"/>
        <v>0</v>
      </c>
      <c r="AY38" s="30">
        <f t="shared" si="25"/>
        <v>0</v>
      </c>
      <c r="AZ38" s="74">
        <f t="shared" si="25"/>
        <v>-15009.012550466752</v>
      </c>
      <c r="BA38" s="75">
        <f t="shared" si="25"/>
        <v>-918036.47581257683</v>
      </c>
      <c r="BB38" s="30">
        <f t="shared" ref="BB38:BF38" si="26">SUM(BB29:BB37)</f>
        <v>0</v>
      </c>
      <c r="BC38" s="74">
        <f t="shared" si="26"/>
        <v>0</v>
      </c>
      <c r="BD38" s="74">
        <f t="shared" si="26"/>
        <v>0</v>
      </c>
      <c r="BE38" s="74">
        <f t="shared" si="26"/>
        <v>0</v>
      </c>
      <c r="BF38" s="75">
        <f t="shared" si="26"/>
        <v>0</v>
      </c>
      <c r="BG38" s="12"/>
      <c r="BH38" s="12"/>
      <c r="BI38" s="12"/>
      <c r="BJ38" s="12"/>
      <c r="BK38" s="12"/>
      <c r="BL38" s="12"/>
    </row>
    <row r="39" spans="1:65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12"/>
      <c r="AX39" s="69"/>
      <c r="AY39" s="27"/>
      <c r="AZ39" s="12"/>
      <c r="BA39" s="68"/>
      <c r="BB39" s="27"/>
      <c r="BC39" s="12"/>
      <c r="BD39" s="12"/>
      <c r="BE39" s="12"/>
      <c r="BF39" s="68"/>
      <c r="BG39" s="12"/>
      <c r="BH39" s="12"/>
      <c r="BI39" s="12"/>
      <c r="BJ39" s="12"/>
      <c r="BK39" s="12"/>
      <c r="BL39" s="12"/>
    </row>
    <row r="40" spans="1:65" ht="13.5" thickBot="1" x14ac:dyDescent="0.25">
      <c r="A40" s="14" t="s">
        <v>71</v>
      </c>
      <c r="B40" s="32">
        <f>SUM(C40:BF40)</f>
        <v>10658947.585427174</v>
      </c>
      <c r="C40" s="32">
        <f t="shared" ref="C40:AF40" si="27">C16-C38</f>
        <v>-1770023.9909275265</v>
      </c>
      <c r="D40" s="81">
        <f t="shared" si="27"/>
        <v>26633457.252209429</v>
      </c>
      <c r="E40" s="81">
        <f t="shared" si="27"/>
        <v>-17069.327006691667</v>
      </c>
      <c r="F40" s="144">
        <f t="shared" si="27"/>
        <v>-136542.54179642361</v>
      </c>
      <c r="G40" s="32">
        <f t="shared" si="27"/>
        <v>-297093.82560218166</v>
      </c>
      <c r="H40" s="81">
        <f t="shared" si="27"/>
        <v>0</v>
      </c>
      <c r="I40" s="81">
        <f t="shared" si="27"/>
        <v>154002.88450987008</v>
      </c>
      <c r="J40" s="81">
        <f t="shared" si="27"/>
        <v>0</v>
      </c>
      <c r="K40" s="81">
        <f t="shared" si="27"/>
        <v>-13356.484709469642</v>
      </c>
      <c r="L40" s="82">
        <f t="shared" si="27"/>
        <v>606.58654168849318</v>
      </c>
      <c r="M40" s="32">
        <f t="shared" si="27"/>
        <v>-430973.33828135201</v>
      </c>
      <c r="N40" s="81">
        <f t="shared" si="27"/>
        <v>497130.68734365219</v>
      </c>
      <c r="O40" s="81">
        <f t="shared" si="27"/>
        <v>-1585326.4299616194</v>
      </c>
      <c r="P40" s="81">
        <f t="shared" si="27"/>
        <v>-1048556.2867100647</v>
      </c>
      <c r="Q40" s="81">
        <f t="shared" si="27"/>
        <v>0</v>
      </c>
      <c r="R40" s="82">
        <f t="shared" si="27"/>
        <v>0</v>
      </c>
      <c r="S40" s="32">
        <f t="shared" si="27"/>
        <v>5642038.3509121584</v>
      </c>
      <c r="T40" s="81">
        <f t="shared" si="27"/>
        <v>0</v>
      </c>
      <c r="U40" s="81">
        <f t="shared" si="27"/>
        <v>0</v>
      </c>
      <c r="V40" s="81">
        <f t="shared" si="27"/>
        <v>0</v>
      </c>
      <c r="W40" s="82">
        <f t="shared" si="27"/>
        <v>0</v>
      </c>
      <c r="X40" s="144">
        <f t="shared" si="27"/>
        <v>0</v>
      </c>
      <c r="Y40" s="32">
        <f t="shared" si="27"/>
        <v>0</v>
      </c>
      <c r="Z40" s="81">
        <f t="shared" si="27"/>
        <v>0</v>
      </c>
      <c r="AA40" s="81">
        <f t="shared" si="27"/>
        <v>-5113594.6166090341</v>
      </c>
      <c r="AB40" s="32">
        <f t="shared" si="27"/>
        <v>-1050504.8702744148</v>
      </c>
      <c r="AC40" s="82">
        <f t="shared" si="27"/>
        <v>0</v>
      </c>
      <c r="AD40" s="32">
        <f t="shared" si="27"/>
        <v>-10953810.298519813</v>
      </c>
      <c r="AE40" s="81">
        <f t="shared" si="27"/>
        <v>36485.438572218263</v>
      </c>
      <c r="AF40" s="81">
        <f t="shared" si="27"/>
        <v>0</v>
      </c>
      <c r="AG40" s="81">
        <f t="shared" ref="AG40:BA40" si="28">AG16-AG38</f>
        <v>0</v>
      </c>
      <c r="AH40" s="81">
        <f t="shared" si="28"/>
        <v>-1019511.5900000001</v>
      </c>
      <c r="AI40" s="82">
        <f>AI16-AI38</f>
        <v>0</v>
      </c>
      <c r="AJ40" s="32">
        <f t="shared" si="28"/>
        <v>0</v>
      </c>
      <c r="AK40" s="81">
        <f t="shared" si="28"/>
        <v>0</v>
      </c>
      <c r="AL40" s="32">
        <f t="shared" si="28"/>
        <v>0</v>
      </c>
      <c r="AM40" s="81">
        <f t="shared" si="28"/>
        <v>0</v>
      </c>
      <c r="AN40" s="81">
        <f t="shared" si="28"/>
        <v>0</v>
      </c>
      <c r="AO40" s="82">
        <f t="shared" si="28"/>
        <v>0</v>
      </c>
      <c r="AP40" s="32">
        <f t="shared" si="28"/>
        <v>0</v>
      </c>
      <c r="AQ40" s="81">
        <f t="shared" si="28"/>
        <v>-1846.1747</v>
      </c>
      <c r="AR40" s="81">
        <f t="shared" si="28"/>
        <v>0</v>
      </c>
      <c r="AS40" s="81">
        <f t="shared" si="28"/>
        <v>0</v>
      </c>
      <c r="AT40" s="81">
        <f t="shared" si="28"/>
        <v>0</v>
      </c>
      <c r="AU40" s="82">
        <f t="shared" si="28"/>
        <v>200390.67207369689</v>
      </c>
      <c r="AV40" s="32">
        <f t="shared" si="28"/>
        <v>0</v>
      </c>
      <c r="AW40" s="81">
        <f t="shared" si="28"/>
        <v>0</v>
      </c>
      <c r="AX40" s="144">
        <f t="shared" si="28"/>
        <v>0</v>
      </c>
      <c r="AY40" s="32">
        <f t="shared" si="28"/>
        <v>0</v>
      </c>
      <c r="AZ40" s="81">
        <f t="shared" si="28"/>
        <v>15009.012550466752</v>
      </c>
      <c r="BA40" s="82">
        <f t="shared" si="28"/>
        <v>918036.47581257683</v>
      </c>
      <c r="BB40" s="32">
        <f t="shared" ref="BB40:BF40" si="29">BB16-BB38</f>
        <v>0</v>
      </c>
      <c r="BC40" s="81">
        <f t="shared" si="29"/>
        <v>0</v>
      </c>
      <c r="BD40" s="81">
        <f t="shared" si="29"/>
        <v>0</v>
      </c>
      <c r="BE40" s="81">
        <f t="shared" si="29"/>
        <v>0</v>
      </c>
      <c r="BF40" s="82">
        <f t="shared" si="29"/>
        <v>0</v>
      </c>
      <c r="BG40" s="269"/>
      <c r="BH40" s="269"/>
      <c r="BI40" s="269"/>
      <c r="BJ40" s="269"/>
      <c r="BK40" s="269"/>
      <c r="BL40" s="269"/>
    </row>
    <row r="41" spans="1:65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12"/>
      <c r="AX41" s="69"/>
      <c r="AY41" s="27"/>
      <c r="AZ41" s="12"/>
      <c r="BA41" s="68"/>
      <c r="BB41" s="27"/>
      <c r="BC41" s="12"/>
      <c r="BD41" s="12"/>
      <c r="BE41" s="12"/>
      <c r="BF41" s="68"/>
      <c r="BG41" s="12"/>
      <c r="BH41" s="12"/>
      <c r="BI41" s="12"/>
      <c r="BJ41" s="12"/>
      <c r="BK41" s="12"/>
      <c r="BL41" s="12"/>
    </row>
    <row r="42" spans="1:65" x14ac:dyDescent="0.2">
      <c r="A42" s="14" t="s">
        <v>72</v>
      </c>
      <c r="B42" s="27"/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12"/>
      <c r="AX42" s="69"/>
      <c r="AY42" s="27"/>
      <c r="AZ42" s="12"/>
      <c r="BA42" s="68"/>
      <c r="BB42" s="27"/>
      <c r="BC42" s="12"/>
      <c r="BD42" s="12"/>
      <c r="BE42" s="12"/>
      <c r="BF42" s="68"/>
      <c r="BG42" s="12"/>
      <c r="BH42" s="12"/>
      <c r="BI42" s="12"/>
      <c r="BJ42" s="12"/>
      <c r="BK42" s="12"/>
      <c r="BL42" s="12"/>
    </row>
    <row r="43" spans="1:65" x14ac:dyDescent="0.2">
      <c r="A43" s="14" t="s">
        <v>73</v>
      </c>
      <c r="B43" s="28">
        <f t="shared" ref="B43:B54" si="30">SUM(C43:BF43)</f>
        <v>-337397047.2847805</v>
      </c>
      <c r="C43" s="29"/>
      <c r="D43" s="72"/>
      <c r="E43" s="72"/>
      <c r="F43" s="259"/>
      <c r="G43" s="29"/>
      <c r="H43" s="72"/>
      <c r="I43" s="72"/>
      <c r="J43" s="72"/>
      <c r="K43" s="72"/>
      <c r="L43" s="73"/>
      <c r="M43" s="29"/>
      <c r="N43" s="72"/>
      <c r="O43" s="72"/>
      <c r="P43" s="72"/>
      <c r="Q43" s="72"/>
      <c r="R43" s="73"/>
      <c r="S43" s="29"/>
      <c r="T43" s="72"/>
      <c r="U43" s="72"/>
      <c r="V43" s="72"/>
      <c r="W43" s="73"/>
      <c r="X43" s="259"/>
      <c r="Y43" s="29"/>
      <c r="Z43" s="72"/>
      <c r="AA43" s="72"/>
      <c r="AB43" s="29"/>
      <c r="AC43" s="73"/>
      <c r="AD43" s="29"/>
      <c r="AE43" s="72"/>
      <c r="AF43" s="72"/>
      <c r="AG43" s="72"/>
      <c r="AH43" s="72"/>
      <c r="AI43" s="73"/>
      <c r="AJ43" s="29"/>
      <c r="AK43" s="72"/>
      <c r="AL43" s="29">
        <f>'[20]8.1.6'!$I$34</f>
        <v>30000111.714042757</v>
      </c>
      <c r="AM43" s="72"/>
      <c r="AN43" s="72"/>
      <c r="AO43" s="73"/>
      <c r="AP43" s="29"/>
      <c r="AQ43" s="72"/>
      <c r="AR43" s="72"/>
      <c r="AS43" s="72">
        <v>-17855800.813332476</v>
      </c>
      <c r="AT43" s="72">
        <f>'[12]8.9'!$I$14</f>
        <v>-10948499.351675939</v>
      </c>
      <c r="AU43" s="73">
        <f>SUM('[23]8.10'!$I$15:$I$16)</f>
        <v>-426745.98026253679</v>
      </c>
      <c r="AV43" s="29"/>
      <c r="AW43" s="72"/>
      <c r="AX43" s="259"/>
      <c r="AY43" s="29">
        <f>SUM('[3]10.1'!$I$11,'[3]10.1'!$I$14,'[3]10.1'!$I$20,'[3]10.1'!$I$23)</f>
        <v>-298414624.88005912</v>
      </c>
      <c r="AZ43" s="72">
        <f>'[4]10.2'!$I$10</f>
        <v>-49457131.536262572</v>
      </c>
      <c r="BA43" s="73">
        <f>'[5]10.3'!$I$29</f>
        <v>-29244710.019220922</v>
      </c>
      <c r="BB43" s="29">
        <f>'[6]10.4'!$I$10+'[6]10.4'!$I$16</f>
        <v>38950353.581990331</v>
      </c>
      <c r="BC43" s="72"/>
      <c r="BD43" s="72"/>
      <c r="BE43" s="72"/>
      <c r="BF43" s="73"/>
      <c r="BG43" s="72"/>
      <c r="BH43" s="72"/>
      <c r="BI43" s="72"/>
      <c r="BJ43" s="72"/>
      <c r="BK43" s="72"/>
      <c r="BL43" s="72"/>
    </row>
    <row r="44" spans="1:65" x14ac:dyDescent="0.2">
      <c r="A44" s="14" t="s">
        <v>74</v>
      </c>
      <c r="B44" s="28">
        <f t="shared" si="30"/>
        <v>0</v>
      </c>
      <c r="C44" s="29"/>
      <c r="D44" s="72"/>
      <c r="E44" s="72"/>
      <c r="F44" s="259"/>
      <c r="G44" s="29"/>
      <c r="H44" s="72"/>
      <c r="I44" s="72"/>
      <c r="J44" s="72"/>
      <c r="K44" s="72"/>
      <c r="L44" s="73"/>
      <c r="M44" s="29"/>
      <c r="N44" s="72"/>
      <c r="O44" s="72"/>
      <c r="P44" s="72"/>
      <c r="Q44" s="72"/>
      <c r="R44" s="73"/>
      <c r="S44" s="29"/>
      <c r="T44" s="72"/>
      <c r="U44" s="72"/>
      <c r="V44" s="72"/>
      <c r="W44" s="73"/>
      <c r="X44" s="259"/>
      <c r="Y44" s="29"/>
      <c r="Z44" s="72"/>
      <c r="AA44" s="72"/>
      <c r="AB44" s="29"/>
      <c r="AC44" s="73"/>
      <c r="AD44" s="29"/>
      <c r="AE44" s="72"/>
      <c r="AF44" s="72"/>
      <c r="AG44" s="72"/>
      <c r="AH44" s="72"/>
      <c r="AI44" s="73"/>
      <c r="AJ44" s="29"/>
      <c r="AK44" s="72"/>
      <c r="AL44" s="29"/>
      <c r="AM44" s="72"/>
      <c r="AN44" s="72"/>
      <c r="AO44" s="73"/>
      <c r="AP44" s="29"/>
      <c r="AQ44" s="72"/>
      <c r="AR44" s="72"/>
      <c r="AS44" s="72"/>
      <c r="AT44" s="72"/>
      <c r="AU44" s="73"/>
      <c r="AV44" s="29"/>
      <c r="AW44" s="72"/>
      <c r="AX44" s="259"/>
      <c r="AY44" s="29"/>
      <c r="AZ44" s="72"/>
      <c r="BA44" s="73"/>
      <c r="BB44" s="29"/>
      <c r="BC44" s="72"/>
      <c r="BD44" s="72"/>
      <c r="BE44" s="72"/>
      <c r="BF44" s="73"/>
      <c r="BG44" s="72"/>
      <c r="BH44" s="72"/>
      <c r="BI44" s="72"/>
      <c r="BJ44" s="72"/>
      <c r="BK44" s="72"/>
      <c r="BL44" s="72"/>
    </row>
    <row r="45" spans="1:65" x14ac:dyDescent="0.2">
      <c r="A45" s="14" t="s">
        <v>75</v>
      </c>
      <c r="B45" s="28">
        <f t="shared" si="30"/>
        <v>-9959813.7233746424</v>
      </c>
      <c r="C45" s="29"/>
      <c r="D45" s="72"/>
      <c r="E45" s="72"/>
      <c r="F45" s="259"/>
      <c r="G45" s="29"/>
      <c r="H45" s="72"/>
      <c r="I45" s="72"/>
      <c r="J45" s="72"/>
      <c r="K45" s="72"/>
      <c r="L45" s="73"/>
      <c r="M45" s="29"/>
      <c r="N45" s="72"/>
      <c r="O45" s="72"/>
      <c r="P45" s="72"/>
      <c r="Q45" s="72"/>
      <c r="R45" s="73"/>
      <c r="S45" s="29"/>
      <c r="T45" s="72"/>
      <c r="U45" s="72"/>
      <c r="V45" s="72"/>
      <c r="W45" s="73"/>
      <c r="X45" s="259"/>
      <c r="Y45" s="29"/>
      <c r="Z45" s="72"/>
      <c r="AA45" s="72"/>
      <c r="AB45" s="29"/>
      <c r="AC45" s="73"/>
      <c r="AD45" s="29"/>
      <c r="AE45" s="72"/>
      <c r="AF45" s="72"/>
      <c r="AG45" s="72"/>
      <c r="AH45" s="72"/>
      <c r="AI45" s="73"/>
      <c r="AJ45" s="29"/>
      <c r="AK45" s="72"/>
      <c r="AL45" s="29"/>
      <c r="AM45" s="72"/>
      <c r="AN45" s="72"/>
      <c r="AO45" s="73"/>
      <c r="AP45" s="29">
        <f>SUM('[15]8.5 - 8.5.1'!$I$79,'[15]8.5 - 8.5.1'!$I$95)</f>
        <v>-9959813.7233746424</v>
      </c>
      <c r="AQ45" s="72"/>
      <c r="AR45" s="72"/>
      <c r="AS45" s="72"/>
      <c r="AT45" s="72"/>
      <c r="AU45" s="73"/>
      <c r="AV45" s="29"/>
      <c r="AW45" s="72"/>
      <c r="AX45" s="259"/>
      <c r="AY45" s="29"/>
      <c r="AZ45" s="72"/>
      <c r="BA45" s="73"/>
      <c r="BB45" s="29">
        <f>'[6]10.4'!$I$11+'[6]10.4'!$I$17</f>
        <v>0</v>
      </c>
      <c r="BC45" s="72"/>
      <c r="BD45" s="72"/>
      <c r="BE45" s="72"/>
      <c r="BF45" s="73"/>
      <c r="BG45" s="72"/>
      <c r="BH45" s="72"/>
      <c r="BI45" s="72"/>
      <c r="BJ45" s="72"/>
      <c r="BK45" s="72"/>
      <c r="BL45" s="72"/>
    </row>
    <row r="46" spans="1:65" x14ac:dyDescent="0.2">
      <c r="A46" s="14" t="s">
        <v>76</v>
      </c>
      <c r="B46" s="28">
        <f t="shared" si="30"/>
        <v>0</v>
      </c>
      <c r="C46" s="29"/>
      <c r="D46" s="72"/>
      <c r="E46" s="72"/>
      <c r="F46" s="259"/>
      <c r="G46" s="29"/>
      <c r="H46" s="72"/>
      <c r="I46" s="72"/>
      <c r="J46" s="72"/>
      <c r="K46" s="72"/>
      <c r="L46" s="73"/>
      <c r="M46" s="29"/>
      <c r="N46" s="72"/>
      <c r="O46" s="72"/>
      <c r="P46" s="72"/>
      <c r="Q46" s="72"/>
      <c r="R46" s="73"/>
      <c r="S46" s="29"/>
      <c r="T46" s="72"/>
      <c r="U46" s="72"/>
      <c r="V46" s="72"/>
      <c r="W46" s="73"/>
      <c r="X46" s="259"/>
      <c r="Y46" s="29"/>
      <c r="Z46" s="72"/>
      <c r="AA46" s="72"/>
      <c r="AB46" s="29"/>
      <c r="AC46" s="73"/>
      <c r="AD46" s="29"/>
      <c r="AE46" s="72"/>
      <c r="AF46" s="72"/>
      <c r="AG46" s="72"/>
      <c r="AH46" s="72"/>
      <c r="AI46" s="73"/>
      <c r="AJ46" s="29"/>
      <c r="AK46" s="72"/>
      <c r="AL46" s="29"/>
      <c r="AM46" s="72"/>
      <c r="AN46" s="72"/>
      <c r="AO46" s="73"/>
      <c r="AP46" s="29"/>
      <c r="AQ46" s="72"/>
      <c r="AR46" s="72"/>
      <c r="AS46" s="72"/>
      <c r="AT46" s="72"/>
      <c r="AU46" s="73"/>
      <c r="AV46" s="29"/>
      <c r="AW46" s="72"/>
      <c r="AX46" s="259"/>
      <c r="AY46" s="29"/>
      <c r="AZ46" s="72"/>
      <c r="BA46" s="73"/>
      <c r="BB46" s="29"/>
      <c r="BC46" s="72"/>
      <c r="BD46" s="72"/>
      <c r="BE46" s="72"/>
      <c r="BF46" s="73"/>
      <c r="BG46" s="72"/>
      <c r="BH46" s="72"/>
      <c r="BI46" s="72"/>
      <c r="BJ46" s="72"/>
      <c r="BK46" s="72"/>
      <c r="BL46" s="72"/>
    </row>
    <row r="47" spans="1:65" x14ac:dyDescent="0.2">
      <c r="A47" s="14" t="s">
        <v>77</v>
      </c>
      <c r="B47" s="28">
        <f t="shared" si="30"/>
        <v>0</v>
      </c>
      <c r="C47" s="29"/>
      <c r="D47" s="72"/>
      <c r="E47" s="72"/>
      <c r="F47" s="259"/>
      <c r="G47" s="29"/>
      <c r="H47" s="72"/>
      <c r="I47" s="72"/>
      <c r="J47" s="72"/>
      <c r="K47" s="72"/>
      <c r="L47" s="73"/>
      <c r="M47" s="29"/>
      <c r="N47" s="72"/>
      <c r="O47" s="72"/>
      <c r="P47" s="72"/>
      <c r="Q47" s="72"/>
      <c r="R47" s="73"/>
      <c r="S47" s="29"/>
      <c r="T47" s="72"/>
      <c r="U47" s="72"/>
      <c r="V47" s="72"/>
      <c r="W47" s="73"/>
      <c r="X47" s="259"/>
      <c r="Y47" s="29"/>
      <c r="Z47" s="72"/>
      <c r="AA47" s="72"/>
      <c r="AB47" s="29"/>
      <c r="AC47" s="73"/>
      <c r="AD47" s="29"/>
      <c r="AE47" s="72"/>
      <c r="AF47" s="72"/>
      <c r="AG47" s="72"/>
      <c r="AH47" s="72"/>
      <c r="AI47" s="73"/>
      <c r="AJ47" s="29"/>
      <c r="AK47" s="72"/>
      <c r="AL47" s="29"/>
      <c r="AM47" s="72"/>
      <c r="AN47" s="72"/>
      <c r="AO47" s="73"/>
      <c r="AP47" s="29"/>
      <c r="AQ47" s="72"/>
      <c r="AR47" s="72"/>
      <c r="AS47" s="72"/>
      <c r="AT47" s="72"/>
      <c r="AU47" s="73"/>
      <c r="AV47" s="29"/>
      <c r="AW47" s="72"/>
      <c r="AX47" s="259"/>
      <c r="AY47" s="29"/>
      <c r="AZ47" s="72"/>
      <c r="BA47" s="73"/>
      <c r="BB47" s="29"/>
      <c r="BC47" s="72"/>
      <c r="BD47" s="72"/>
      <c r="BE47" s="72"/>
      <c r="BF47" s="73"/>
      <c r="BG47" s="72"/>
      <c r="BH47" s="72"/>
      <c r="BI47" s="72"/>
      <c r="BJ47" s="72"/>
      <c r="BK47" s="72"/>
      <c r="BL47" s="72"/>
    </row>
    <row r="48" spans="1:65" x14ac:dyDescent="0.2">
      <c r="A48" s="14" t="s">
        <v>78</v>
      </c>
      <c r="B48" s="28">
        <f t="shared" si="30"/>
        <v>-3284761.1438008333</v>
      </c>
      <c r="C48" s="29"/>
      <c r="D48" s="72"/>
      <c r="E48" s="72"/>
      <c r="F48" s="259"/>
      <c r="G48" s="29"/>
      <c r="H48" s="72"/>
      <c r="I48" s="72"/>
      <c r="J48" s="72"/>
      <c r="K48" s="72"/>
      <c r="L48" s="73"/>
      <c r="M48" s="29"/>
      <c r="N48" s="72"/>
      <c r="O48" s="72"/>
      <c r="P48" s="72"/>
      <c r="Q48" s="72"/>
      <c r="R48" s="73"/>
      <c r="S48" s="29"/>
      <c r="T48" s="72"/>
      <c r="U48" s="72"/>
      <c r="V48" s="72"/>
      <c r="W48" s="73"/>
      <c r="X48" s="259"/>
      <c r="Y48" s="29"/>
      <c r="Z48" s="72"/>
      <c r="AA48" s="72"/>
      <c r="AB48" s="29"/>
      <c r="AC48" s="73"/>
      <c r="AD48" s="29"/>
      <c r="AE48" s="72"/>
      <c r="AF48" s="72"/>
      <c r="AG48" s="72"/>
      <c r="AH48" s="72"/>
      <c r="AI48" s="73"/>
      <c r="AJ48" s="29"/>
      <c r="AK48" s="72"/>
      <c r="AL48" s="29"/>
      <c r="AM48" s="72"/>
      <c r="AN48" s="72"/>
      <c r="AO48" s="73"/>
      <c r="AP48" s="29">
        <f>'[15]8.5 - 8.5.1'!$I$53</f>
        <v>-3284761.1438008333</v>
      </c>
      <c r="AQ48" s="72"/>
      <c r="AR48" s="72"/>
      <c r="AS48" s="72"/>
      <c r="AT48" s="72"/>
      <c r="AU48" s="73"/>
      <c r="AV48" s="29"/>
      <c r="AW48" s="72"/>
      <c r="AX48" s="259"/>
      <c r="AY48" s="29"/>
      <c r="AZ48" s="72"/>
      <c r="BA48" s="73"/>
      <c r="BB48" s="29"/>
      <c r="BC48" s="72"/>
      <c r="BD48" s="72"/>
      <c r="BE48" s="72"/>
      <c r="BF48" s="73"/>
      <c r="BG48" s="72"/>
      <c r="BH48" s="72"/>
      <c r="BI48" s="72"/>
      <c r="BJ48" s="72"/>
      <c r="BK48" s="72"/>
      <c r="BL48" s="72"/>
    </row>
    <row r="49" spans="1:64" x14ac:dyDescent="0.2">
      <c r="A49" s="14" t="s">
        <v>79</v>
      </c>
      <c r="B49" s="28">
        <f t="shared" si="30"/>
        <v>-9196314.6827737149</v>
      </c>
      <c r="C49" s="29"/>
      <c r="D49" s="72"/>
      <c r="E49" s="72"/>
      <c r="F49" s="259"/>
      <c r="G49" s="29"/>
      <c r="H49" s="72"/>
      <c r="I49" s="72"/>
      <c r="J49" s="72"/>
      <c r="K49" s="72"/>
      <c r="L49" s="73"/>
      <c r="M49" s="29"/>
      <c r="N49" s="72"/>
      <c r="O49" s="72"/>
      <c r="P49" s="72"/>
      <c r="Q49" s="72"/>
      <c r="R49" s="73"/>
      <c r="S49" s="29"/>
      <c r="T49" s="72"/>
      <c r="U49" s="72"/>
      <c r="V49" s="72"/>
      <c r="W49" s="73"/>
      <c r="X49" s="259"/>
      <c r="Y49" s="29"/>
      <c r="Z49" s="72"/>
      <c r="AA49" s="72"/>
      <c r="AB49" s="29"/>
      <c r="AC49" s="73"/>
      <c r="AD49" s="29"/>
      <c r="AE49" s="72"/>
      <c r="AF49" s="72"/>
      <c r="AG49" s="72"/>
      <c r="AH49" s="72"/>
      <c r="AI49" s="73"/>
      <c r="AJ49" s="29"/>
      <c r="AK49" s="72"/>
      <c r="AL49" s="29"/>
      <c r="AM49" s="72"/>
      <c r="AN49" s="72"/>
      <c r="AO49" s="73"/>
      <c r="AP49" s="29">
        <f>'[15]8.5 - 8.5.1'!$I$23</f>
        <v>-9196314.6827737149</v>
      </c>
      <c r="AQ49" s="72"/>
      <c r="AR49" s="72"/>
      <c r="AS49" s="72"/>
      <c r="AT49" s="72"/>
      <c r="AU49" s="73"/>
      <c r="AV49" s="29"/>
      <c r="AW49" s="72"/>
      <c r="AX49" s="259"/>
      <c r="AY49" s="29"/>
      <c r="AZ49" s="72"/>
      <c r="BA49" s="73"/>
      <c r="BB49" s="29"/>
      <c r="BC49" s="72"/>
      <c r="BD49" s="72"/>
      <c r="BE49" s="72"/>
      <c r="BF49" s="73"/>
      <c r="BG49" s="72"/>
      <c r="BH49" s="72"/>
      <c r="BI49" s="72"/>
      <c r="BJ49" s="72"/>
      <c r="BK49" s="72"/>
      <c r="BL49" s="72"/>
    </row>
    <row r="50" spans="1:64" x14ac:dyDescent="0.2">
      <c r="A50" s="14" t="s">
        <v>80</v>
      </c>
      <c r="B50" s="28">
        <f t="shared" si="30"/>
        <v>-12260466.638721503</v>
      </c>
      <c r="C50" s="29"/>
      <c r="D50" s="72"/>
      <c r="E50" s="72"/>
      <c r="F50" s="259"/>
      <c r="G50" s="29"/>
      <c r="H50" s="72"/>
      <c r="I50" s="72"/>
      <c r="J50" s="72"/>
      <c r="K50" s="72"/>
      <c r="L50" s="73"/>
      <c r="M50" s="29"/>
      <c r="N50" s="72"/>
      <c r="O50" s="72"/>
      <c r="P50" s="72"/>
      <c r="Q50" s="72"/>
      <c r="R50" s="73"/>
      <c r="S50" s="29"/>
      <c r="T50" s="72"/>
      <c r="U50" s="72"/>
      <c r="V50" s="72"/>
      <c r="W50" s="73"/>
      <c r="X50" s="259"/>
      <c r="Y50" s="29"/>
      <c r="Z50" s="72"/>
      <c r="AA50" s="72"/>
      <c r="AB50" s="29"/>
      <c r="AC50" s="73"/>
      <c r="AD50" s="29"/>
      <c r="AE50" s="72"/>
      <c r="AF50" s="72"/>
      <c r="AG50" s="72"/>
      <c r="AH50" s="72"/>
      <c r="AI50" s="73"/>
      <c r="AJ50" s="29"/>
      <c r="AK50" s="72"/>
      <c r="AL50" s="29"/>
      <c r="AM50" s="72"/>
      <c r="AN50" s="72"/>
      <c r="AO50" s="73"/>
      <c r="AP50" s="29">
        <f>'[15]8.5 - 8.5.1'!$I$38</f>
        <v>-12260466.638721503</v>
      </c>
      <c r="AQ50" s="72"/>
      <c r="AR50" s="72"/>
      <c r="AS50" s="72"/>
      <c r="AT50" s="72"/>
      <c r="AU50" s="73"/>
      <c r="AV50" s="29"/>
      <c r="AW50" s="72"/>
      <c r="AX50" s="259"/>
      <c r="AY50" s="29"/>
      <c r="AZ50" s="72"/>
      <c r="BA50" s="73"/>
      <c r="BB50" s="29"/>
      <c r="BC50" s="72"/>
      <c r="BD50" s="72"/>
      <c r="BE50" s="72"/>
      <c r="BF50" s="73"/>
      <c r="BG50" s="72"/>
      <c r="BH50" s="72"/>
      <c r="BI50" s="72"/>
      <c r="BJ50" s="72"/>
      <c r="BK50" s="72"/>
      <c r="BL50" s="72"/>
    </row>
    <row r="51" spans="1:64" x14ac:dyDescent="0.2">
      <c r="A51" s="14" t="s">
        <v>81</v>
      </c>
      <c r="B51" s="28">
        <f t="shared" si="30"/>
        <v>27126509.002465546</v>
      </c>
      <c r="C51" s="29"/>
      <c r="D51" s="72"/>
      <c r="E51" s="72"/>
      <c r="F51" s="259"/>
      <c r="G51" s="29"/>
      <c r="H51" s="72"/>
      <c r="I51" s="72"/>
      <c r="J51" s="72"/>
      <c r="K51" s="72"/>
      <c r="L51" s="73"/>
      <c r="M51" s="29"/>
      <c r="N51" s="72"/>
      <c r="O51" s="72"/>
      <c r="P51" s="72"/>
      <c r="Q51" s="72"/>
      <c r="R51" s="73"/>
      <c r="S51" s="29"/>
      <c r="T51" s="72"/>
      <c r="U51" s="72"/>
      <c r="V51" s="72"/>
      <c r="W51" s="73"/>
      <c r="X51" s="259"/>
      <c r="Y51" s="29"/>
      <c r="Z51" s="72"/>
      <c r="AA51" s="72"/>
      <c r="AB51" s="29"/>
      <c r="AC51" s="73"/>
      <c r="AD51" s="29"/>
      <c r="AE51" s="72"/>
      <c r="AF51" s="72"/>
      <c r="AG51" s="72"/>
      <c r="AH51" s="72"/>
      <c r="AI51" s="73"/>
      <c r="AJ51" s="29"/>
      <c r="AK51" s="72"/>
      <c r="AL51" s="29"/>
      <c r="AM51" s="72"/>
      <c r="AN51" s="72"/>
      <c r="AO51" s="73"/>
      <c r="AP51" s="29">
        <f>'[15]8.5 - 8.5.1'!$I$18</f>
        <v>-2747159.4147250163</v>
      </c>
      <c r="AQ51" s="72"/>
      <c r="AR51" s="72">
        <f>'[13]8.7'!$I$11</f>
        <v>29873668.417190563</v>
      </c>
      <c r="AS51" s="72"/>
      <c r="AT51" s="72"/>
      <c r="AU51" s="73"/>
      <c r="AV51" s="29"/>
      <c r="AW51" s="72"/>
      <c r="AX51" s="259"/>
      <c r="AY51" s="29"/>
      <c r="AZ51" s="72"/>
      <c r="BA51" s="73"/>
      <c r="BB51" s="29"/>
      <c r="BC51" s="72"/>
      <c r="BD51" s="72"/>
      <c r="BE51" s="72"/>
      <c r="BF51" s="73"/>
      <c r="BG51" s="72"/>
      <c r="BH51" s="72"/>
      <c r="BI51" s="72"/>
      <c r="BJ51" s="72"/>
      <c r="BK51" s="72"/>
      <c r="BL51" s="72"/>
    </row>
    <row r="52" spans="1:64" x14ac:dyDescent="0.2">
      <c r="A52" s="14" t="s">
        <v>82</v>
      </c>
      <c r="B52" s="28">
        <f t="shared" si="30"/>
        <v>0</v>
      </c>
      <c r="C52" s="29"/>
      <c r="D52" s="72"/>
      <c r="E52" s="72"/>
      <c r="F52" s="259"/>
      <c r="G52" s="29"/>
      <c r="H52" s="72"/>
      <c r="I52" s="72"/>
      <c r="J52" s="72"/>
      <c r="K52" s="72"/>
      <c r="L52" s="73"/>
      <c r="M52" s="29"/>
      <c r="N52" s="72"/>
      <c r="O52" s="72"/>
      <c r="P52" s="72"/>
      <c r="Q52" s="72"/>
      <c r="R52" s="73"/>
      <c r="S52" s="29"/>
      <c r="T52" s="72"/>
      <c r="U52" s="72"/>
      <c r="V52" s="72"/>
      <c r="W52" s="73"/>
      <c r="X52" s="259"/>
      <c r="Y52" s="29"/>
      <c r="Z52" s="72"/>
      <c r="AA52" s="72"/>
      <c r="AB52" s="29"/>
      <c r="AC52" s="73"/>
      <c r="AD52" s="29"/>
      <c r="AE52" s="72"/>
      <c r="AF52" s="72"/>
      <c r="AG52" s="72"/>
      <c r="AH52" s="72"/>
      <c r="AI52" s="73"/>
      <c r="AJ52" s="29"/>
      <c r="AK52" s="72"/>
      <c r="AL52" s="29"/>
      <c r="AM52" s="72"/>
      <c r="AN52" s="72"/>
      <c r="AO52" s="73"/>
      <c r="AP52" s="29"/>
      <c r="AQ52" s="72"/>
      <c r="AR52" s="72"/>
      <c r="AS52" s="72"/>
      <c r="AT52" s="72"/>
      <c r="AU52" s="73"/>
      <c r="AV52" s="29"/>
      <c r="AW52" s="72"/>
      <c r="AX52" s="259"/>
      <c r="AY52" s="29"/>
      <c r="AZ52" s="72"/>
      <c r="BA52" s="73"/>
      <c r="BB52" s="29"/>
      <c r="BC52" s="72"/>
      <c r="BD52" s="72"/>
      <c r="BE52" s="72"/>
      <c r="BF52" s="73"/>
      <c r="BG52" s="72"/>
      <c r="BH52" s="72"/>
      <c r="BI52" s="72"/>
      <c r="BJ52" s="72"/>
      <c r="BK52" s="72"/>
      <c r="BL52" s="72"/>
    </row>
    <row r="53" spans="1:64" x14ac:dyDescent="0.2">
      <c r="A53" s="14" t="s">
        <v>83</v>
      </c>
      <c r="B53" s="28">
        <f t="shared" si="30"/>
        <v>0</v>
      </c>
      <c r="C53" s="29"/>
      <c r="D53" s="72"/>
      <c r="E53" s="72"/>
      <c r="F53" s="259"/>
      <c r="G53" s="29"/>
      <c r="H53" s="72"/>
      <c r="I53" s="72"/>
      <c r="J53" s="72"/>
      <c r="K53" s="72"/>
      <c r="L53" s="73"/>
      <c r="M53" s="29"/>
      <c r="N53" s="72"/>
      <c r="O53" s="72"/>
      <c r="P53" s="72"/>
      <c r="Q53" s="72"/>
      <c r="R53" s="73"/>
      <c r="S53" s="29"/>
      <c r="T53" s="72"/>
      <c r="U53" s="72"/>
      <c r="V53" s="72"/>
      <c r="W53" s="73"/>
      <c r="X53" s="259"/>
      <c r="Y53" s="29"/>
      <c r="Z53" s="72"/>
      <c r="AA53" s="72"/>
      <c r="AB53" s="29"/>
      <c r="AC53" s="73"/>
      <c r="AD53" s="29"/>
      <c r="AE53" s="72"/>
      <c r="AF53" s="72"/>
      <c r="AG53" s="72"/>
      <c r="AH53" s="72"/>
      <c r="AI53" s="73"/>
      <c r="AJ53" s="29"/>
      <c r="AK53" s="72"/>
      <c r="AL53" s="29"/>
      <c r="AM53" s="72"/>
      <c r="AN53" s="72"/>
      <c r="AO53" s="73"/>
      <c r="AP53" s="29"/>
      <c r="AQ53" s="72"/>
      <c r="AR53" s="72"/>
      <c r="AS53" s="72"/>
      <c r="AT53" s="72"/>
      <c r="AU53" s="73"/>
      <c r="AV53" s="29"/>
      <c r="AW53" s="72"/>
      <c r="AX53" s="259"/>
      <c r="AY53" s="29"/>
      <c r="AZ53" s="72"/>
      <c r="BA53" s="73"/>
      <c r="BB53" s="29"/>
      <c r="BC53" s="72"/>
      <c r="BD53" s="72"/>
      <c r="BE53" s="72"/>
      <c r="BF53" s="73"/>
      <c r="BG53" s="72"/>
      <c r="BH53" s="72"/>
      <c r="BI53" s="72"/>
      <c r="BJ53" s="72"/>
      <c r="BK53" s="72"/>
      <c r="BL53" s="72"/>
    </row>
    <row r="54" spans="1:64" x14ac:dyDescent="0.2">
      <c r="A54" s="14" t="s">
        <v>84</v>
      </c>
      <c r="B54" s="33">
        <f t="shared" si="30"/>
        <v>-344971894.47098565</v>
      </c>
      <c r="C54" s="33">
        <f>SUM(C43:C53)</f>
        <v>0</v>
      </c>
      <c r="D54" s="83">
        <f t="shared" ref="D54:AV54" si="31">SUM(D43:D53)</f>
        <v>0</v>
      </c>
      <c r="E54" s="83">
        <f t="shared" ref="E54" si="32">SUM(E43:E53)</f>
        <v>0</v>
      </c>
      <c r="F54" s="145">
        <f t="shared" si="31"/>
        <v>0</v>
      </c>
      <c r="G54" s="33">
        <f t="shared" si="31"/>
        <v>0</v>
      </c>
      <c r="H54" s="83">
        <f t="shared" si="31"/>
        <v>0</v>
      </c>
      <c r="I54" s="83">
        <f t="shared" si="31"/>
        <v>0</v>
      </c>
      <c r="J54" s="83">
        <f t="shared" ref="J54:K54" si="33">SUM(J43:J53)</f>
        <v>0</v>
      </c>
      <c r="K54" s="83">
        <f t="shared" si="33"/>
        <v>0</v>
      </c>
      <c r="L54" s="84">
        <f t="shared" si="31"/>
        <v>0</v>
      </c>
      <c r="M54" s="33">
        <f t="shared" si="31"/>
        <v>0</v>
      </c>
      <c r="N54" s="83">
        <f t="shared" ref="N54:Q54" si="34">SUM(N43:N53)</f>
        <v>0</v>
      </c>
      <c r="O54" s="83">
        <f t="shared" si="34"/>
        <v>0</v>
      </c>
      <c r="P54" s="83">
        <f t="shared" si="34"/>
        <v>0</v>
      </c>
      <c r="Q54" s="83">
        <f t="shared" si="34"/>
        <v>0</v>
      </c>
      <c r="R54" s="84">
        <f t="shared" ref="R54:AA54" si="35">SUM(R43:R53)</f>
        <v>0</v>
      </c>
      <c r="S54" s="33">
        <f t="shared" si="35"/>
        <v>0</v>
      </c>
      <c r="T54" s="83">
        <f t="shared" si="35"/>
        <v>0</v>
      </c>
      <c r="U54" s="83">
        <f t="shared" ref="U54:W54" si="36">SUM(U43:U53)</f>
        <v>0</v>
      </c>
      <c r="V54" s="83">
        <f t="shared" si="36"/>
        <v>0</v>
      </c>
      <c r="W54" s="84">
        <f t="shared" si="36"/>
        <v>0</v>
      </c>
      <c r="X54" s="145">
        <f t="shared" ref="X54:Y54" si="37">SUM(X43:X53)</f>
        <v>0</v>
      </c>
      <c r="Y54" s="33">
        <f t="shared" si="37"/>
        <v>0</v>
      </c>
      <c r="Z54" s="83">
        <f t="shared" ref="Z54" si="38">SUM(Z43:Z53)</f>
        <v>0</v>
      </c>
      <c r="AA54" s="83">
        <f t="shared" si="35"/>
        <v>0</v>
      </c>
      <c r="AB54" s="33">
        <f t="shared" si="31"/>
        <v>0</v>
      </c>
      <c r="AC54" s="84">
        <f t="shared" ref="AC54" si="39">SUM(AC43:AC53)</f>
        <v>0</v>
      </c>
      <c r="AD54" s="33">
        <f t="shared" si="31"/>
        <v>0</v>
      </c>
      <c r="AE54" s="83">
        <f t="shared" ref="AE54" si="40">SUM(AE43:AE53)</f>
        <v>0</v>
      </c>
      <c r="AF54" s="83">
        <f t="shared" si="31"/>
        <v>0</v>
      </c>
      <c r="AG54" s="83">
        <f t="shared" si="31"/>
        <v>0</v>
      </c>
      <c r="AH54" s="83">
        <f t="shared" ref="AH54" si="41">SUM(AH43:AH53)</f>
        <v>0</v>
      </c>
      <c r="AI54" s="84">
        <f>SUM(AI43:AI53)</f>
        <v>0</v>
      </c>
      <c r="AJ54" s="33">
        <f t="shared" ref="AJ54:AK54" si="42">SUM(AJ43:AJ53)</f>
        <v>0</v>
      </c>
      <c r="AK54" s="83">
        <f t="shared" si="42"/>
        <v>0</v>
      </c>
      <c r="AL54" s="33">
        <f t="shared" si="31"/>
        <v>30000111.714042757</v>
      </c>
      <c r="AM54" s="83">
        <f t="shared" si="31"/>
        <v>0</v>
      </c>
      <c r="AN54" s="83">
        <f t="shared" si="31"/>
        <v>0</v>
      </c>
      <c r="AO54" s="84">
        <f t="shared" si="31"/>
        <v>0</v>
      </c>
      <c r="AP54" s="33">
        <f t="shared" ref="AP54" si="43">SUM(AP43:AP53)</f>
        <v>-37448515.603395708</v>
      </c>
      <c r="AQ54" s="83">
        <f t="shared" ref="AQ54" si="44">SUM(AQ43:AQ53)</f>
        <v>0</v>
      </c>
      <c r="AR54" s="83">
        <f t="shared" si="31"/>
        <v>29873668.417190563</v>
      </c>
      <c r="AS54" s="83">
        <f t="shared" si="31"/>
        <v>-17855800.813332476</v>
      </c>
      <c r="AT54" s="83">
        <f t="shared" si="31"/>
        <v>-10948499.351675939</v>
      </c>
      <c r="AU54" s="84">
        <f t="shared" ref="AU54" si="45">SUM(AU43:AU53)</f>
        <v>-426745.98026253679</v>
      </c>
      <c r="AV54" s="33">
        <f t="shared" si="31"/>
        <v>0</v>
      </c>
      <c r="AW54" s="83">
        <f>SUM(AW43:AW53)</f>
        <v>0</v>
      </c>
      <c r="AX54" s="145">
        <f>SUM(AX43:AX53)</f>
        <v>0</v>
      </c>
      <c r="AY54" s="33">
        <f t="shared" ref="AY54:BF54" si="46">SUM(AY43:AY53)</f>
        <v>-298414624.88005912</v>
      </c>
      <c r="AZ54" s="83">
        <f t="shared" si="46"/>
        <v>-49457131.536262572</v>
      </c>
      <c r="BA54" s="84">
        <f t="shared" si="46"/>
        <v>-29244710.019220922</v>
      </c>
      <c r="BB54" s="33">
        <f t="shared" si="46"/>
        <v>38950353.581990331</v>
      </c>
      <c r="BC54" s="83">
        <f t="shared" si="46"/>
        <v>0</v>
      </c>
      <c r="BD54" s="83">
        <f t="shared" si="46"/>
        <v>0</v>
      </c>
      <c r="BE54" s="83">
        <f t="shared" si="46"/>
        <v>0</v>
      </c>
      <c r="BF54" s="84">
        <f t="shared" si="46"/>
        <v>0</v>
      </c>
      <c r="BG54" s="70"/>
      <c r="BH54" s="70"/>
      <c r="BI54" s="70"/>
      <c r="BJ54" s="70"/>
      <c r="BK54" s="70"/>
      <c r="BL54" s="70"/>
    </row>
    <row r="55" spans="1:64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12"/>
      <c r="AX55" s="69"/>
      <c r="AY55" s="27"/>
      <c r="AZ55" s="12"/>
      <c r="BA55" s="68"/>
      <c r="BB55" s="27"/>
      <c r="BC55" s="12"/>
      <c r="BD55" s="12"/>
      <c r="BE55" s="12"/>
      <c r="BF55" s="68"/>
      <c r="BG55" s="12"/>
      <c r="BH55" s="12"/>
      <c r="BI55" s="12"/>
      <c r="BJ55" s="12"/>
      <c r="BK55" s="12"/>
      <c r="BL55" s="12"/>
    </row>
    <row r="56" spans="1:64" x14ac:dyDescent="0.2">
      <c r="A56" s="14" t="s">
        <v>85</v>
      </c>
      <c r="B56" s="27"/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12"/>
      <c r="AX56" s="69"/>
      <c r="AY56" s="27"/>
      <c r="AZ56" s="12"/>
      <c r="BA56" s="68"/>
      <c r="BB56" s="27"/>
      <c r="BC56" s="12"/>
      <c r="BD56" s="12"/>
      <c r="BE56" s="12"/>
      <c r="BF56" s="68"/>
      <c r="BG56" s="12"/>
      <c r="BH56" s="12"/>
      <c r="BI56" s="12"/>
      <c r="BJ56" s="12"/>
      <c r="BK56" s="12"/>
      <c r="BL56" s="12"/>
    </row>
    <row r="57" spans="1:64" x14ac:dyDescent="0.2">
      <c r="A57" s="14" t="s">
        <v>86</v>
      </c>
      <c r="B57" s="28">
        <f t="shared" ref="B57:B65" si="47">SUM(C57:BF57)</f>
        <v>142190073.21610382</v>
      </c>
      <c r="C57" s="29"/>
      <c r="D57" s="72"/>
      <c r="E57" s="72"/>
      <c r="F57" s="259"/>
      <c r="G57" s="29"/>
      <c r="H57" s="72"/>
      <c r="I57" s="72"/>
      <c r="J57" s="72"/>
      <c r="K57" s="72"/>
      <c r="L57" s="73"/>
      <c r="M57" s="29"/>
      <c r="N57" s="72"/>
      <c r="O57" s="72"/>
      <c r="P57" s="72"/>
      <c r="Q57" s="72"/>
      <c r="R57" s="73"/>
      <c r="S57" s="29"/>
      <c r="T57" s="72"/>
      <c r="U57" s="72"/>
      <c r="V57" s="72"/>
      <c r="W57" s="73"/>
      <c r="X57" s="259"/>
      <c r="Y57" s="29"/>
      <c r="Z57" s="72">
        <f>'[33]6.3.3'!$I$32-Z58</f>
        <v>-26352745.329160132</v>
      </c>
      <c r="AA57" s="72"/>
      <c r="AB57" s="29"/>
      <c r="AC57" s="73"/>
      <c r="AD57" s="29"/>
      <c r="AE57" s="72"/>
      <c r="AF57" s="72"/>
      <c r="AG57" s="72"/>
      <c r="AH57" s="72"/>
      <c r="AI57" s="73"/>
      <c r="AJ57" s="29"/>
      <c r="AK57" s="72"/>
      <c r="AL57" s="29"/>
      <c r="AM57" s="72"/>
      <c r="AN57" s="72"/>
      <c r="AO57" s="73"/>
      <c r="AP57" s="29"/>
      <c r="AQ57" s="72"/>
      <c r="AR57" s="72"/>
      <c r="AS57" s="72">
        <v>499944.18905734352</v>
      </c>
      <c r="AT57" s="72">
        <f>'[12]8.9'!$I$20</f>
        <v>3287281.0118927527</v>
      </c>
      <c r="AU57" s="73">
        <f>'[23]8.10'!$I$17</f>
        <v>90668.783574979927</v>
      </c>
      <c r="AV57" s="29"/>
      <c r="AW57" s="72"/>
      <c r="AX57" s="259"/>
      <c r="AY57" s="29">
        <f>SUM('[3]10.1'!$I$28:$I$32)</f>
        <v>153709555.36906207</v>
      </c>
      <c r="AZ57" s="72">
        <f>'[4]10.2'!$I$13</f>
        <v>24936776.53120013</v>
      </c>
      <c r="BA57" s="73">
        <f>'[5]10.3'!$I$31</f>
        <v>18475234.877319884</v>
      </c>
      <c r="BB57" s="29">
        <f>'[6]10.4'!$I$12+'[6]10.4'!$I$18</f>
        <v>-32456642.216843199</v>
      </c>
      <c r="BC57" s="72"/>
      <c r="BD57" s="72"/>
      <c r="BE57" s="72"/>
      <c r="BF57" s="73"/>
      <c r="BG57" s="72"/>
      <c r="BH57" s="72"/>
      <c r="BI57" s="72"/>
      <c r="BJ57" s="72"/>
      <c r="BK57" s="72"/>
      <c r="BL57" s="72"/>
    </row>
    <row r="58" spans="1:64" x14ac:dyDescent="0.2">
      <c r="A58" s="14" t="s">
        <v>87</v>
      </c>
      <c r="B58" s="28">
        <f t="shared" si="47"/>
        <v>-1545676.0641232664</v>
      </c>
      <c r="C58" s="29"/>
      <c r="D58" s="72"/>
      <c r="E58" s="72"/>
      <c r="F58" s="259"/>
      <c r="G58" s="29"/>
      <c r="H58" s="72"/>
      <c r="I58" s="72"/>
      <c r="J58" s="72"/>
      <c r="K58" s="72"/>
      <c r="L58" s="73"/>
      <c r="M58" s="29"/>
      <c r="N58" s="72"/>
      <c r="O58" s="72"/>
      <c r="P58" s="72"/>
      <c r="Q58" s="72"/>
      <c r="R58" s="73"/>
      <c r="S58" s="29"/>
      <c r="T58" s="72"/>
      <c r="U58" s="72"/>
      <c r="V58" s="72"/>
      <c r="W58" s="73"/>
      <c r="X58" s="259"/>
      <c r="Y58" s="29"/>
      <c r="Z58" s="72">
        <f>SUM('[33]6.3.3'!$I$11:$I$24,'[33]6.3.2'!$I$45:$I$51)</f>
        <v>-1545676.0641232664</v>
      </c>
      <c r="AA58" s="72"/>
      <c r="AB58" s="29"/>
      <c r="AC58" s="73"/>
      <c r="AD58" s="29"/>
      <c r="AE58" s="72"/>
      <c r="AF58" s="72"/>
      <c r="AG58" s="72"/>
      <c r="AH58" s="72"/>
      <c r="AI58" s="73"/>
      <c r="AJ58" s="29"/>
      <c r="AK58" s="72"/>
      <c r="AL58" s="29"/>
      <c r="AM58" s="72"/>
      <c r="AN58" s="72"/>
      <c r="AO58" s="73"/>
      <c r="AP58" s="29"/>
      <c r="AQ58" s="72"/>
      <c r="AR58" s="72"/>
      <c r="AS58" s="72"/>
      <c r="AT58" s="72"/>
      <c r="AU58" s="73"/>
      <c r="AV58" s="29"/>
      <c r="AW58" s="72"/>
      <c r="AX58" s="259"/>
      <c r="AY58" s="29"/>
      <c r="AZ58" s="72"/>
      <c r="BA58" s="73"/>
      <c r="BB58" s="29"/>
      <c r="BC58" s="72"/>
      <c r="BD58" s="72"/>
      <c r="BE58" s="72"/>
      <c r="BF58" s="73"/>
      <c r="BG58" s="72"/>
      <c r="BH58" s="72"/>
      <c r="BI58" s="72"/>
      <c r="BJ58" s="72"/>
      <c r="BK58" s="72"/>
      <c r="BL58" s="72"/>
    </row>
    <row r="59" spans="1:64" x14ac:dyDescent="0.2">
      <c r="A59" s="14" t="s">
        <v>88</v>
      </c>
      <c r="B59" s="28">
        <f t="shared" si="47"/>
        <v>-2150455.7059734226</v>
      </c>
      <c r="C59" s="29"/>
      <c r="D59" s="72"/>
      <c r="E59" s="72"/>
      <c r="F59" s="259"/>
      <c r="G59" s="29"/>
      <c r="H59" s="72"/>
      <c r="I59" s="72"/>
      <c r="J59" s="72"/>
      <c r="K59" s="72"/>
      <c r="L59" s="73"/>
      <c r="M59" s="29"/>
      <c r="N59" s="72"/>
      <c r="O59" s="72"/>
      <c r="P59" s="72">
        <f>SUM('[53]4.11'!$I$23:$I$24)</f>
        <v>1273328.1449545922</v>
      </c>
      <c r="Q59" s="72"/>
      <c r="R59" s="73"/>
      <c r="S59" s="29"/>
      <c r="T59" s="72"/>
      <c r="U59" s="72"/>
      <c r="V59" s="72"/>
      <c r="W59" s="73"/>
      <c r="X59" s="259"/>
      <c r="Y59" s="29"/>
      <c r="Z59" s="72"/>
      <c r="AA59" s="72"/>
      <c r="AB59" s="29"/>
      <c r="AC59" s="73"/>
      <c r="AD59" s="29"/>
      <c r="AE59" s="72">
        <f>'[29]7.4.1'!$I$34</f>
        <v>396454.68678154983</v>
      </c>
      <c r="AF59" s="72"/>
      <c r="AG59" s="72"/>
      <c r="AH59" s="72"/>
      <c r="AI59" s="73">
        <f>'[25]7.8'!$I$17</f>
        <v>-8675413</v>
      </c>
      <c r="AJ59" s="29"/>
      <c r="AK59" s="72"/>
      <c r="AL59" s="29"/>
      <c r="AM59" s="72"/>
      <c r="AN59" s="72"/>
      <c r="AO59" s="73"/>
      <c r="AP59" s="29"/>
      <c r="AQ59" s="72"/>
      <c r="AR59" s="72"/>
      <c r="AS59" s="72">
        <v>759932.03582391515</v>
      </c>
      <c r="AT59" s="72">
        <f>'[12]8.9'!$I$36</f>
        <v>1434109.5152292964</v>
      </c>
      <c r="AU59" s="73"/>
      <c r="AV59" s="29"/>
      <c r="AW59" s="72"/>
      <c r="AX59" s="259"/>
      <c r="AY59" s="29"/>
      <c r="AZ59" s="72">
        <f>'[4]10.2'!$I$22</f>
        <v>1868593.104248808</v>
      </c>
      <c r="BA59" s="73">
        <f>'[5]10.3'!$I$33</f>
        <v>792539.80698841682</v>
      </c>
      <c r="BB59" s="29"/>
      <c r="BC59" s="72"/>
      <c r="BD59" s="72"/>
      <c r="BE59" s="72"/>
      <c r="BF59" s="73"/>
      <c r="BG59" s="72"/>
      <c r="BH59" s="72"/>
      <c r="BI59" s="72"/>
      <c r="BJ59" s="72"/>
      <c r="BK59" s="72"/>
      <c r="BL59" s="72"/>
    </row>
    <row r="60" spans="1:64" x14ac:dyDescent="0.2">
      <c r="A60" s="14" t="s">
        <v>89</v>
      </c>
      <c r="B60" s="28">
        <f t="shared" si="47"/>
        <v>0</v>
      </c>
      <c r="C60" s="29"/>
      <c r="D60" s="72"/>
      <c r="E60" s="72"/>
      <c r="F60" s="259"/>
      <c r="G60" s="29"/>
      <c r="H60" s="72"/>
      <c r="I60" s="72"/>
      <c r="J60" s="72"/>
      <c r="K60" s="72"/>
      <c r="L60" s="73"/>
      <c r="M60" s="29"/>
      <c r="N60" s="72"/>
      <c r="O60" s="72"/>
      <c r="P60" s="72"/>
      <c r="Q60" s="72"/>
      <c r="R60" s="73"/>
      <c r="S60" s="29"/>
      <c r="T60" s="72"/>
      <c r="U60" s="72"/>
      <c r="V60" s="72"/>
      <c r="W60" s="73"/>
      <c r="X60" s="259"/>
      <c r="Y60" s="29"/>
      <c r="Z60" s="72"/>
      <c r="AA60" s="72"/>
      <c r="AB60" s="29"/>
      <c r="AC60" s="73"/>
      <c r="AD60" s="29"/>
      <c r="AE60" s="72"/>
      <c r="AF60" s="72"/>
      <c r="AG60" s="72"/>
      <c r="AH60" s="72"/>
      <c r="AI60" s="73"/>
      <c r="AJ60" s="29"/>
      <c r="AK60" s="72"/>
      <c r="AL60" s="29"/>
      <c r="AM60" s="72"/>
      <c r="AN60" s="72"/>
      <c r="AO60" s="73"/>
      <c r="AP60" s="29"/>
      <c r="AQ60" s="72"/>
      <c r="AR60" s="72"/>
      <c r="AS60" s="72"/>
      <c r="AT60" s="72"/>
      <c r="AU60" s="73"/>
      <c r="AV60" s="29"/>
      <c r="AW60" s="72"/>
      <c r="AX60" s="259"/>
      <c r="AY60" s="29"/>
      <c r="AZ60" s="72"/>
      <c r="BA60" s="73"/>
      <c r="BB60" s="29"/>
      <c r="BC60" s="72"/>
      <c r="BD60" s="72"/>
      <c r="BE60" s="72"/>
      <c r="BF60" s="73"/>
      <c r="BG60" s="72"/>
      <c r="BH60" s="72"/>
      <c r="BI60" s="72"/>
      <c r="BJ60" s="72"/>
      <c r="BK60" s="72"/>
      <c r="BL60" s="72"/>
    </row>
    <row r="61" spans="1:64" x14ac:dyDescent="0.2">
      <c r="A61" s="14" t="s">
        <v>90</v>
      </c>
      <c r="B61" s="28">
        <f t="shared" si="47"/>
        <v>-1733115.077035418</v>
      </c>
      <c r="C61" s="29"/>
      <c r="D61" s="72"/>
      <c r="E61" s="72"/>
      <c r="F61" s="259"/>
      <c r="G61" s="29"/>
      <c r="H61" s="72"/>
      <c r="I61" s="72"/>
      <c r="J61" s="72"/>
      <c r="K61" s="72"/>
      <c r="L61" s="73"/>
      <c r="M61" s="29"/>
      <c r="N61" s="72"/>
      <c r="O61" s="72"/>
      <c r="P61" s="72"/>
      <c r="Q61" s="72"/>
      <c r="R61" s="73"/>
      <c r="S61" s="29"/>
      <c r="T61" s="72"/>
      <c r="U61" s="72"/>
      <c r="V61" s="72"/>
      <c r="W61" s="73"/>
      <c r="X61" s="259"/>
      <c r="Y61" s="29"/>
      <c r="Z61" s="72"/>
      <c r="AA61" s="72"/>
      <c r="AB61" s="29"/>
      <c r="AC61" s="73"/>
      <c r="AD61" s="29"/>
      <c r="AE61" s="72"/>
      <c r="AF61" s="72"/>
      <c r="AG61" s="72"/>
      <c r="AH61" s="72"/>
      <c r="AI61" s="73"/>
      <c r="AJ61" s="29"/>
      <c r="AK61" s="72"/>
      <c r="AL61" s="29"/>
      <c r="AM61" s="72"/>
      <c r="AN61" s="72">
        <f>'[17]8.3'!$I$21</f>
        <v>-1733115.077035418</v>
      </c>
      <c r="AO61" s="73"/>
      <c r="AP61" s="29"/>
      <c r="AQ61" s="72"/>
      <c r="AR61" s="72"/>
      <c r="AS61" s="72"/>
      <c r="AT61" s="72"/>
      <c r="AU61" s="73"/>
      <c r="AV61" s="29"/>
      <c r="AW61" s="72"/>
      <c r="AX61" s="259"/>
      <c r="AY61" s="29"/>
      <c r="AZ61" s="72"/>
      <c r="BA61" s="73"/>
      <c r="BB61" s="29"/>
      <c r="BC61" s="72"/>
      <c r="BD61" s="72"/>
      <c r="BE61" s="72"/>
      <c r="BF61" s="73"/>
      <c r="BG61" s="72"/>
      <c r="BH61" s="72"/>
      <c r="BI61" s="72"/>
      <c r="BJ61" s="72"/>
      <c r="BK61" s="72"/>
      <c r="BL61" s="72"/>
    </row>
    <row r="62" spans="1:64" x14ac:dyDescent="0.2">
      <c r="A62" s="14" t="s">
        <v>91</v>
      </c>
      <c r="B62" s="28">
        <f t="shared" si="47"/>
        <v>-408390.63249999989</v>
      </c>
      <c r="C62" s="29"/>
      <c r="D62" s="72"/>
      <c r="E62" s="72"/>
      <c r="F62" s="259"/>
      <c r="G62" s="29"/>
      <c r="H62" s="72"/>
      <c r="I62" s="72"/>
      <c r="J62" s="72"/>
      <c r="K62" s="72"/>
      <c r="L62" s="73"/>
      <c r="M62" s="29"/>
      <c r="N62" s="72"/>
      <c r="O62" s="72"/>
      <c r="P62" s="72"/>
      <c r="Q62" s="72"/>
      <c r="R62" s="73"/>
      <c r="S62" s="29"/>
      <c r="T62" s="72"/>
      <c r="U62" s="72"/>
      <c r="V62" s="72"/>
      <c r="W62" s="73"/>
      <c r="X62" s="259"/>
      <c r="Y62" s="29"/>
      <c r="Z62" s="72"/>
      <c r="AA62" s="72"/>
      <c r="AB62" s="29"/>
      <c r="AC62" s="73"/>
      <c r="AD62" s="29"/>
      <c r="AE62" s="72"/>
      <c r="AF62" s="72"/>
      <c r="AG62" s="72"/>
      <c r="AH62" s="72"/>
      <c r="AI62" s="73"/>
      <c r="AJ62" s="29"/>
      <c r="AK62" s="72"/>
      <c r="AL62" s="29"/>
      <c r="AM62" s="72"/>
      <c r="AN62" s="72"/>
      <c r="AO62" s="73"/>
      <c r="AP62" s="29"/>
      <c r="AQ62" s="72">
        <f>'[14]8.6'!$I$15</f>
        <v>-408390.63249999989</v>
      </c>
      <c r="AR62" s="72"/>
      <c r="AS62" s="72"/>
      <c r="AT62" s="72"/>
      <c r="AU62" s="73"/>
      <c r="AV62" s="29"/>
      <c r="AW62" s="72"/>
      <c r="AX62" s="259"/>
      <c r="AY62" s="29"/>
      <c r="AZ62" s="72"/>
      <c r="BA62" s="73"/>
      <c r="BB62" s="29"/>
      <c r="BC62" s="72"/>
      <c r="BD62" s="72"/>
      <c r="BE62" s="72"/>
      <c r="BF62" s="73"/>
      <c r="BG62" s="72"/>
      <c r="BH62" s="72"/>
      <c r="BI62" s="72"/>
      <c r="BJ62" s="72"/>
      <c r="BK62" s="72"/>
      <c r="BL62" s="72"/>
    </row>
    <row r="63" spans="1:64" x14ac:dyDescent="0.2">
      <c r="A63" s="14" t="s">
        <v>92</v>
      </c>
      <c r="B63" s="28">
        <f t="shared" si="47"/>
        <v>45480887.370662242</v>
      </c>
      <c r="C63" s="29"/>
      <c r="D63" s="72"/>
      <c r="E63" s="72"/>
      <c r="F63" s="259"/>
      <c r="G63" s="29"/>
      <c r="H63" s="72"/>
      <c r="I63" s="72"/>
      <c r="J63" s="72"/>
      <c r="K63" s="72"/>
      <c r="L63" s="73"/>
      <c r="M63" s="29"/>
      <c r="N63" s="72"/>
      <c r="O63" s="72"/>
      <c r="P63" s="72"/>
      <c r="Q63" s="72"/>
      <c r="R63" s="73"/>
      <c r="S63" s="29"/>
      <c r="T63" s="72"/>
      <c r="U63" s="72"/>
      <c r="V63" s="72"/>
      <c r="W63" s="73"/>
      <c r="X63" s="259"/>
      <c r="Y63" s="29"/>
      <c r="Z63" s="72"/>
      <c r="AA63" s="72"/>
      <c r="AB63" s="29"/>
      <c r="AC63" s="73"/>
      <c r="AD63" s="29"/>
      <c r="AE63" s="72"/>
      <c r="AF63" s="72"/>
      <c r="AG63" s="72"/>
      <c r="AH63" s="72"/>
      <c r="AI63" s="73">
        <f>'[25]7.8'!$I$12</f>
        <v>35285349</v>
      </c>
      <c r="AJ63" s="29"/>
      <c r="AK63" s="72"/>
      <c r="AL63" s="29"/>
      <c r="AM63" s="72"/>
      <c r="AN63" s="72"/>
      <c r="AO63" s="73"/>
      <c r="AP63" s="29">
        <f>'[15]8.5 - 8.5.1'!$I$102</f>
        <v>10195538.370662238</v>
      </c>
      <c r="AQ63" s="72"/>
      <c r="AR63" s="72"/>
      <c r="AS63" s="72"/>
      <c r="AT63" s="72"/>
      <c r="AU63" s="73"/>
      <c r="AV63" s="29"/>
      <c r="AW63" s="72"/>
      <c r="AX63" s="259"/>
      <c r="AY63" s="29"/>
      <c r="AZ63" s="72"/>
      <c r="BA63" s="73"/>
      <c r="BB63" s="29"/>
      <c r="BC63" s="72"/>
      <c r="BD63" s="72"/>
      <c r="BE63" s="72"/>
      <c r="BF63" s="73"/>
      <c r="BG63" s="72"/>
      <c r="BH63" s="72"/>
      <c r="BI63" s="72"/>
      <c r="BJ63" s="72"/>
      <c r="BK63" s="72"/>
      <c r="BL63" s="72"/>
    </row>
    <row r="64" spans="1:64" x14ac:dyDescent="0.2">
      <c r="A64" s="14"/>
      <c r="B64" s="27">
        <f t="shared" si="47"/>
        <v>0</v>
      </c>
      <c r="C64" s="27"/>
      <c r="D64" s="12"/>
      <c r="E64" s="12"/>
      <c r="F64" s="69"/>
      <c r="G64" s="27"/>
      <c r="H64" s="12"/>
      <c r="I64" s="12"/>
      <c r="J64" s="12"/>
      <c r="K64" s="12"/>
      <c r="L64" s="68"/>
      <c r="M64" s="27"/>
      <c r="N64" s="12"/>
      <c r="O64" s="12"/>
      <c r="P64" s="12"/>
      <c r="Q64" s="12"/>
      <c r="R64" s="68"/>
      <c r="S64" s="27"/>
      <c r="T64" s="12"/>
      <c r="U64" s="12"/>
      <c r="V64" s="12"/>
      <c r="W64" s="68"/>
      <c r="X64" s="69"/>
      <c r="Y64" s="27"/>
      <c r="Z64" s="12"/>
      <c r="AA64" s="12"/>
      <c r="AB64" s="27"/>
      <c r="AC64" s="68"/>
      <c r="AD64" s="27"/>
      <c r="AE64" s="12"/>
      <c r="AF64" s="12"/>
      <c r="AG64" s="12"/>
      <c r="AH64" s="12"/>
      <c r="AI64" s="68"/>
      <c r="AJ64" s="27"/>
      <c r="AK64" s="12"/>
      <c r="AL64" s="27"/>
      <c r="AM64" s="12"/>
      <c r="AN64" s="12"/>
      <c r="AO64" s="68"/>
      <c r="AP64" s="27"/>
      <c r="AQ64" s="12"/>
      <c r="AR64" s="12"/>
      <c r="AS64" s="12"/>
      <c r="AT64" s="12"/>
      <c r="AU64" s="68"/>
      <c r="AV64" s="27"/>
      <c r="AW64" s="12"/>
      <c r="AX64" s="69"/>
      <c r="AY64" s="27"/>
      <c r="AZ64" s="12"/>
      <c r="BA64" s="68"/>
      <c r="BB64" s="27"/>
      <c r="BC64" s="12"/>
      <c r="BD64" s="12"/>
      <c r="BE64" s="12"/>
      <c r="BF64" s="68"/>
      <c r="BG64" s="12"/>
      <c r="BH64" s="12"/>
      <c r="BI64" s="12"/>
      <c r="BJ64" s="12"/>
      <c r="BK64" s="12"/>
      <c r="BL64" s="12"/>
    </row>
    <row r="65" spans="1:65" x14ac:dyDescent="0.2">
      <c r="A65" s="14" t="s">
        <v>93</v>
      </c>
      <c r="B65" s="30">
        <f t="shared" si="47"/>
        <v>181833323.10713395</v>
      </c>
      <c r="C65" s="30">
        <f t="shared" ref="C65:AV65" si="48">SUM(C57:C64)</f>
        <v>0</v>
      </c>
      <c r="D65" s="74">
        <f t="shared" si="48"/>
        <v>0</v>
      </c>
      <c r="E65" s="74">
        <f t="shared" ref="E65" si="49">SUM(E57:E64)</f>
        <v>0</v>
      </c>
      <c r="F65" s="143">
        <f t="shared" si="48"/>
        <v>0</v>
      </c>
      <c r="G65" s="30">
        <f t="shared" si="48"/>
        <v>0</v>
      </c>
      <c r="H65" s="74">
        <f t="shared" si="48"/>
        <v>0</v>
      </c>
      <c r="I65" s="74">
        <f t="shared" si="48"/>
        <v>0</v>
      </c>
      <c r="J65" s="74">
        <f t="shared" ref="J65:K65" si="50">SUM(J57:J64)</f>
        <v>0</v>
      </c>
      <c r="K65" s="74">
        <f t="shared" si="50"/>
        <v>0</v>
      </c>
      <c r="L65" s="75">
        <f t="shared" si="48"/>
        <v>0</v>
      </c>
      <c r="M65" s="30">
        <f t="shared" si="48"/>
        <v>0</v>
      </c>
      <c r="N65" s="74">
        <f t="shared" ref="N65:Q65" si="51">SUM(N57:N64)</f>
        <v>0</v>
      </c>
      <c r="O65" s="74">
        <f t="shared" si="51"/>
        <v>0</v>
      </c>
      <c r="P65" s="74">
        <f t="shared" si="51"/>
        <v>1273328.1449545922</v>
      </c>
      <c r="Q65" s="74">
        <f t="shared" si="51"/>
        <v>0</v>
      </c>
      <c r="R65" s="75">
        <f t="shared" ref="R65:AA65" si="52">SUM(R57:R64)</f>
        <v>0</v>
      </c>
      <c r="S65" s="30">
        <f t="shared" si="52"/>
        <v>0</v>
      </c>
      <c r="T65" s="74">
        <f t="shared" si="52"/>
        <v>0</v>
      </c>
      <c r="U65" s="74">
        <f t="shared" ref="U65:W65" si="53">SUM(U57:U64)</f>
        <v>0</v>
      </c>
      <c r="V65" s="74">
        <f t="shared" si="53"/>
        <v>0</v>
      </c>
      <c r="W65" s="75">
        <f t="shared" si="53"/>
        <v>0</v>
      </c>
      <c r="X65" s="143">
        <f t="shared" ref="X65:Y65" si="54">SUM(X57:X64)</f>
        <v>0</v>
      </c>
      <c r="Y65" s="30">
        <f t="shared" si="54"/>
        <v>0</v>
      </c>
      <c r="Z65" s="74">
        <f t="shared" ref="Z65" si="55">SUM(Z57:Z64)</f>
        <v>-27898421.393283397</v>
      </c>
      <c r="AA65" s="74">
        <f t="shared" si="52"/>
        <v>0</v>
      </c>
      <c r="AB65" s="30">
        <f t="shared" si="48"/>
        <v>0</v>
      </c>
      <c r="AC65" s="75">
        <f t="shared" ref="AC65" si="56">SUM(AC57:AC64)</f>
        <v>0</v>
      </c>
      <c r="AD65" s="30">
        <f t="shared" si="48"/>
        <v>0</v>
      </c>
      <c r="AE65" s="74">
        <f t="shared" ref="AE65" si="57">SUM(AE57:AE64)</f>
        <v>396454.68678154983</v>
      </c>
      <c r="AF65" s="74">
        <f t="shared" si="48"/>
        <v>0</v>
      </c>
      <c r="AG65" s="74">
        <f t="shared" si="48"/>
        <v>0</v>
      </c>
      <c r="AH65" s="74">
        <f t="shared" ref="AH65" si="58">SUM(AH57:AH64)</f>
        <v>0</v>
      </c>
      <c r="AI65" s="75">
        <f>SUM(AI57:AI64)</f>
        <v>26609936</v>
      </c>
      <c r="AJ65" s="30">
        <f t="shared" ref="AJ65:AK65" si="59">SUM(AJ57:AJ64)</f>
        <v>0</v>
      </c>
      <c r="AK65" s="74">
        <f t="shared" si="59"/>
        <v>0</v>
      </c>
      <c r="AL65" s="30">
        <f t="shared" si="48"/>
        <v>0</v>
      </c>
      <c r="AM65" s="74">
        <f t="shared" si="48"/>
        <v>0</v>
      </c>
      <c r="AN65" s="74">
        <f t="shared" si="48"/>
        <v>-1733115.077035418</v>
      </c>
      <c r="AO65" s="75">
        <f t="shared" si="48"/>
        <v>0</v>
      </c>
      <c r="AP65" s="30">
        <f t="shared" ref="AP65" si="60">SUM(AP57:AP64)</f>
        <v>10195538.370662238</v>
      </c>
      <c r="AQ65" s="74">
        <f t="shared" ref="AQ65" si="61">SUM(AQ57:AQ64)</f>
        <v>-408390.63249999989</v>
      </c>
      <c r="AR65" s="74">
        <f t="shared" si="48"/>
        <v>0</v>
      </c>
      <c r="AS65" s="74">
        <f t="shared" si="48"/>
        <v>1259876.2248812588</v>
      </c>
      <c r="AT65" s="74">
        <f t="shared" si="48"/>
        <v>4721390.5271220487</v>
      </c>
      <c r="AU65" s="75">
        <f t="shared" ref="AU65" si="62">SUM(AU57:AU64)</f>
        <v>90668.783574979927</v>
      </c>
      <c r="AV65" s="30">
        <f t="shared" si="48"/>
        <v>0</v>
      </c>
      <c r="AW65" s="74">
        <f>SUM(AW57:AW64)</f>
        <v>0</v>
      </c>
      <c r="AX65" s="143">
        <f>SUM(AX57:AX64)</f>
        <v>0</v>
      </c>
      <c r="AY65" s="30">
        <f t="shared" ref="AY65:BF65" si="63">SUM(AY57:AY64)</f>
        <v>153709555.36906207</v>
      </c>
      <c r="AZ65" s="74">
        <f t="shared" si="63"/>
        <v>26805369.635448936</v>
      </c>
      <c r="BA65" s="75">
        <f t="shared" si="63"/>
        <v>19267774.684308302</v>
      </c>
      <c r="BB65" s="30">
        <f t="shared" si="63"/>
        <v>-32456642.216843199</v>
      </c>
      <c r="BC65" s="74">
        <f t="shared" si="63"/>
        <v>0</v>
      </c>
      <c r="BD65" s="74">
        <f t="shared" si="63"/>
        <v>0</v>
      </c>
      <c r="BE65" s="74">
        <f t="shared" si="63"/>
        <v>0</v>
      </c>
      <c r="BF65" s="75">
        <f t="shared" si="63"/>
        <v>0</v>
      </c>
      <c r="BG65" s="12"/>
      <c r="BH65" s="12"/>
      <c r="BI65" s="12"/>
      <c r="BJ65" s="12"/>
      <c r="BK65" s="12"/>
      <c r="BL65" s="12"/>
    </row>
    <row r="66" spans="1:65" x14ac:dyDescent="0.2">
      <c r="A66" s="14"/>
      <c r="B66" s="27"/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12"/>
      <c r="AX66" s="69"/>
      <c r="AY66" s="27"/>
      <c r="AZ66" s="12"/>
      <c r="BA66" s="68"/>
      <c r="BB66" s="27"/>
      <c r="BC66" s="12"/>
      <c r="BD66" s="12"/>
      <c r="BE66" s="12"/>
      <c r="BF66" s="68"/>
      <c r="BG66" s="12"/>
      <c r="BH66" s="12"/>
      <c r="BI66" s="12"/>
      <c r="BJ66" s="12"/>
      <c r="BK66" s="12"/>
      <c r="BL66" s="12"/>
    </row>
    <row r="67" spans="1:65" ht="13.5" thickBot="1" x14ac:dyDescent="0.25">
      <c r="A67" s="14" t="s">
        <v>94</v>
      </c>
      <c r="B67" s="34">
        <f>SUM(C67:BF67)</f>
        <v>-163138571.36385167</v>
      </c>
      <c r="C67" s="34">
        <f t="shared" ref="C67:AV67" si="64">C54+C65</f>
        <v>0</v>
      </c>
      <c r="D67" s="85">
        <f t="shared" si="64"/>
        <v>0</v>
      </c>
      <c r="E67" s="85">
        <f t="shared" ref="E67" si="65">E54+E65</f>
        <v>0</v>
      </c>
      <c r="F67" s="146">
        <f t="shared" si="64"/>
        <v>0</v>
      </c>
      <c r="G67" s="34">
        <f t="shared" si="64"/>
        <v>0</v>
      </c>
      <c r="H67" s="85">
        <f t="shared" si="64"/>
        <v>0</v>
      </c>
      <c r="I67" s="85">
        <f t="shared" si="64"/>
        <v>0</v>
      </c>
      <c r="J67" s="85">
        <f t="shared" ref="J67:K67" si="66">J54+J65</f>
        <v>0</v>
      </c>
      <c r="K67" s="85">
        <f t="shared" si="66"/>
        <v>0</v>
      </c>
      <c r="L67" s="147">
        <f t="shared" si="64"/>
        <v>0</v>
      </c>
      <c r="M67" s="34">
        <f t="shared" si="64"/>
        <v>0</v>
      </c>
      <c r="N67" s="85">
        <f t="shared" ref="N67:Q67" si="67">N54+N65</f>
        <v>0</v>
      </c>
      <c r="O67" s="85">
        <f t="shared" si="67"/>
        <v>0</v>
      </c>
      <c r="P67" s="85">
        <f t="shared" si="67"/>
        <v>1273328.1449545922</v>
      </c>
      <c r="Q67" s="85">
        <f t="shared" si="67"/>
        <v>0</v>
      </c>
      <c r="R67" s="147">
        <f t="shared" ref="R67:U67" si="68">R54+R65</f>
        <v>0</v>
      </c>
      <c r="S67" s="34"/>
      <c r="T67" s="85"/>
      <c r="U67" s="85">
        <f t="shared" si="68"/>
        <v>0</v>
      </c>
      <c r="V67" s="85">
        <f t="shared" ref="V67:W67" si="69">V54+V65</f>
        <v>0</v>
      </c>
      <c r="W67" s="147">
        <f t="shared" si="69"/>
        <v>0</v>
      </c>
      <c r="X67" s="146">
        <f t="shared" ref="X67:Y67" si="70">X54+X65</f>
        <v>0</v>
      </c>
      <c r="Y67" s="34">
        <f t="shared" si="70"/>
        <v>0</v>
      </c>
      <c r="Z67" s="85">
        <f t="shared" ref="Z67" si="71">Z54+Z65</f>
        <v>-27898421.393283397</v>
      </c>
      <c r="AA67" s="85">
        <f t="shared" ref="AA67" si="72">AA54+AA65</f>
        <v>0</v>
      </c>
      <c r="AB67" s="34">
        <f t="shared" si="64"/>
        <v>0</v>
      </c>
      <c r="AC67" s="147">
        <f t="shared" ref="AC67" si="73">AC54+AC65</f>
        <v>0</v>
      </c>
      <c r="AD67" s="34">
        <f t="shared" si="64"/>
        <v>0</v>
      </c>
      <c r="AE67" s="85">
        <f t="shared" ref="AE67" si="74">AE54+AE65</f>
        <v>396454.68678154983</v>
      </c>
      <c r="AF67" s="85">
        <f t="shared" si="64"/>
        <v>0</v>
      </c>
      <c r="AG67" s="85">
        <f t="shared" si="64"/>
        <v>0</v>
      </c>
      <c r="AH67" s="85">
        <f t="shared" ref="AH67" si="75">AH54+AH65</f>
        <v>0</v>
      </c>
      <c r="AI67" s="147">
        <f>AI54+AI65</f>
        <v>26609936</v>
      </c>
      <c r="AJ67" s="34">
        <f t="shared" ref="AJ67:AK67" si="76">AJ54+AJ65</f>
        <v>0</v>
      </c>
      <c r="AK67" s="85">
        <f t="shared" si="76"/>
        <v>0</v>
      </c>
      <c r="AL67" s="34">
        <f t="shared" si="64"/>
        <v>30000111.714042757</v>
      </c>
      <c r="AM67" s="85">
        <f t="shared" si="64"/>
        <v>0</v>
      </c>
      <c r="AN67" s="85">
        <f t="shared" si="64"/>
        <v>-1733115.077035418</v>
      </c>
      <c r="AO67" s="147">
        <f t="shared" si="64"/>
        <v>0</v>
      </c>
      <c r="AP67" s="34">
        <f t="shared" ref="AP67" si="77">AP54+AP65</f>
        <v>-27252977.232733469</v>
      </c>
      <c r="AQ67" s="85">
        <f t="shared" ref="AQ67" si="78">AQ54+AQ65</f>
        <v>-408390.63249999989</v>
      </c>
      <c r="AR67" s="85">
        <f t="shared" si="64"/>
        <v>29873668.417190563</v>
      </c>
      <c r="AS67" s="85">
        <f t="shared" si="64"/>
        <v>-16595924.588451218</v>
      </c>
      <c r="AT67" s="85">
        <f t="shared" si="64"/>
        <v>-6227108.8245538902</v>
      </c>
      <c r="AU67" s="147">
        <f t="shared" ref="AU67" si="79">AU54+AU65</f>
        <v>-336077.19668755686</v>
      </c>
      <c r="AV67" s="34">
        <f t="shared" si="64"/>
        <v>0</v>
      </c>
      <c r="AW67" s="85">
        <f t="shared" ref="AW67" si="80">AW54+AW65</f>
        <v>0</v>
      </c>
      <c r="AX67" s="146">
        <f t="shared" ref="AX67:BA67" si="81">AX54+AX65</f>
        <v>0</v>
      </c>
      <c r="AY67" s="34">
        <f t="shared" si="81"/>
        <v>-144705069.51099706</v>
      </c>
      <c r="AZ67" s="85">
        <f t="shared" si="81"/>
        <v>-22651761.900813635</v>
      </c>
      <c r="BA67" s="147">
        <f t="shared" si="81"/>
        <v>-9976935.3349126205</v>
      </c>
      <c r="BB67" s="34">
        <f t="shared" ref="BB67:BF67" si="82">BB54+BB65</f>
        <v>6493711.3651471324</v>
      </c>
      <c r="BC67" s="85">
        <f t="shared" si="82"/>
        <v>0</v>
      </c>
      <c r="BD67" s="85">
        <f t="shared" si="82"/>
        <v>0</v>
      </c>
      <c r="BE67" s="85">
        <f t="shared" si="82"/>
        <v>0</v>
      </c>
      <c r="BF67" s="147">
        <f t="shared" si="82"/>
        <v>0</v>
      </c>
      <c r="BG67" s="13"/>
      <c r="BH67" s="13"/>
      <c r="BI67" s="13"/>
      <c r="BJ67" s="13"/>
      <c r="BK67" s="13"/>
      <c r="BL67" s="13"/>
    </row>
    <row r="68" spans="1:65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12"/>
      <c r="AX68" s="69"/>
      <c r="AY68" s="27"/>
      <c r="AZ68" s="12"/>
      <c r="BA68" s="68"/>
      <c r="BB68" s="27"/>
      <c r="BC68" s="12"/>
      <c r="BD68" s="12"/>
      <c r="BE68" s="12"/>
      <c r="BF68" s="68"/>
      <c r="BG68" s="12"/>
      <c r="BH68" s="12"/>
      <c r="BI68" s="12"/>
      <c r="BJ68" s="12"/>
      <c r="BK68" s="12"/>
      <c r="BL68" s="12"/>
    </row>
    <row r="69" spans="1:65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12"/>
      <c r="AX69" s="69"/>
      <c r="AY69" s="27"/>
      <c r="AZ69" s="12"/>
      <c r="BA69" s="68"/>
      <c r="BB69" s="27"/>
      <c r="BC69" s="12"/>
      <c r="BD69" s="12"/>
      <c r="BE69" s="12"/>
      <c r="BF69" s="68"/>
      <c r="BG69" s="12"/>
      <c r="BH69" s="12"/>
      <c r="BI69" s="12"/>
      <c r="BJ69" s="12"/>
      <c r="BK69" s="12"/>
      <c r="BL69" s="12"/>
    </row>
    <row r="70" spans="1:65" s="177" customFormat="1" x14ac:dyDescent="0.2">
      <c r="A70" s="227" t="s">
        <v>147</v>
      </c>
      <c r="B70" s="17">
        <f t="shared" ref="B70:AV70" si="83">(((B40+Unadj_Op_revenue)/(B67+Unadj_rate_base))-Weighted_cost_debt-Weighted_cost_pref)/Percent_common-Unadj_ROE</f>
        <v>4.0081540639769375E-2</v>
      </c>
      <c r="C70" s="17">
        <f t="shared" si="83"/>
        <v>-3.0010130800315754E-3</v>
      </c>
      <c r="D70" s="16">
        <f t="shared" si="83"/>
        <v>4.5156084883605938E-2</v>
      </c>
      <c r="E70" s="16">
        <f t="shared" ref="E70" si="84">(((E40+Unadj_Op_revenue)/(E67+Unadj_rate_base))-Weighted_cost_debt-Weighted_cost_pref)/Percent_common-Unadj_ROE</f>
        <v>-2.8940440286118196E-5</v>
      </c>
      <c r="F70" s="19">
        <f t="shared" si="83"/>
        <v>-2.3150305081295897E-4</v>
      </c>
      <c r="G70" s="17">
        <f t="shared" si="83"/>
        <v>-5.0371207463779932E-4</v>
      </c>
      <c r="H70" s="16">
        <f t="shared" si="83"/>
        <v>0</v>
      </c>
      <c r="I70" s="16">
        <f t="shared" si="83"/>
        <v>2.6110644440166531E-4</v>
      </c>
      <c r="J70" s="16">
        <f t="shared" ref="J70:K70" si="85">(((J40+Unadj_Op_revenue)/(J67+Unadj_rate_base))-Weighted_cost_debt-Weighted_cost_pref)/Percent_common-Unadj_ROE</f>
        <v>0</v>
      </c>
      <c r="K70" s="16">
        <f t="shared" si="85"/>
        <v>-2.26454474751836E-5</v>
      </c>
      <c r="L70" s="18">
        <f t="shared" si="83"/>
        <v>1.0284460295884035E-6</v>
      </c>
      <c r="M70" s="17">
        <f t="shared" si="83"/>
        <v>-7.3070005375998337E-4</v>
      </c>
      <c r="N70" s="16">
        <f t="shared" si="83"/>
        <v>8.4286749945214345E-4</v>
      </c>
      <c r="O70" s="16">
        <f t="shared" ref="O70:Q70" si="86">(((O40+Unadj_Op_revenue)/(O67+Unadj_rate_base))-Weighted_cost_debt-Weighted_cost_pref)/Percent_common-Unadj_ROE</f>
        <v>-2.6878648972105262E-3</v>
      </c>
      <c r="P70" s="16">
        <f t="shared" si="86"/>
        <v>-1.9031087576655836E-3</v>
      </c>
      <c r="Q70" s="16">
        <f t="shared" si="86"/>
        <v>0</v>
      </c>
      <c r="R70" s="18">
        <f t="shared" si="83"/>
        <v>0</v>
      </c>
      <c r="S70" s="17">
        <f t="shared" ref="S70:T70" si="87">(((S40+Unadj_Op_revenue)/(S67+Unadj_rate_base))-Weighted_cost_debt-Weighted_cost_pref)/Percent_common-Unadj_ROE</f>
        <v>9.5658764942810615E-3</v>
      </c>
      <c r="T70" s="16">
        <f t="shared" si="87"/>
        <v>0</v>
      </c>
      <c r="U70" s="16">
        <f t="shared" ref="U70:W70" si="88">(((U40+Unadj_Op_revenue)/(U67+Unadj_rate_base))-Weighted_cost_debt-Weighted_cost_pref)/Percent_common-Unadj_ROE</f>
        <v>0</v>
      </c>
      <c r="V70" s="16">
        <f t="shared" si="88"/>
        <v>0</v>
      </c>
      <c r="W70" s="18">
        <f t="shared" si="88"/>
        <v>0</v>
      </c>
      <c r="X70" s="19">
        <f t="shared" ref="X70:AA70" si="89">(((X40+Unadj_Op_revenue)/(X67+Unadj_rate_base))-Weighted_cost_debt-Weighted_cost_pref)/Percent_common-Unadj_ROE</f>
        <v>0</v>
      </c>
      <c r="Y70" s="17">
        <f t="shared" ref="Y70:Z70" si="90">(((Y40+Unadj_Op_revenue)/(Y67+Unadj_rate_base))-Weighted_cost_debt-Weighted_cost_pref)/Percent_common-Unadj_ROE</f>
        <v>0</v>
      </c>
      <c r="Z70" s="16">
        <f t="shared" si="90"/>
        <v>2.8612533155949055E-3</v>
      </c>
      <c r="AA70" s="16">
        <f t="shared" si="89"/>
        <v>-8.6699188310895153E-3</v>
      </c>
      <c r="AB70" s="17">
        <f t="shared" si="83"/>
        <v>-1.7810938566309442E-3</v>
      </c>
      <c r="AC70" s="18">
        <f t="shared" ref="AC70" si="91">(((AC40+Unadj_Op_revenue)/(AC67+Unadj_rate_base))-Weighted_cost_debt-Weighted_cost_pref)/Percent_common-Unadj_ROE</f>
        <v>0</v>
      </c>
      <c r="AD70" s="17">
        <f t="shared" si="83"/>
        <v>-1.8571797981572394E-2</v>
      </c>
      <c r="AE70" s="16">
        <f t="shared" ref="AE70" si="92">(((AE40+Unadj_Op_revenue)/(AE67+Unadj_rate_base))-Weighted_cost_debt-Weighted_cost_pref)/Percent_common-Unadj_ROE</f>
        <v>2.2177916650614748E-5</v>
      </c>
      <c r="AF70" s="16">
        <f t="shared" si="83"/>
        <v>0</v>
      </c>
      <c r="AG70" s="16">
        <f t="shared" si="83"/>
        <v>0</v>
      </c>
      <c r="AH70" s="16">
        <f t="shared" si="83"/>
        <v>-1.7285458459975617E-3</v>
      </c>
      <c r="AI70" s="18">
        <f>(((AI40+Unadj_Op_revenue)/(AI67+Unadj_rate_base))-Weighted_cost_debt-Weighted_cost_pref)/Percent_common-Unadj_ROE</f>
        <v>-2.6027190846297094E-3</v>
      </c>
      <c r="AJ70" s="17">
        <f t="shared" ref="AJ70:AK70" si="93">(((AJ40+Unadj_Op_revenue)/(AJ67+Unadj_rate_base))-Weighted_cost_debt-Weighted_cost_pref)/Percent_common-Unadj_ROE</f>
        <v>0</v>
      </c>
      <c r="AK70" s="16">
        <f t="shared" si="93"/>
        <v>0</v>
      </c>
      <c r="AL70" s="17">
        <f t="shared" si="83"/>
        <v>-2.9258848017045813E-3</v>
      </c>
      <c r="AM70" s="16">
        <f t="shared" si="83"/>
        <v>0</v>
      </c>
      <c r="AN70" s="16">
        <f t="shared" si="83"/>
        <v>1.7369883970720645E-4</v>
      </c>
      <c r="AO70" s="18">
        <f t="shared" si="83"/>
        <v>0</v>
      </c>
      <c r="AP70" s="17">
        <f t="shared" ref="AP70" si="94">(((AP40+Unadj_Op_revenue)/(AP67+Unadj_rate_base))-Weighted_cost_debt-Weighted_cost_pref)/Percent_common-Unadj_ROE</f>
        <v>2.7934505138047516E-3</v>
      </c>
      <c r="AQ70" s="16">
        <f t="shared" si="83"/>
        <v>3.7751949026595955E-5</v>
      </c>
      <c r="AR70" s="16">
        <f t="shared" si="83"/>
        <v>-2.9138650279407485E-3</v>
      </c>
      <c r="AS70" s="16">
        <f t="shared" si="83"/>
        <v>1.6851053953978734E-3</v>
      </c>
      <c r="AT70" s="16">
        <f t="shared" si="83"/>
        <v>6.2655387928006734E-4</v>
      </c>
      <c r="AU70" s="18">
        <f t="shared" ref="AU70" si="95">(((AU40+Unadj_Op_revenue)/(AU67+Unadj_rate_base))-Weighted_cost_debt-Weighted_cost_pref)/Percent_common-Unadj_ROE</f>
        <v>3.7349649581330802E-4</v>
      </c>
      <c r="AV70" s="17">
        <f t="shared" si="83"/>
        <v>0</v>
      </c>
      <c r="AW70" s="16">
        <f t="shared" ref="AW70" si="96">(((AW40+Unadj_Op_revenue)/(AW67+Unadj_rate_base))-Weighted_cost_debt-Weighted_cost_pref)/Percent_common-Unadj_ROE</f>
        <v>0</v>
      </c>
      <c r="AX70" s="19">
        <f t="shared" ref="AX70:BA70" si="97">(((AX40+Unadj_Op_revenue)/(AX67+Unadj_rate_base))-Weighted_cost_debt-Weighted_cost_pref)/Percent_common-Unadj_ROE</f>
        <v>0</v>
      </c>
      <c r="AY70" s="17">
        <f t="shared" si="97"/>
        <v>1.6564610755472706E-2</v>
      </c>
      <c r="AZ70" s="16">
        <f t="shared" si="97"/>
        <v>2.3383078256248996E-3</v>
      </c>
      <c r="BA70" s="18">
        <f t="shared" si="97"/>
        <v>2.5772668250871461E-3</v>
      </c>
      <c r="BB70" s="17">
        <f t="shared" ref="BB70:BF70" si="98">(((BB40+Unadj_Op_revenue)/(BB67+Unadj_rate_base))-Weighted_cost_debt-Weighted_cost_pref)/Percent_common-Unadj_ROE</f>
        <v>-6.461943136991527E-4</v>
      </c>
      <c r="BC70" s="16">
        <f t="shared" si="98"/>
        <v>0</v>
      </c>
      <c r="BD70" s="16">
        <f t="shared" si="98"/>
        <v>0</v>
      </c>
      <c r="BE70" s="16">
        <f t="shared" si="98"/>
        <v>0</v>
      </c>
      <c r="BF70" s="18">
        <f t="shared" si="98"/>
        <v>0</v>
      </c>
      <c r="BG70" s="16"/>
      <c r="BH70" s="16"/>
      <c r="BI70" s="16"/>
      <c r="BJ70" s="16"/>
      <c r="BK70" s="16"/>
      <c r="BL70" s="16"/>
      <c r="BM70" s="174"/>
    </row>
    <row r="71" spans="1:65" x14ac:dyDescent="0.2">
      <c r="A71" s="14" t="s">
        <v>42</v>
      </c>
      <c r="B71" s="35">
        <f>SUM(C71:BF71)</f>
        <v>-30668882.191322248</v>
      </c>
      <c r="C71" s="35">
        <f t="shared" ref="C71:AV71" si="99">-(C40-(C67*Overall_ROR))/gross_up_factor</f>
        <v>2354318.8408495737</v>
      </c>
      <c r="D71" s="86">
        <f t="shared" si="99"/>
        <v>-35425310.915125199</v>
      </c>
      <c r="E71" s="86">
        <f t="shared" ref="E71" si="100">-(E40-(E67*Overall_ROR))/gross_up_factor</f>
        <v>22704.007617104715</v>
      </c>
      <c r="F71" s="148">
        <f t="shared" si="99"/>
        <v>181616.00089971483</v>
      </c>
      <c r="G71" s="35">
        <f t="shared" si="99"/>
        <v>395166.1642443426</v>
      </c>
      <c r="H71" s="86">
        <f t="shared" si="99"/>
        <v>0</v>
      </c>
      <c r="I71" s="86">
        <f t="shared" si="99"/>
        <v>-204840.10070212296</v>
      </c>
      <c r="J71" s="86">
        <f t="shared" ref="J71:K71" si="101">-(J40-(J67*Overall_ROR))/gross_up_factor</f>
        <v>0</v>
      </c>
      <c r="K71" s="86">
        <f t="shared" si="101"/>
        <v>17765.535247093241</v>
      </c>
      <c r="L71" s="149">
        <f t="shared" si="99"/>
        <v>-806.82416228418128</v>
      </c>
      <c r="M71" s="35">
        <f t="shared" si="99"/>
        <v>573240.05517457903</v>
      </c>
      <c r="N71" s="86">
        <f t="shared" si="99"/>
        <v>-661236.31633057399</v>
      </c>
      <c r="O71" s="86">
        <f t="shared" ref="O71:Q71" si="102">-(O40-(O67*Overall_ROR))/gross_up_factor</f>
        <v>2108651.5787843093</v>
      </c>
      <c r="P71" s="86">
        <f t="shared" si="102"/>
        <v>1523408.828877409</v>
      </c>
      <c r="Q71" s="86">
        <f t="shared" si="102"/>
        <v>0</v>
      </c>
      <c r="R71" s="149">
        <f t="shared" si="99"/>
        <v>0</v>
      </c>
      <c r="S71" s="35">
        <f t="shared" ref="S71:T71" si="103">-(S40-(S67*Overall_ROR))/gross_up_factor</f>
        <v>-7504506.8645582162</v>
      </c>
      <c r="T71" s="86">
        <f t="shared" si="103"/>
        <v>0</v>
      </c>
      <c r="U71" s="86">
        <f t="shared" ref="U71:W71" si="104">-(U40-(U67*Overall_ROR))/gross_up_factor</f>
        <v>0</v>
      </c>
      <c r="V71" s="86">
        <f t="shared" si="104"/>
        <v>0</v>
      </c>
      <c r="W71" s="149">
        <f t="shared" si="104"/>
        <v>0</v>
      </c>
      <c r="X71" s="148">
        <f t="shared" ref="X71:AA71" si="105">-(X40-(X67*Overall_ROR))/gross_up_factor</f>
        <v>0</v>
      </c>
      <c r="Y71" s="35">
        <f t="shared" ref="Y71:Z71" si="106">-(Y40-(Y67*Overall_ROR))/gross_up_factor</f>
        <v>0</v>
      </c>
      <c r="Z71" s="86">
        <f t="shared" si="106"/>
        <v>-2820196.3580239126</v>
      </c>
      <c r="AA71" s="86">
        <f t="shared" si="105"/>
        <v>6801620.8887885846</v>
      </c>
      <c r="AB71" s="35">
        <f t="shared" si="99"/>
        <v>1397282.4216892538</v>
      </c>
      <c r="AC71" s="149">
        <f t="shared" ref="AC71" si="107">-(AC40-(AC67*Overall_ROR))/gross_up_factor</f>
        <v>0</v>
      </c>
      <c r="AD71" s="35">
        <f t="shared" si="99"/>
        <v>14569724.533159282</v>
      </c>
      <c r="AE71" s="86">
        <f t="shared" ref="AE71" si="108">-(AE40-(AE67*Overall_ROR))/gross_up_factor</f>
        <v>-8452.6647027486342</v>
      </c>
      <c r="AF71" s="86">
        <f t="shared" si="99"/>
        <v>0</v>
      </c>
      <c r="AG71" s="86">
        <f t="shared" si="99"/>
        <v>0</v>
      </c>
      <c r="AH71" s="86">
        <f t="shared" si="99"/>
        <v>1356058.0857120056</v>
      </c>
      <c r="AI71" s="149">
        <f>-(AI40-(AI67*Overall_ROR))/gross_up_factor</f>
        <v>2689945.9125854592</v>
      </c>
      <c r="AJ71" s="35">
        <f t="shared" ref="AJ71:AK71" si="109">-(AJ40-(AJ67*Overall_ROR))/gross_up_factor</f>
        <v>0</v>
      </c>
      <c r="AK71" s="86">
        <f t="shared" si="109"/>
        <v>0</v>
      </c>
      <c r="AL71" s="35">
        <f t="shared" si="99"/>
        <v>3032652.0846309611</v>
      </c>
      <c r="AM71" s="86">
        <f t="shared" si="99"/>
        <v>0</v>
      </c>
      <c r="AN71" s="86">
        <f t="shared" si="99"/>
        <v>-175197.18264304192</v>
      </c>
      <c r="AO71" s="149">
        <f t="shared" si="99"/>
        <v>0</v>
      </c>
      <c r="AP71" s="35">
        <f t="shared" ref="AP71" si="110">-(AP40-(AP67*Overall_ROR))/gross_up_factor</f>
        <v>-2754949.6816894249</v>
      </c>
      <c r="AQ71" s="86">
        <f t="shared" si="99"/>
        <v>-38827.795709079284</v>
      </c>
      <c r="AR71" s="86">
        <f t="shared" si="99"/>
        <v>3019870.1813020175</v>
      </c>
      <c r="AS71" s="86">
        <f t="shared" si="99"/>
        <v>-1677649.2627521115</v>
      </c>
      <c r="AT71" s="86">
        <f t="shared" si="99"/>
        <v>-629486.14118551731</v>
      </c>
      <c r="AU71" s="149">
        <f t="shared" ref="AU71" si="111">-(AU40-(AU67*Overall_ROR))/gross_up_factor</f>
        <v>-300514.13772173016</v>
      </c>
      <c r="AV71" s="35">
        <f t="shared" si="99"/>
        <v>0</v>
      </c>
      <c r="AW71" s="86">
        <f t="shared" ref="AW71" si="112">-(AW40-(AW67*Overall_ROR))/gross_up_factor</f>
        <v>0</v>
      </c>
      <c r="AX71" s="148">
        <f t="shared" ref="AX71:BA71" si="113">-(AX40-(AX67*Overall_ROR))/gross_up_factor</f>
        <v>0</v>
      </c>
      <c r="AY71" s="35">
        <f t="shared" si="113"/>
        <v>-14627949.885392481</v>
      </c>
      <c r="AZ71" s="86">
        <f t="shared" si="113"/>
        <v>-2309785.4765932043</v>
      </c>
      <c r="BA71" s="149">
        <f t="shared" si="113"/>
        <v>-2229634.1694367481</v>
      </c>
      <c r="BB71" s="35">
        <f t="shared" ref="BB71:BF71" si="114">-(BB40-(BB67*Overall_ROR))/gross_up_factor</f>
        <v>656436.46584446018</v>
      </c>
      <c r="BC71" s="86">
        <f t="shared" si="114"/>
        <v>0</v>
      </c>
      <c r="BD71" s="86">
        <f t="shared" si="114"/>
        <v>0</v>
      </c>
      <c r="BE71" s="86">
        <f t="shared" si="114"/>
        <v>0</v>
      </c>
      <c r="BF71" s="149">
        <f t="shared" si="114"/>
        <v>0</v>
      </c>
      <c r="BG71" s="86"/>
      <c r="BH71" s="86"/>
      <c r="BI71" s="86"/>
      <c r="BJ71" s="86"/>
      <c r="BK71" s="86"/>
      <c r="BL71" s="86"/>
    </row>
    <row r="72" spans="1:65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6"/>
      <c r="AX72" s="19"/>
      <c r="AY72" s="17"/>
      <c r="AZ72" s="16"/>
      <c r="BA72" s="18"/>
      <c r="BB72" s="17"/>
      <c r="BC72" s="16"/>
      <c r="BD72" s="16"/>
      <c r="BE72" s="16"/>
      <c r="BF72" s="18"/>
      <c r="BG72" s="16"/>
      <c r="BH72" s="16"/>
      <c r="BI72" s="16"/>
      <c r="BJ72" s="16"/>
      <c r="BK72" s="16"/>
      <c r="BL72" s="16"/>
    </row>
    <row r="73" spans="1:65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12"/>
      <c r="AX73" s="69"/>
      <c r="AY73" s="27"/>
      <c r="AZ73" s="12"/>
      <c r="BA73" s="68"/>
      <c r="BB73" s="27"/>
      <c r="BC73" s="12"/>
      <c r="BD73" s="12"/>
      <c r="BE73" s="12"/>
      <c r="BF73" s="68"/>
      <c r="BG73" s="12"/>
      <c r="BH73" s="12"/>
      <c r="BI73" s="12"/>
      <c r="BJ73" s="12"/>
      <c r="BK73" s="12"/>
      <c r="BL73" s="12"/>
    </row>
    <row r="74" spans="1:65" x14ac:dyDescent="0.2">
      <c r="A74" s="14" t="s">
        <v>97</v>
      </c>
      <c r="B74" s="35">
        <f t="shared" ref="B74:B80" si="115">SUM(C74:BF74)</f>
        <v>29346691.246951763</v>
      </c>
      <c r="C74" s="35">
        <f t="shared" ref="C74:AF74" si="116">C16-C29-C30-C31-C32-C37</f>
        <v>-2240536.6973766158</v>
      </c>
      <c r="D74" s="86">
        <f t="shared" si="116"/>
        <v>33713237.028113201</v>
      </c>
      <c r="E74" s="86">
        <f t="shared" si="116"/>
        <v>-21606.74304644515</v>
      </c>
      <c r="F74" s="148">
        <f t="shared" si="116"/>
        <v>-172838.66050180205</v>
      </c>
      <c r="G74" s="35">
        <f t="shared" si="116"/>
        <v>-376068.13367364765</v>
      </c>
      <c r="H74" s="86">
        <f t="shared" si="116"/>
        <v>0</v>
      </c>
      <c r="I74" s="86">
        <f t="shared" si="116"/>
        <v>194940.36013907607</v>
      </c>
      <c r="J74" s="86">
        <f t="shared" si="116"/>
        <v>0</v>
      </c>
      <c r="K74" s="86">
        <f t="shared" si="116"/>
        <v>-16906.942670214736</v>
      </c>
      <c r="L74" s="149">
        <f t="shared" si="116"/>
        <v>767.83106542847236</v>
      </c>
      <c r="M74" s="35">
        <f t="shared" si="116"/>
        <v>-545535.87124221772</v>
      </c>
      <c r="N74" s="86">
        <f t="shared" si="116"/>
        <v>629279.35106791416</v>
      </c>
      <c r="O74" s="86">
        <f t="shared" si="116"/>
        <v>-2006742.3164071133</v>
      </c>
      <c r="P74" s="86">
        <f t="shared" si="116"/>
        <v>-1273483.376388011</v>
      </c>
      <c r="Q74" s="86">
        <f t="shared" si="116"/>
        <v>0</v>
      </c>
      <c r="R74" s="149">
        <f t="shared" si="116"/>
        <v>0</v>
      </c>
      <c r="S74" s="35">
        <f t="shared" si="116"/>
        <v>7141820.6973571628</v>
      </c>
      <c r="T74" s="86">
        <f t="shared" si="116"/>
        <v>0</v>
      </c>
      <c r="U74" s="86">
        <f t="shared" si="116"/>
        <v>0</v>
      </c>
      <c r="V74" s="86">
        <f t="shared" si="116"/>
        <v>0</v>
      </c>
      <c r="W74" s="149">
        <f t="shared" si="116"/>
        <v>0</v>
      </c>
      <c r="X74" s="148">
        <f t="shared" si="116"/>
        <v>0</v>
      </c>
      <c r="Y74" s="35">
        <f t="shared" si="116"/>
        <v>0</v>
      </c>
      <c r="Z74" s="86">
        <f t="shared" si="116"/>
        <v>0</v>
      </c>
      <c r="AA74" s="86">
        <f t="shared" si="116"/>
        <v>-5933674.8417438753</v>
      </c>
      <c r="AB74" s="35">
        <f t="shared" si="116"/>
        <v>0</v>
      </c>
      <c r="AC74" s="149">
        <f t="shared" si="116"/>
        <v>0</v>
      </c>
      <c r="AD74" s="35">
        <f t="shared" si="116"/>
        <v>0</v>
      </c>
      <c r="AE74" s="86">
        <f t="shared" si="116"/>
        <v>0</v>
      </c>
      <c r="AF74" s="86">
        <f t="shared" si="116"/>
        <v>0</v>
      </c>
      <c r="AG74" s="86">
        <f t="shared" ref="AG74:BA74" si="117">AG16-AG29-AG30-AG31-AG32-AG37</f>
        <v>0</v>
      </c>
      <c r="AH74" s="86">
        <f t="shared" si="117"/>
        <v>-1290521</v>
      </c>
      <c r="AI74" s="149">
        <f>AI16-AI29-AI30-AI31-AI32-AI37</f>
        <v>0</v>
      </c>
      <c r="AJ74" s="35">
        <f t="shared" si="117"/>
        <v>0</v>
      </c>
      <c r="AK74" s="86">
        <f t="shared" si="117"/>
        <v>0</v>
      </c>
      <c r="AL74" s="35">
        <f t="shared" si="117"/>
        <v>0</v>
      </c>
      <c r="AM74" s="86">
        <f t="shared" si="117"/>
        <v>0</v>
      </c>
      <c r="AN74" s="86">
        <f t="shared" si="117"/>
        <v>0</v>
      </c>
      <c r="AO74" s="149">
        <f t="shared" si="117"/>
        <v>0</v>
      </c>
      <c r="AP74" s="35">
        <f t="shared" si="117"/>
        <v>0</v>
      </c>
      <c r="AQ74" s="86">
        <f t="shared" si="117"/>
        <v>-2336.9299999999998</v>
      </c>
      <c r="AR74" s="86">
        <f t="shared" si="117"/>
        <v>0</v>
      </c>
      <c r="AS74" s="86">
        <f t="shared" si="117"/>
        <v>0</v>
      </c>
      <c r="AT74" s="86">
        <f t="shared" si="117"/>
        <v>0</v>
      </c>
      <c r="AU74" s="149">
        <f t="shared" si="117"/>
        <v>253659.07857429984</v>
      </c>
      <c r="AV74" s="35">
        <f t="shared" si="117"/>
        <v>0</v>
      </c>
      <c r="AW74" s="86">
        <f t="shared" si="117"/>
        <v>0</v>
      </c>
      <c r="AX74" s="148">
        <f t="shared" si="117"/>
        <v>0</v>
      </c>
      <c r="AY74" s="35">
        <f t="shared" si="117"/>
        <v>0</v>
      </c>
      <c r="AZ74" s="86">
        <f t="shared" si="117"/>
        <v>0</v>
      </c>
      <c r="BA74" s="149">
        <f t="shared" si="117"/>
        <v>1293238.4136846224</v>
      </c>
      <c r="BB74" s="35">
        <f t="shared" ref="BB74:BF74" si="118">BB16-BB29-BB30-BB31-BB32-BB37</f>
        <v>0</v>
      </c>
      <c r="BC74" s="86">
        <f t="shared" si="118"/>
        <v>0</v>
      </c>
      <c r="BD74" s="86">
        <f t="shared" si="118"/>
        <v>0</v>
      </c>
      <c r="BE74" s="86">
        <f t="shared" si="118"/>
        <v>0</v>
      </c>
      <c r="BF74" s="149">
        <f t="shared" si="118"/>
        <v>0</v>
      </c>
      <c r="BG74" s="86"/>
      <c r="BH74" s="86"/>
      <c r="BI74" s="86"/>
      <c r="BJ74" s="86"/>
      <c r="BK74" s="86"/>
      <c r="BL74" s="86"/>
    </row>
    <row r="75" spans="1:65" x14ac:dyDescent="0.2">
      <c r="A75" s="14" t="s">
        <v>98</v>
      </c>
      <c r="B75" s="35">
        <f t="shared" si="115"/>
        <v>0</v>
      </c>
      <c r="C75" s="27"/>
      <c r="D75" s="12"/>
      <c r="E75" s="12"/>
      <c r="F75" s="69"/>
      <c r="G75" s="27"/>
      <c r="H75" s="12"/>
      <c r="I75" s="12"/>
      <c r="J75" s="12"/>
      <c r="K75" s="12"/>
      <c r="L75" s="68"/>
      <c r="M75" s="27"/>
      <c r="N75" s="12"/>
      <c r="O75" s="12"/>
      <c r="P75" s="12"/>
      <c r="Q75" s="12"/>
      <c r="R75" s="68"/>
      <c r="S75" s="27"/>
      <c r="T75" s="12"/>
      <c r="U75" s="12"/>
      <c r="V75" s="12"/>
      <c r="W75" s="68"/>
      <c r="X75" s="69"/>
      <c r="Y75" s="27"/>
      <c r="Z75" s="12"/>
      <c r="AA75" s="12"/>
      <c r="AB75" s="27"/>
      <c r="AC75" s="68"/>
      <c r="AD75" s="27"/>
      <c r="AE75" s="12"/>
      <c r="AF75" s="12"/>
      <c r="AG75" s="12"/>
      <c r="AH75" s="12"/>
      <c r="AI75" s="68"/>
      <c r="AJ75" s="27"/>
      <c r="AK75" s="12"/>
      <c r="AL75" s="27"/>
      <c r="AM75" s="12"/>
      <c r="AN75" s="12"/>
      <c r="AO75" s="68"/>
      <c r="AP75" s="27"/>
      <c r="AQ75" s="12"/>
      <c r="AR75" s="12"/>
      <c r="AS75" s="12"/>
      <c r="AT75" s="12"/>
      <c r="AU75" s="68"/>
      <c r="AV75" s="27"/>
      <c r="AW75" s="12"/>
      <c r="AX75" s="69"/>
      <c r="AY75" s="27"/>
      <c r="AZ75" s="12"/>
      <c r="BA75" s="68"/>
      <c r="BB75" s="27"/>
      <c r="BC75" s="12"/>
      <c r="BD75" s="12"/>
      <c r="BE75" s="12"/>
      <c r="BF75" s="68"/>
      <c r="BG75" s="12"/>
      <c r="BH75" s="12"/>
      <c r="BI75" s="12"/>
      <c r="BJ75" s="12"/>
      <c r="BK75" s="12"/>
      <c r="BL75" s="12"/>
    </row>
    <row r="76" spans="1:65" x14ac:dyDescent="0.2">
      <c r="A76" s="14" t="s">
        <v>99</v>
      </c>
      <c r="B76" s="35">
        <f t="shared" si="115"/>
        <v>0</v>
      </c>
      <c r="C76" s="28"/>
      <c r="D76" s="70"/>
      <c r="E76" s="70"/>
      <c r="F76" s="80"/>
      <c r="G76" s="28"/>
      <c r="H76" s="70"/>
      <c r="I76" s="70"/>
      <c r="J76" s="70"/>
      <c r="K76" s="70"/>
      <c r="L76" s="71"/>
      <c r="M76" s="28"/>
      <c r="N76" s="70"/>
      <c r="O76" s="70"/>
      <c r="P76" s="70"/>
      <c r="Q76" s="70"/>
      <c r="R76" s="71"/>
      <c r="S76" s="28"/>
      <c r="T76" s="70"/>
      <c r="U76" s="70"/>
      <c r="V76" s="70"/>
      <c r="W76" s="71"/>
      <c r="X76" s="80"/>
      <c r="Y76" s="28"/>
      <c r="Z76" s="70"/>
      <c r="AA76" s="70"/>
      <c r="AB76" s="28"/>
      <c r="AC76" s="71"/>
      <c r="AD76" s="28"/>
      <c r="AE76" s="70"/>
      <c r="AF76" s="70"/>
      <c r="AG76" s="70"/>
      <c r="AH76" s="70"/>
      <c r="AI76" s="71"/>
      <c r="AJ76" s="28"/>
      <c r="AK76" s="70"/>
      <c r="AL76" s="28"/>
      <c r="AM76" s="70"/>
      <c r="AN76" s="70"/>
      <c r="AO76" s="71"/>
      <c r="AP76" s="28"/>
      <c r="AQ76" s="70"/>
      <c r="AR76" s="70"/>
      <c r="AS76" s="70"/>
      <c r="AT76" s="70"/>
      <c r="AU76" s="71"/>
      <c r="AV76" s="28"/>
      <c r="AW76" s="70"/>
      <c r="AX76" s="80"/>
      <c r="AY76" s="28"/>
      <c r="AZ76" s="70"/>
      <c r="BA76" s="71"/>
      <c r="BB76" s="28"/>
      <c r="BC76" s="70"/>
      <c r="BD76" s="70"/>
      <c r="BE76" s="70"/>
      <c r="BF76" s="71"/>
      <c r="BG76" s="70"/>
      <c r="BH76" s="70"/>
      <c r="BI76" s="70"/>
      <c r="BJ76" s="70"/>
      <c r="BK76" s="70"/>
      <c r="BL76" s="70"/>
    </row>
    <row r="77" spans="1:65" x14ac:dyDescent="0.2">
      <c r="A77" s="14" t="s">
        <v>100</v>
      </c>
      <c r="B77" s="35">
        <f t="shared" si="115"/>
        <v>-5002404.1441638805</v>
      </c>
      <c r="C77" s="28"/>
      <c r="D77" s="70"/>
      <c r="E77" s="70"/>
      <c r="F77" s="80"/>
      <c r="G77" s="28"/>
      <c r="H77" s="70"/>
      <c r="I77" s="70"/>
      <c r="J77" s="70"/>
      <c r="K77" s="70"/>
      <c r="L77" s="71"/>
      <c r="M77" s="28"/>
      <c r="N77" s="70"/>
      <c r="O77" s="70"/>
      <c r="P77" s="70"/>
      <c r="Q77" s="70"/>
      <c r="R77" s="71"/>
      <c r="S77" s="28"/>
      <c r="T77" s="70"/>
      <c r="U77" s="70"/>
      <c r="V77" s="70"/>
      <c r="W77" s="71"/>
      <c r="X77" s="80"/>
      <c r="Y77" s="28"/>
      <c r="Z77" s="70"/>
      <c r="AA77" s="70"/>
      <c r="AB77" s="28">
        <f>'Interest Calc'!C16</f>
        <v>-5002404.1441638805</v>
      </c>
      <c r="AC77" s="71"/>
      <c r="AD77" s="28"/>
      <c r="AE77" s="70"/>
      <c r="AF77" s="70"/>
      <c r="AG77" s="70"/>
      <c r="AH77" s="70"/>
      <c r="AI77" s="71"/>
      <c r="AJ77" s="28"/>
      <c r="AK77" s="70"/>
      <c r="AL77" s="28"/>
      <c r="AM77" s="70"/>
      <c r="AN77" s="70"/>
      <c r="AO77" s="71"/>
      <c r="AP77" s="28"/>
      <c r="AQ77" s="70"/>
      <c r="AR77" s="70"/>
      <c r="AS77" s="70"/>
      <c r="AT77" s="70"/>
      <c r="AU77" s="71"/>
      <c r="AV77" s="28"/>
      <c r="AW77" s="70"/>
      <c r="AX77" s="80"/>
      <c r="AY77" s="28"/>
      <c r="AZ77" s="70"/>
      <c r="BA77" s="71"/>
      <c r="BB77" s="28"/>
      <c r="BC77" s="70"/>
      <c r="BD77" s="70"/>
      <c r="BE77" s="70"/>
      <c r="BF77" s="71"/>
      <c r="BG77" s="70"/>
      <c r="BH77" s="70"/>
      <c r="BI77" s="70"/>
      <c r="BJ77" s="70"/>
      <c r="BK77" s="70"/>
      <c r="BL77" s="70"/>
    </row>
    <row r="78" spans="1:65" x14ac:dyDescent="0.2">
      <c r="A78" s="14" t="s">
        <v>101</v>
      </c>
      <c r="B78" s="35">
        <f t="shared" si="115"/>
        <v>1370029.8969781273</v>
      </c>
      <c r="C78" s="28"/>
      <c r="D78" s="70"/>
      <c r="E78" s="70"/>
      <c r="F78" s="80"/>
      <c r="G78" s="28"/>
      <c r="H78" s="70"/>
      <c r="I78" s="70"/>
      <c r="J78" s="70"/>
      <c r="K78" s="70"/>
      <c r="L78" s="71"/>
      <c r="M78" s="28"/>
      <c r="N78" s="70"/>
      <c r="O78" s="70"/>
      <c r="P78" s="70">
        <f>'[53]4.11'!$I$18</f>
        <v>-770947.16000000015</v>
      </c>
      <c r="Q78" s="70"/>
      <c r="R78" s="71"/>
      <c r="S78" s="28"/>
      <c r="T78" s="70"/>
      <c r="U78" s="70"/>
      <c r="V78" s="70"/>
      <c r="W78" s="71"/>
      <c r="X78" s="80"/>
      <c r="Y78" s="28"/>
      <c r="Z78" s="70"/>
      <c r="AA78" s="70">
        <f>SUM('[32]6.4'!$I$22,'[32]6.4'!$I$30)</f>
        <v>2028530.9125303458</v>
      </c>
      <c r="AB78" s="28"/>
      <c r="AC78" s="71"/>
      <c r="AD78" s="28"/>
      <c r="AE78" s="70">
        <f>'[29]7.4.1'!$I$30</f>
        <v>-306028.52656283416</v>
      </c>
      <c r="AF78" s="70"/>
      <c r="AG78" s="70"/>
      <c r="AH78" s="70"/>
      <c r="AI78" s="71"/>
      <c r="AJ78" s="28"/>
      <c r="AK78" s="70"/>
      <c r="AL78" s="28"/>
      <c r="AM78" s="70"/>
      <c r="AN78" s="70"/>
      <c r="AO78" s="71"/>
      <c r="AP78" s="28"/>
      <c r="AQ78" s="70"/>
      <c r="AR78" s="70"/>
      <c r="AS78" s="70"/>
      <c r="AT78" s="70"/>
      <c r="AU78" s="71"/>
      <c r="AV78" s="28"/>
      <c r="AW78" s="70"/>
      <c r="AX78" s="80"/>
      <c r="AY78" s="28"/>
      <c r="AZ78" s="70">
        <f>'[4]10.2'!$I$20</f>
        <v>418474.67101061583</v>
      </c>
      <c r="BA78" s="71"/>
      <c r="BB78" s="28"/>
      <c r="BC78" s="70"/>
      <c r="BD78" s="70"/>
      <c r="BE78" s="70"/>
      <c r="BF78" s="71"/>
      <c r="BG78" s="70"/>
      <c r="BH78" s="70"/>
      <c r="BI78" s="70"/>
      <c r="BJ78" s="70"/>
      <c r="BK78" s="70"/>
      <c r="BL78" s="70"/>
    </row>
    <row r="79" spans="1:65" x14ac:dyDescent="0.2">
      <c r="A79" s="14" t="s">
        <v>102</v>
      </c>
      <c r="B79" s="35">
        <f t="shared" si="115"/>
        <v>1328870.096516567</v>
      </c>
      <c r="C79" s="87"/>
      <c r="D79" s="78"/>
      <c r="E79" s="78"/>
      <c r="F79" s="261"/>
      <c r="G79" s="87"/>
      <c r="H79" s="78"/>
      <c r="I79" s="78"/>
      <c r="J79" s="78"/>
      <c r="K79" s="78"/>
      <c r="L79" s="88"/>
      <c r="M79" s="87"/>
      <c r="N79" s="78"/>
      <c r="O79" s="78"/>
      <c r="P79" s="78">
        <f>'[53]4.11'!$I$17</f>
        <v>414133.89288217115</v>
      </c>
      <c r="Q79" s="78"/>
      <c r="R79" s="88"/>
      <c r="S79" s="87"/>
      <c r="T79" s="78"/>
      <c r="U79" s="78"/>
      <c r="V79" s="78"/>
      <c r="W79" s="88"/>
      <c r="X79" s="261"/>
      <c r="Y79" s="87"/>
      <c r="Z79" s="78"/>
      <c r="AA79" s="78"/>
      <c r="AB79" s="87"/>
      <c r="AC79" s="88"/>
      <c r="AD79" s="87"/>
      <c r="AE79" s="78">
        <f>'[29]7.4.1'!$I$31</f>
        <v>-1323299.0699693311</v>
      </c>
      <c r="AF79" s="78"/>
      <c r="AG79" s="78"/>
      <c r="AH79" s="78"/>
      <c r="AI79" s="88"/>
      <c r="AJ79" s="87"/>
      <c r="AK79" s="78"/>
      <c r="AL79" s="87"/>
      <c r="AM79" s="78"/>
      <c r="AN79" s="78"/>
      <c r="AO79" s="88"/>
      <c r="AP79" s="87"/>
      <c r="AQ79" s="78"/>
      <c r="AR79" s="78"/>
      <c r="AS79" s="78"/>
      <c r="AT79" s="78"/>
      <c r="AU79" s="88"/>
      <c r="AV79" s="87"/>
      <c r="AW79" s="78"/>
      <c r="AX79" s="261"/>
      <c r="AY79" s="87"/>
      <c r="AZ79" s="78"/>
      <c r="BA79" s="88">
        <f>'[5]10.3'!$I$11</f>
        <v>2238035.2736037271</v>
      </c>
      <c r="BB79" s="87"/>
      <c r="BC79" s="78"/>
      <c r="BD79" s="78"/>
      <c r="BE79" s="78"/>
      <c r="BF79" s="88"/>
      <c r="BG79" s="70"/>
      <c r="BH79" s="70"/>
      <c r="BI79" s="70"/>
      <c r="BJ79" s="70"/>
      <c r="BK79" s="70"/>
      <c r="BL79" s="70"/>
    </row>
    <row r="80" spans="1:65" x14ac:dyDescent="0.2">
      <c r="A80" s="14" t="s">
        <v>103</v>
      </c>
      <c r="B80" s="255">
        <f t="shared" si="115"/>
        <v>34390255.191577196</v>
      </c>
      <c r="C80" s="153">
        <f t="shared" ref="C80:AV80" si="119">C74-C76-C77+C78-C79</f>
        <v>-2240536.6973766158</v>
      </c>
      <c r="D80" s="13">
        <f t="shared" si="119"/>
        <v>33713237.028113201</v>
      </c>
      <c r="E80" s="13">
        <f t="shared" ref="E80" si="120">E74-E76-E77+E78-E79</f>
        <v>-21606.74304644515</v>
      </c>
      <c r="F80" s="262">
        <f t="shared" si="119"/>
        <v>-172838.66050180205</v>
      </c>
      <c r="G80" s="153">
        <f t="shared" si="119"/>
        <v>-376068.13367364765</v>
      </c>
      <c r="H80" s="13">
        <f t="shared" si="119"/>
        <v>0</v>
      </c>
      <c r="I80" s="13">
        <f t="shared" si="119"/>
        <v>194940.36013907607</v>
      </c>
      <c r="J80" s="13">
        <f t="shared" ref="J80:K80" si="121">J74-J76-J77+J78-J79</f>
        <v>0</v>
      </c>
      <c r="K80" s="13">
        <f t="shared" si="121"/>
        <v>-16906.942670214736</v>
      </c>
      <c r="L80" s="154">
        <f t="shared" si="119"/>
        <v>767.83106542847236</v>
      </c>
      <c r="M80" s="153">
        <f t="shared" si="119"/>
        <v>-545535.87124221772</v>
      </c>
      <c r="N80" s="13">
        <f t="shared" ref="N80:P80" si="122">N74-N76-N77+N78-N79</f>
        <v>629279.35106791416</v>
      </c>
      <c r="O80" s="13">
        <f t="shared" si="122"/>
        <v>-2006742.3164071133</v>
      </c>
      <c r="P80" s="13">
        <f t="shared" si="122"/>
        <v>-2458564.4292701823</v>
      </c>
      <c r="Q80" s="13">
        <f>Q74-Q76-Q77+Q78-Q79</f>
        <v>0</v>
      </c>
      <c r="R80" s="154">
        <f t="shared" ref="R80:AA80" si="123">R74-R76-R77+R78-R79</f>
        <v>0</v>
      </c>
      <c r="S80" s="153">
        <f t="shared" ref="S80:T80" si="124">S74-S76-S77+S78-S79</f>
        <v>7141820.6973571628</v>
      </c>
      <c r="T80" s="13">
        <f t="shared" si="124"/>
        <v>0</v>
      </c>
      <c r="U80" s="13">
        <f t="shared" ref="U80:W80" si="125">U74-U76-U77+U78-U79</f>
        <v>0</v>
      </c>
      <c r="V80" s="13">
        <f t="shared" si="125"/>
        <v>0</v>
      </c>
      <c r="W80" s="154">
        <f t="shared" si="125"/>
        <v>0</v>
      </c>
      <c r="X80" s="262">
        <f t="shared" ref="X80:Y80" si="126">X74-X76-X77+X78-X79</f>
        <v>0</v>
      </c>
      <c r="Y80" s="153">
        <f t="shared" si="126"/>
        <v>0</v>
      </c>
      <c r="Z80" s="13">
        <f t="shared" ref="Z80" si="127">Z74-Z76-Z77+Z78-Z79</f>
        <v>0</v>
      </c>
      <c r="AA80" s="13">
        <f t="shared" si="123"/>
        <v>-3905143.9292135295</v>
      </c>
      <c r="AB80" s="153">
        <f t="shared" si="119"/>
        <v>5002404.1441638805</v>
      </c>
      <c r="AC80" s="154">
        <f t="shared" ref="AC80" si="128">AC74-AC76-AC77+AC78-AC79</f>
        <v>0</v>
      </c>
      <c r="AD80" s="153">
        <f t="shared" si="119"/>
        <v>0</v>
      </c>
      <c r="AE80" s="13">
        <f t="shared" ref="AE80" si="129">AE74-AE76-AE77+AE78-AE79</f>
        <v>1017270.543406497</v>
      </c>
      <c r="AF80" s="13">
        <f t="shared" si="119"/>
        <v>0</v>
      </c>
      <c r="AG80" s="13">
        <f t="shared" si="119"/>
        <v>0</v>
      </c>
      <c r="AH80" s="13">
        <f t="shared" ref="AH80" si="130">AH74-AH76-AH77+AH78-AH79</f>
        <v>-1290521</v>
      </c>
      <c r="AI80" s="154">
        <f>AI74-AI76-AI77+AI78-AI79</f>
        <v>0</v>
      </c>
      <c r="AJ80" s="153">
        <f t="shared" ref="AJ80:AK80" si="131">AJ74-AJ76-AJ77+AJ78-AJ79</f>
        <v>0</v>
      </c>
      <c r="AK80" s="13">
        <f t="shared" si="131"/>
        <v>0</v>
      </c>
      <c r="AL80" s="153">
        <f t="shared" si="119"/>
        <v>0</v>
      </c>
      <c r="AM80" s="13">
        <f t="shared" si="119"/>
        <v>0</v>
      </c>
      <c r="AN80" s="13">
        <f t="shared" si="119"/>
        <v>0</v>
      </c>
      <c r="AO80" s="154">
        <f t="shared" si="119"/>
        <v>0</v>
      </c>
      <c r="AP80" s="153">
        <f t="shared" ref="AP80" si="132">AP74-AP76-AP77+AP78-AP79</f>
        <v>0</v>
      </c>
      <c r="AQ80" s="13">
        <f t="shared" ref="AQ80" si="133">AQ74-AQ76-AQ77+AQ78-AQ79</f>
        <v>-2336.9299999999998</v>
      </c>
      <c r="AR80" s="13">
        <f t="shared" si="119"/>
        <v>0</v>
      </c>
      <c r="AS80" s="13">
        <f t="shared" si="119"/>
        <v>0</v>
      </c>
      <c r="AT80" s="13">
        <f t="shared" si="119"/>
        <v>0</v>
      </c>
      <c r="AU80" s="154">
        <f t="shared" ref="AU80" si="134">AU74-AU76-AU77+AU78-AU79</f>
        <v>253659.07857429984</v>
      </c>
      <c r="AV80" s="153">
        <f t="shared" si="119"/>
        <v>0</v>
      </c>
      <c r="AW80" s="13">
        <f t="shared" ref="AW80" si="135">AW74-AW76-AW77+AW78-AW79</f>
        <v>0</v>
      </c>
      <c r="AX80" s="262">
        <f t="shared" ref="AX80:BA80" si="136">AX74-AX76-AX77+AX78-AX79</f>
        <v>0</v>
      </c>
      <c r="AY80" s="153">
        <f t="shared" si="136"/>
        <v>0</v>
      </c>
      <c r="AZ80" s="13">
        <f t="shared" si="136"/>
        <v>418474.67101061583</v>
      </c>
      <c r="BA80" s="154">
        <f t="shared" si="136"/>
        <v>-944796.85991910473</v>
      </c>
      <c r="BB80" s="153">
        <f t="shared" ref="BB80:BF80" si="137">BB74-BB76-BB77+BB78-BB79</f>
        <v>0</v>
      </c>
      <c r="BC80" s="13">
        <f t="shared" si="137"/>
        <v>0</v>
      </c>
      <c r="BD80" s="13">
        <f t="shared" si="137"/>
        <v>0</v>
      </c>
      <c r="BE80" s="13">
        <f t="shared" si="137"/>
        <v>0</v>
      </c>
      <c r="BF80" s="154">
        <f t="shared" si="137"/>
        <v>0</v>
      </c>
      <c r="BG80" s="13"/>
      <c r="BH80" s="13"/>
      <c r="BI80" s="13"/>
      <c r="BJ80" s="13"/>
      <c r="BK80" s="13"/>
      <c r="BL80" s="13"/>
    </row>
    <row r="81" spans="1:64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12"/>
      <c r="AX81" s="69"/>
      <c r="AY81" s="27"/>
      <c r="AZ81" s="12"/>
      <c r="BA81" s="68"/>
      <c r="BB81" s="27"/>
      <c r="BC81" s="12"/>
      <c r="BD81" s="12"/>
      <c r="BE81" s="12"/>
      <c r="BF81" s="68"/>
      <c r="BG81" s="12"/>
      <c r="BH81" s="12"/>
      <c r="BI81" s="12"/>
      <c r="BJ81" s="12"/>
      <c r="BK81" s="12"/>
      <c r="BL81" s="12"/>
    </row>
    <row r="82" spans="1:64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12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  <c r="BG82" s="12"/>
      <c r="BH82" s="12"/>
      <c r="BI82" s="12"/>
      <c r="BJ82" s="12"/>
      <c r="BK82" s="12"/>
      <c r="BL82" s="12"/>
    </row>
    <row r="83" spans="1:64" x14ac:dyDescent="0.2">
      <c r="A83" s="14" t="s">
        <v>105</v>
      </c>
      <c r="B83" s="36">
        <f>SUM(C83:BF83)</f>
        <v>34390255.191577196</v>
      </c>
      <c r="C83" s="27">
        <f>C80-C82</f>
        <v>-2240536.6973766158</v>
      </c>
      <c r="D83" s="12">
        <f t="shared" ref="D83:AV83" si="138">D80-D82</f>
        <v>33713237.028113201</v>
      </c>
      <c r="E83" s="12">
        <f t="shared" ref="E83" si="139">E80-E82</f>
        <v>-21606.74304644515</v>
      </c>
      <c r="F83" s="69">
        <f t="shared" si="138"/>
        <v>-172838.66050180205</v>
      </c>
      <c r="G83" s="27">
        <f t="shared" si="138"/>
        <v>-376068.13367364765</v>
      </c>
      <c r="H83" s="12">
        <f t="shared" si="138"/>
        <v>0</v>
      </c>
      <c r="I83" s="12">
        <f t="shared" si="138"/>
        <v>194940.36013907607</v>
      </c>
      <c r="J83" s="12">
        <f t="shared" ref="J83:K83" si="140">J80-J82</f>
        <v>0</v>
      </c>
      <c r="K83" s="12">
        <f t="shared" si="140"/>
        <v>-16906.942670214736</v>
      </c>
      <c r="L83" s="68">
        <f t="shared" si="138"/>
        <v>767.83106542847236</v>
      </c>
      <c r="M83" s="27">
        <f t="shared" si="138"/>
        <v>-545535.87124221772</v>
      </c>
      <c r="N83" s="12">
        <f t="shared" si="138"/>
        <v>629279.35106791416</v>
      </c>
      <c r="O83" s="12">
        <f t="shared" ref="O83:Q83" si="141">O80-O82</f>
        <v>-2006742.3164071133</v>
      </c>
      <c r="P83" s="12">
        <f t="shared" si="141"/>
        <v>-2458564.4292701823</v>
      </c>
      <c r="Q83" s="12">
        <f t="shared" si="141"/>
        <v>0</v>
      </c>
      <c r="R83" s="68">
        <f t="shared" si="138"/>
        <v>0</v>
      </c>
      <c r="S83" s="27">
        <f t="shared" ref="S83:T83" si="142">S80-S82</f>
        <v>7141820.6973571628</v>
      </c>
      <c r="T83" s="12">
        <f t="shared" si="142"/>
        <v>0</v>
      </c>
      <c r="U83" s="12">
        <f t="shared" ref="U83:W83" si="143">U80-U82</f>
        <v>0</v>
      </c>
      <c r="V83" s="12">
        <f t="shared" si="143"/>
        <v>0</v>
      </c>
      <c r="W83" s="68">
        <f t="shared" si="143"/>
        <v>0</v>
      </c>
      <c r="X83" s="69">
        <f t="shared" ref="X83:AA83" si="144">X80-X82</f>
        <v>0</v>
      </c>
      <c r="Y83" s="27">
        <f t="shared" ref="Y83:Z83" si="145">Y80-Y82</f>
        <v>0</v>
      </c>
      <c r="Z83" s="12">
        <f t="shared" si="145"/>
        <v>0</v>
      </c>
      <c r="AA83" s="12">
        <f t="shared" si="144"/>
        <v>-3905143.9292135295</v>
      </c>
      <c r="AB83" s="27">
        <f t="shared" si="138"/>
        <v>5002404.1441638805</v>
      </c>
      <c r="AC83" s="68">
        <f t="shared" ref="AC83" si="146">AC80-AC82</f>
        <v>0</v>
      </c>
      <c r="AD83" s="27">
        <f t="shared" si="138"/>
        <v>0</v>
      </c>
      <c r="AE83" s="12">
        <f t="shared" ref="AE83" si="147">AE80-AE82</f>
        <v>1017270.543406497</v>
      </c>
      <c r="AF83" s="12">
        <f t="shared" si="138"/>
        <v>0</v>
      </c>
      <c r="AG83" s="12">
        <f t="shared" si="138"/>
        <v>0</v>
      </c>
      <c r="AH83" s="12">
        <f t="shared" si="138"/>
        <v>-1290521</v>
      </c>
      <c r="AI83" s="68">
        <f>AI80-AI82</f>
        <v>0</v>
      </c>
      <c r="AJ83" s="27">
        <f t="shared" ref="AJ83:AK83" si="148">AJ80-AJ82</f>
        <v>0</v>
      </c>
      <c r="AK83" s="12">
        <f t="shared" si="148"/>
        <v>0</v>
      </c>
      <c r="AL83" s="27">
        <f t="shared" si="138"/>
        <v>0</v>
      </c>
      <c r="AM83" s="12">
        <f t="shared" si="138"/>
        <v>0</v>
      </c>
      <c r="AN83" s="12">
        <f t="shared" si="138"/>
        <v>0</v>
      </c>
      <c r="AO83" s="68">
        <f t="shared" si="138"/>
        <v>0</v>
      </c>
      <c r="AP83" s="27">
        <f t="shared" ref="AP83" si="149">AP80-AP82</f>
        <v>0</v>
      </c>
      <c r="AQ83" s="12">
        <f t="shared" si="138"/>
        <v>-2336.9299999999998</v>
      </c>
      <c r="AR83" s="12">
        <f t="shared" si="138"/>
        <v>0</v>
      </c>
      <c r="AS83" s="12">
        <f t="shared" si="138"/>
        <v>0</v>
      </c>
      <c r="AT83" s="12">
        <f t="shared" si="138"/>
        <v>0</v>
      </c>
      <c r="AU83" s="68">
        <f t="shared" ref="AU83" si="150">AU80-AU82</f>
        <v>253659.07857429984</v>
      </c>
      <c r="AV83" s="27">
        <f t="shared" si="138"/>
        <v>0</v>
      </c>
      <c r="AW83" s="12">
        <f t="shared" ref="AW83" si="151">AW80-AW82</f>
        <v>0</v>
      </c>
      <c r="AX83" s="69">
        <f t="shared" ref="AX83:BA83" si="152">AX80-AX82</f>
        <v>0</v>
      </c>
      <c r="AY83" s="27">
        <f t="shared" si="152"/>
        <v>0</v>
      </c>
      <c r="AZ83" s="12">
        <f t="shared" si="152"/>
        <v>418474.67101061583</v>
      </c>
      <c r="BA83" s="68">
        <f t="shared" si="152"/>
        <v>-944796.85991910473</v>
      </c>
      <c r="BB83" s="27">
        <f t="shared" ref="BB83:BF83" si="153">BB80-BB82</f>
        <v>0</v>
      </c>
      <c r="BC83" s="12">
        <f t="shared" si="153"/>
        <v>0</v>
      </c>
      <c r="BD83" s="12">
        <f t="shared" si="153"/>
        <v>0</v>
      </c>
      <c r="BE83" s="12">
        <f t="shared" si="153"/>
        <v>0</v>
      </c>
      <c r="BF83" s="68">
        <f t="shared" si="153"/>
        <v>0</v>
      </c>
      <c r="BG83" s="12"/>
      <c r="BH83" s="12"/>
      <c r="BI83" s="12"/>
      <c r="BJ83" s="12"/>
      <c r="BK83" s="12"/>
      <c r="BL83" s="12"/>
    </row>
    <row r="84" spans="1:64" x14ac:dyDescent="0.2">
      <c r="A84" s="14"/>
      <c r="B84" s="36"/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12"/>
      <c r="AX84" s="69"/>
      <c r="AY84" s="27"/>
      <c r="AZ84" s="12"/>
      <c r="BA84" s="68"/>
      <c r="BB84" s="27"/>
      <c r="BC84" s="12"/>
      <c r="BD84" s="12"/>
      <c r="BE84" s="12"/>
      <c r="BF84" s="68"/>
      <c r="BG84" s="12"/>
      <c r="BH84" s="12"/>
      <c r="BI84" s="12"/>
      <c r="BJ84" s="12"/>
      <c r="BK84" s="12"/>
      <c r="BL84" s="12"/>
    </row>
    <row r="85" spans="1:64" x14ac:dyDescent="0.2">
      <c r="A85" s="14" t="s">
        <v>129</v>
      </c>
      <c r="B85" s="36">
        <f>SUM(C85:BF85)</f>
        <v>7221953.5902312119</v>
      </c>
      <c r="C85" s="27">
        <f>C83*0.21</f>
        <v>-470512.70644908928</v>
      </c>
      <c r="D85" s="12">
        <f t="shared" ref="D85:AW85" si="154">D83*0.21</f>
        <v>7079779.7759037716</v>
      </c>
      <c r="E85" s="12">
        <f t="shared" si="154"/>
        <v>-4537.4160397534815</v>
      </c>
      <c r="F85" s="69">
        <f t="shared" si="154"/>
        <v>-36296.118705378431</v>
      </c>
      <c r="G85" s="27">
        <f t="shared" si="154"/>
        <v>-78974.308071466003</v>
      </c>
      <c r="H85" s="12">
        <f t="shared" si="154"/>
        <v>0</v>
      </c>
      <c r="I85" s="12">
        <f t="shared" si="154"/>
        <v>40937.475629205976</v>
      </c>
      <c r="J85" s="12">
        <f t="shared" si="154"/>
        <v>0</v>
      </c>
      <c r="K85" s="12">
        <f t="shared" si="154"/>
        <v>-3550.4579607450942</v>
      </c>
      <c r="L85" s="68">
        <f t="shared" si="154"/>
        <v>161.2445237399792</v>
      </c>
      <c r="M85" s="27">
        <f t="shared" si="154"/>
        <v>-114562.53296086572</v>
      </c>
      <c r="N85" s="12">
        <f t="shared" si="154"/>
        <v>132148.66372426198</v>
      </c>
      <c r="O85" s="12">
        <f t="shared" si="154"/>
        <v>-421415.88644549379</v>
      </c>
      <c r="P85" s="12">
        <f t="shared" si="154"/>
        <v>-516298.53014673828</v>
      </c>
      <c r="Q85" s="12">
        <f t="shared" si="154"/>
        <v>0</v>
      </c>
      <c r="R85" s="68">
        <f t="shared" si="154"/>
        <v>0</v>
      </c>
      <c r="S85" s="27">
        <f t="shared" ref="S85:T85" si="155">S83*0.21</f>
        <v>1499782.3464450042</v>
      </c>
      <c r="T85" s="12">
        <f t="shared" si="155"/>
        <v>0</v>
      </c>
      <c r="U85" s="12">
        <f t="shared" si="154"/>
        <v>0</v>
      </c>
      <c r="V85" s="12">
        <f t="shared" ref="V85:W85" si="156">V83*0.21</f>
        <v>0</v>
      </c>
      <c r="W85" s="68">
        <f t="shared" si="156"/>
        <v>0</v>
      </c>
      <c r="X85" s="69">
        <f t="shared" si="154"/>
        <v>0</v>
      </c>
      <c r="Y85" s="27">
        <f t="shared" si="154"/>
        <v>0</v>
      </c>
      <c r="Z85" s="12">
        <f t="shared" si="154"/>
        <v>0</v>
      </c>
      <c r="AA85" s="12">
        <f t="shared" si="154"/>
        <v>-820080.22513484117</v>
      </c>
      <c r="AB85" s="27">
        <f t="shared" si="154"/>
        <v>1050504.8702744148</v>
      </c>
      <c r="AC85" s="68">
        <f t="shared" si="154"/>
        <v>0</v>
      </c>
      <c r="AD85" s="27">
        <f t="shared" si="154"/>
        <v>0</v>
      </c>
      <c r="AE85" s="12">
        <f t="shared" si="154"/>
        <v>213626.81411536437</v>
      </c>
      <c r="AF85" s="12">
        <f t="shared" si="154"/>
        <v>0</v>
      </c>
      <c r="AG85" s="12">
        <f t="shared" si="154"/>
        <v>0</v>
      </c>
      <c r="AH85" s="12">
        <f t="shared" si="154"/>
        <v>-271009.40999999997</v>
      </c>
      <c r="AI85" s="68">
        <f>AI83*0.21</f>
        <v>0</v>
      </c>
      <c r="AJ85" s="27">
        <f t="shared" si="154"/>
        <v>0</v>
      </c>
      <c r="AK85" s="12">
        <f t="shared" ref="AK85" si="157">AK83*0.21</f>
        <v>0</v>
      </c>
      <c r="AL85" s="27">
        <f t="shared" si="154"/>
        <v>0</v>
      </c>
      <c r="AM85" s="12">
        <f t="shared" si="154"/>
        <v>0</v>
      </c>
      <c r="AN85" s="12">
        <f t="shared" si="154"/>
        <v>0</v>
      </c>
      <c r="AO85" s="68">
        <f t="shared" si="154"/>
        <v>0</v>
      </c>
      <c r="AP85" s="27">
        <f t="shared" si="154"/>
        <v>0</v>
      </c>
      <c r="AQ85" s="12">
        <f t="shared" si="154"/>
        <v>-490.75529999999992</v>
      </c>
      <c r="AR85" s="12">
        <f t="shared" si="154"/>
        <v>0</v>
      </c>
      <c r="AS85" s="12">
        <f t="shared" si="154"/>
        <v>0</v>
      </c>
      <c r="AT85" s="12">
        <f t="shared" si="154"/>
        <v>0</v>
      </c>
      <c r="AU85" s="68">
        <f t="shared" si="154"/>
        <v>53268.406500602963</v>
      </c>
      <c r="AV85" s="27">
        <f t="shared" si="154"/>
        <v>0</v>
      </c>
      <c r="AW85" s="12">
        <f t="shared" si="154"/>
        <v>0</v>
      </c>
      <c r="AX85" s="69">
        <f t="shared" ref="AX85:BA85" si="158">AX83*0.21</f>
        <v>0</v>
      </c>
      <c r="AY85" s="27">
        <f t="shared" si="158"/>
        <v>0</v>
      </c>
      <c r="AZ85" s="12">
        <f t="shared" si="158"/>
        <v>87879.68091222932</v>
      </c>
      <c r="BA85" s="68">
        <f t="shared" si="158"/>
        <v>-198407.34058301197</v>
      </c>
      <c r="BB85" s="27">
        <f t="shared" ref="BB85:BF85" si="159">BB83*0.21</f>
        <v>0</v>
      </c>
      <c r="BC85" s="12">
        <f t="shared" si="159"/>
        <v>0</v>
      </c>
      <c r="BD85" s="12">
        <f t="shared" si="159"/>
        <v>0</v>
      </c>
      <c r="BE85" s="12">
        <f t="shared" si="159"/>
        <v>0</v>
      </c>
      <c r="BF85" s="68">
        <f t="shared" si="159"/>
        <v>0</v>
      </c>
      <c r="BG85" s="12"/>
      <c r="BH85" s="12"/>
      <c r="BI85" s="12"/>
      <c r="BJ85" s="12"/>
      <c r="BK85" s="12"/>
      <c r="BL85" s="12"/>
    </row>
    <row r="86" spans="1:64" x14ac:dyDescent="0.2">
      <c r="A86" s="14" t="s">
        <v>297</v>
      </c>
      <c r="B86" s="36">
        <f>SUM(C86:BF86)</f>
        <v>10953810.298519813</v>
      </c>
      <c r="C86" s="27"/>
      <c r="D86" s="12"/>
      <c r="E86" s="12"/>
      <c r="F86" s="69"/>
      <c r="G86" s="27"/>
      <c r="H86" s="12"/>
      <c r="I86" s="12"/>
      <c r="J86" s="12"/>
      <c r="K86" s="12"/>
      <c r="L86" s="68"/>
      <c r="M86" s="27"/>
      <c r="N86" s="12"/>
      <c r="O86" s="12"/>
      <c r="P86" s="12"/>
      <c r="Q86" s="12"/>
      <c r="R86" s="68"/>
      <c r="S86" s="27"/>
      <c r="T86" s="12"/>
      <c r="U86" s="12"/>
      <c r="V86" s="12"/>
      <c r="W86" s="68"/>
      <c r="X86" s="69"/>
      <c r="Y86" s="27"/>
      <c r="Z86" s="12"/>
      <c r="AA86" s="12"/>
      <c r="AB86" s="27"/>
      <c r="AC86" s="68"/>
      <c r="AD86" s="27">
        <f>'[30]7.3'!$I$11</f>
        <v>10953810.298519813</v>
      </c>
      <c r="AE86" s="12"/>
      <c r="AF86" s="12"/>
      <c r="AG86" s="12"/>
      <c r="AH86" s="12"/>
      <c r="AI86" s="68"/>
      <c r="AJ86" s="27"/>
      <c r="AK86" s="12"/>
      <c r="AL86" s="27"/>
      <c r="AM86" s="12"/>
      <c r="AN86" s="12"/>
      <c r="AO86" s="68"/>
      <c r="AP86" s="27"/>
      <c r="AQ86" s="12"/>
      <c r="AR86" s="12"/>
      <c r="AS86" s="12"/>
      <c r="AT86" s="12"/>
      <c r="AU86" s="68"/>
      <c r="AV86" s="27"/>
      <c r="AW86" s="12"/>
      <c r="AX86" s="69"/>
      <c r="AY86" s="27"/>
      <c r="AZ86" s="12"/>
      <c r="BA86" s="68"/>
      <c r="BB86" s="27"/>
      <c r="BC86" s="12"/>
      <c r="BD86" s="12"/>
      <c r="BE86" s="12"/>
      <c r="BF86" s="68"/>
      <c r="BG86" s="12"/>
      <c r="BH86" s="12"/>
      <c r="BI86" s="12"/>
      <c r="BJ86" s="12"/>
      <c r="BK86" s="12"/>
      <c r="BL86" s="12"/>
    </row>
    <row r="87" spans="1:64" s="2" customFormat="1" ht="13.5" thickBot="1" x14ac:dyDescent="0.25">
      <c r="A87" s="14" t="s">
        <v>131</v>
      </c>
      <c r="B87" s="256">
        <f>SUM(C87:BF87)</f>
        <v>18175763.888751026</v>
      </c>
      <c r="C87" s="91">
        <f>C85+C86</f>
        <v>-470512.70644908928</v>
      </c>
      <c r="D87" s="89">
        <f t="shared" ref="D87:AV87" si="160">D85+D86</f>
        <v>7079779.7759037716</v>
      </c>
      <c r="E87" s="89">
        <f t="shared" ref="E87" si="161">E85+E86</f>
        <v>-4537.4160397534815</v>
      </c>
      <c r="F87" s="263">
        <f t="shared" si="160"/>
        <v>-36296.118705378431</v>
      </c>
      <c r="G87" s="91">
        <f t="shared" si="160"/>
        <v>-78974.308071466003</v>
      </c>
      <c r="H87" s="89">
        <f t="shared" si="160"/>
        <v>0</v>
      </c>
      <c r="I87" s="89">
        <f t="shared" si="160"/>
        <v>40937.475629205976</v>
      </c>
      <c r="J87" s="89">
        <f t="shared" ref="J87:K87" si="162">J85+J86</f>
        <v>0</v>
      </c>
      <c r="K87" s="89">
        <f t="shared" si="162"/>
        <v>-3550.4579607450942</v>
      </c>
      <c r="L87" s="90">
        <f t="shared" si="160"/>
        <v>161.2445237399792</v>
      </c>
      <c r="M87" s="91">
        <f t="shared" si="160"/>
        <v>-114562.53296086572</v>
      </c>
      <c r="N87" s="89">
        <f t="shared" si="160"/>
        <v>132148.66372426198</v>
      </c>
      <c r="O87" s="89">
        <f t="shared" ref="O87:Q87" si="163">O85+O86</f>
        <v>-421415.88644549379</v>
      </c>
      <c r="P87" s="89">
        <f t="shared" si="163"/>
        <v>-516298.53014673828</v>
      </c>
      <c r="Q87" s="89">
        <f t="shared" si="163"/>
        <v>0</v>
      </c>
      <c r="R87" s="90">
        <f t="shared" si="160"/>
        <v>0</v>
      </c>
      <c r="S87" s="91">
        <f t="shared" ref="S87:T87" si="164">S85+S86</f>
        <v>1499782.3464450042</v>
      </c>
      <c r="T87" s="89">
        <f t="shared" si="164"/>
        <v>0</v>
      </c>
      <c r="U87" s="89">
        <f t="shared" ref="U87:W87" si="165">U85+U86</f>
        <v>0</v>
      </c>
      <c r="V87" s="89">
        <f t="shared" si="165"/>
        <v>0</v>
      </c>
      <c r="W87" s="90">
        <f t="shared" si="165"/>
        <v>0</v>
      </c>
      <c r="X87" s="263">
        <f t="shared" ref="X87:AA87" si="166">X85+X86</f>
        <v>0</v>
      </c>
      <c r="Y87" s="91">
        <f t="shared" ref="Y87:Z87" si="167">Y85+Y86</f>
        <v>0</v>
      </c>
      <c r="Z87" s="89">
        <f t="shared" si="167"/>
        <v>0</v>
      </c>
      <c r="AA87" s="89">
        <f t="shared" si="166"/>
        <v>-820080.22513484117</v>
      </c>
      <c r="AB87" s="91">
        <f t="shared" si="160"/>
        <v>1050504.8702744148</v>
      </c>
      <c r="AC87" s="90">
        <f t="shared" ref="AC87" si="168">AC85+AC86</f>
        <v>0</v>
      </c>
      <c r="AD87" s="91">
        <f t="shared" si="160"/>
        <v>10953810.298519813</v>
      </c>
      <c r="AE87" s="89">
        <f t="shared" ref="AE87" si="169">AE85+AE86</f>
        <v>213626.81411536437</v>
      </c>
      <c r="AF87" s="89">
        <f t="shared" si="160"/>
        <v>0</v>
      </c>
      <c r="AG87" s="89">
        <f t="shared" si="160"/>
        <v>0</v>
      </c>
      <c r="AH87" s="89">
        <f t="shared" si="160"/>
        <v>-271009.40999999997</v>
      </c>
      <c r="AI87" s="90">
        <f>AI85+AI86</f>
        <v>0</v>
      </c>
      <c r="AJ87" s="91">
        <f t="shared" ref="AJ87:AK87" si="170">AJ85+AJ86</f>
        <v>0</v>
      </c>
      <c r="AK87" s="89">
        <f t="shared" si="170"/>
        <v>0</v>
      </c>
      <c r="AL87" s="91">
        <f t="shared" si="160"/>
        <v>0</v>
      </c>
      <c r="AM87" s="89">
        <f t="shared" si="160"/>
        <v>0</v>
      </c>
      <c r="AN87" s="89">
        <f t="shared" si="160"/>
        <v>0</v>
      </c>
      <c r="AO87" s="90">
        <f t="shared" si="160"/>
        <v>0</v>
      </c>
      <c r="AP87" s="91">
        <f t="shared" ref="AP87" si="171">AP85+AP86</f>
        <v>0</v>
      </c>
      <c r="AQ87" s="89">
        <f t="shared" si="160"/>
        <v>-490.75529999999992</v>
      </c>
      <c r="AR87" s="89">
        <f t="shared" si="160"/>
        <v>0</v>
      </c>
      <c r="AS87" s="89">
        <f t="shared" si="160"/>
        <v>0</v>
      </c>
      <c r="AT87" s="89">
        <f t="shared" si="160"/>
        <v>0</v>
      </c>
      <c r="AU87" s="90">
        <f t="shared" ref="AU87" si="172">AU85+AU86</f>
        <v>53268.406500602963</v>
      </c>
      <c r="AV87" s="91">
        <f t="shared" si="160"/>
        <v>0</v>
      </c>
      <c r="AW87" s="89">
        <f t="shared" ref="AW87" si="173">AW85+AW86</f>
        <v>0</v>
      </c>
      <c r="AX87" s="263">
        <f t="shared" ref="AX87:BA87" si="174">AX85+AX86</f>
        <v>0</v>
      </c>
      <c r="AY87" s="91">
        <f t="shared" si="174"/>
        <v>0</v>
      </c>
      <c r="AZ87" s="89">
        <f t="shared" si="174"/>
        <v>87879.68091222932</v>
      </c>
      <c r="BA87" s="90">
        <f t="shared" si="174"/>
        <v>-198407.34058301197</v>
      </c>
      <c r="BB87" s="91">
        <f t="shared" ref="BB87:BF87" si="175">BB85+BB86</f>
        <v>0</v>
      </c>
      <c r="BC87" s="89">
        <f t="shared" si="175"/>
        <v>0</v>
      </c>
      <c r="BD87" s="89">
        <f t="shared" si="175"/>
        <v>0</v>
      </c>
      <c r="BE87" s="89">
        <f t="shared" si="175"/>
        <v>0</v>
      </c>
      <c r="BF87" s="90">
        <f t="shared" si="175"/>
        <v>0</v>
      </c>
      <c r="BG87" s="12"/>
      <c r="BH87" s="12"/>
      <c r="BI87" s="12"/>
      <c r="BJ87" s="12"/>
      <c r="BK87" s="12"/>
      <c r="BL87" s="12"/>
    </row>
    <row r="88" spans="1:64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4" s="2" customFormat="1" x14ac:dyDescent="0.2">
      <c r="A90" s="15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2" customFormat="1" x14ac:dyDescent="0.2">
      <c r="A92" s="14"/>
    </row>
    <row r="93" spans="1:64" s="2" customFormat="1" x14ac:dyDescent="0.2">
      <c r="A93" s="152"/>
    </row>
  </sheetData>
  <mergeCells count="13">
    <mergeCell ref="Y7:AA7"/>
    <mergeCell ref="AB7:AC7"/>
    <mergeCell ref="AD7:AI7"/>
    <mergeCell ref="AJ7:AK7"/>
    <mergeCell ref="C7:E7"/>
    <mergeCell ref="G7:L7"/>
    <mergeCell ref="M7:R7"/>
    <mergeCell ref="S7:W7"/>
    <mergeCell ref="AL7:AO7"/>
    <mergeCell ref="AP7:AU7"/>
    <mergeCell ref="AV7:AW7"/>
    <mergeCell ref="AY7:BA7"/>
    <mergeCell ref="BB7:BF7"/>
  </mergeCells>
  <phoneticPr fontId="3" type="noConversion"/>
  <pageMargins left="1" right="0.5" top="1" bottom="0.5" header="0.4" footer="0.5"/>
  <pageSetup scale="61" firstPageNumber="17" fitToWidth="0" orientation="portrait" useFirstPageNumber="1" r:id="rId1"/>
  <headerFooter alignWithMargins="0">
    <oddHeader xml:space="preserve">&amp;L&amp;"Arial,Bold"&amp;11PacifiCorp
Washington 2023 General Rate Case
Summary of Restating Adjustments - Rate Year 1&amp;"Arial,Regular"&amp;10
&amp;R&amp;12Page 1.&amp;P
&amp;10
</oddHeader>
  </headerFooter>
  <colBreaks count="7" manualBreakCount="7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BF93"/>
  <sheetViews>
    <sheetView view="pageBreakPreview" zoomScale="80" zoomScaleNormal="70" zoomScaleSheetLayoutView="80" workbookViewId="0">
      <pane xSplit="2" ySplit="9" topLeftCell="AT10" activePane="bottomRight" state="frozen"/>
      <selection activeCell="BD50" sqref="BD50"/>
      <selection pane="topRight" activeCell="BD50" sqref="BD50"/>
      <selection pane="bottomLeft" activeCell="BD50" sqref="BD50"/>
      <selection pane="bottomRight" activeCell="AW46" sqref="AW46"/>
    </sheetView>
  </sheetViews>
  <sheetFormatPr defaultColWidth="9.140625" defaultRowHeight="12.75" x14ac:dyDescent="0.2"/>
  <cols>
    <col min="1" max="1" width="44.5703125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58" width="17.28515625" style="2" bestFit="1" customWidth="1"/>
    <col min="59" max="16384" width="9.140625" style="15"/>
  </cols>
  <sheetData>
    <row r="1" spans="1:58" x14ac:dyDescent="0.2">
      <c r="A1" s="4" t="s">
        <v>41</v>
      </c>
    </row>
    <row r="2" spans="1:58" s="2" customFormat="1" ht="12.75" customHeight="1" x14ac:dyDescent="0.2">
      <c r="A2" s="138" t="str">
        <f>'Total Adj'!A2</f>
        <v>Washington 2023 General Rate Case</v>
      </c>
    </row>
    <row r="3" spans="1:58" s="2" customFormat="1" x14ac:dyDescent="0.2">
      <c r="A3" s="139" t="s">
        <v>347</v>
      </c>
    </row>
    <row r="4" spans="1:58" s="2" customFormat="1" x14ac:dyDescent="0.2">
      <c r="A4" s="140"/>
    </row>
    <row r="5" spans="1:58" s="2" customFormat="1" x14ac:dyDescent="0.2">
      <c r="A5" s="138"/>
    </row>
    <row r="6" spans="1:58" s="4" customFormat="1" ht="13.5" thickBot="1" x14ac:dyDescent="0.25">
      <c r="A6" s="140"/>
    </row>
    <row r="7" spans="1:58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 t="s">
        <v>36</v>
      </c>
      <c r="AO7" s="292"/>
      <c r="AP7" s="291" t="s">
        <v>36</v>
      </c>
      <c r="AQ7" s="293"/>
      <c r="AR7" s="293"/>
      <c r="AS7" s="293"/>
      <c r="AT7" s="293" t="s">
        <v>36</v>
      </c>
      <c r="AU7" s="292"/>
      <c r="AV7" s="291" t="s">
        <v>36</v>
      </c>
      <c r="AW7" s="292"/>
      <c r="AX7" s="257" t="s">
        <v>262</v>
      </c>
      <c r="AY7" s="291" t="s">
        <v>289</v>
      </c>
      <c r="AZ7" s="293"/>
      <c r="BA7" s="292"/>
      <c r="BB7" s="291" t="s">
        <v>289</v>
      </c>
      <c r="BC7" s="293"/>
      <c r="BD7" s="293"/>
      <c r="BE7" s="293"/>
      <c r="BF7" s="292"/>
    </row>
    <row r="8" spans="1:58" x14ac:dyDescent="0.2">
      <c r="B8" s="67"/>
      <c r="C8" s="67" t="str">
        <f>'Restating Adj'!C8</f>
        <v>3.1</v>
      </c>
      <c r="D8" s="64" t="str">
        <f>'Restating Adj'!D8</f>
        <v>3.2</v>
      </c>
      <c r="E8" s="64" t="str">
        <f>'Restating Adj'!E8</f>
        <v>3.3</v>
      </c>
      <c r="F8" s="66" t="str">
        <f>'Restating Adj'!F8</f>
        <v>4.1</v>
      </c>
      <c r="G8" s="67" t="str">
        <f>'Restating Adj'!G8</f>
        <v>4.2</v>
      </c>
      <c r="H8" s="64" t="str">
        <f>'Restating Adj'!H8</f>
        <v>4.3</v>
      </c>
      <c r="I8" s="64" t="str">
        <f>'Restating Adj'!I8</f>
        <v>4.4</v>
      </c>
      <c r="J8" s="64" t="str">
        <f>'Restating Adj'!J8</f>
        <v>4.5</v>
      </c>
      <c r="K8" s="64" t="str">
        <f>'Restating Adj'!K8</f>
        <v>4.6</v>
      </c>
      <c r="L8" s="65" t="str">
        <f>'Restating Adj'!L8</f>
        <v>4.7</v>
      </c>
      <c r="M8" s="67" t="str">
        <f>'Restating Adj'!M8</f>
        <v>4.8</v>
      </c>
      <c r="N8" s="64" t="str">
        <f>'Restating Adj'!N8</f>
        <v>4.9</v>
      </c>
      <c r="O8" s="64" t="str">
        <f>'Restating Adj'!O8</f>
        <v>4.10</v>
      </c>
      <c r="P8" s="64" t="str">
        <f>'Restating Adj'!P8</f>
        <v>4.11</v>
      </c>
      <c r="Q8" s="64" t="str">
        <f>'Restating Adj'!Q8</f>
        <v>4.12</v>
      </c>
      <c r="R8" s="264" t="str">
        <f>'Restating Adj'!R8</f>
        <v>4.13</v>
      </c>
      <c r="S8" s="245" t="str">
        <f>'Restating Adj'!S8</f>
        <v>5.1</v>
      </c>
      <c r="T8" s="246" t="str">
        <f>'Restating Adj'!T8</f>
        <v>5.2</v>
      </c>
      <c r="U8" s="64" t="str">
        <f>'Restating Adj'!U8</f>
        <v>5.3</v>
      </c>
      <c r="V8" s="64" t="str">
        <f>'Restating Adj'!V8</f>
        <v>5.4</v>
      </c>
      <c r="W8" s="65" t="str">
        <f>'Restating Adj'!W8</f>
        <v>5.5</v>
      </c>
      <c r="X8" s="66" t="str">
        <f>'Restating Adj'!X8</f>
        <v>6.1</v>
      </c>
      <c r="Y8" s="67" t="str">
        <f>'Restating Adj'!Y8</f>
        <v>6.2</v>
      </c>
      <c r="Z8" s="64" t="str">
        <f>'Restating Adj'!Z8</f>
        <v>6.3</v>
      </c>
      <c r="AA8" s="64" t="str">
        <f>'Restating Adj'!AA8</f>
        <v>6.4</v>
      </c>
      <c r="AB8" s="67" t="str">
        <f>'Restating Adj'!AB8</f>
        <v>7.1</v>
      </c>
      <c r="AC8" s="65" t="str">
        <f>'Restating Adj'!AC8</f>
        <v>7.2</v>
      </c>
      <c r="AD8" s="67" t="str">
        <f>'Restating Adj'!AD8</f>
        <v>7.3</v>
      </c>
      <c r="AE8" s="64" t="str">
        <f>'Restating Adj'!AE8</f>
        <v>7.4</v>
      </c>
      <c r="AF8" s="64" t="str">
        <f>'Restating Adj'!AF8</f>
        <v>7.5</v>
      </c>
      <c r="AG8" s="64" t="str">
        <f>'Restating Adj'!AG8</f>
        <v>7.6</v>
      </c>
      <c r="AH8" s="64" t="str">
        <f>'Restating Adj'!AH8</f>
        <v>7.7</v>
      </c>
      <c r="AI8" s="65" t="str">
        <f>'Restating Adj'!AI8</f>
        <v>7.8</v>
      </c>
      <c r="AJ8" s="67" t="str">
        <f>'Restating Adj'!AJ8</f>
        <v>7.9</v>
      </c>
      <c r="AK8" s="64" t="str">
        <f>'Restating Adj'!AK8</f>
        <v>7.10</v>
      </c>
      <c r="AL8" s="67" t="str">
        <f>'Restating Adj'!AL8</f>
        <v>8.1</v>
      </c>
      <c r="AM8" s="64" t="str">
        <f>'Restating Adj'!AM8</f>
        <v>8.2</v>
      </c>
      <c r="AN8" s="64" t="str">
        <f>'Restating Adj'!AN8</f>
        <v>8.3</v>
      </c>
      <c r="AO8" s="65" t="str">
        <f>'Restating Adj'!AO8</f>
        <v>8.4</v>
      </c>
      <c r="AP8" s="67" t="str">
        <f>'Restating Adj'!AP8</f>
        <v>8.5</v>
      </c>
      <c r="AQ8" s="64" t="str">
        <f>'Restating Adj'!AQ8</f>
        <v>8.6</v>
      </c>
      <c r="AR8" s="64" t="str">
        <f>'Restating Adj'!AR8</f>
        <v>8.7</v>
      </c>
      <c r="AS8" s="64" t="str">
        <f>'Restating Adj'!AS8</f>
        <v>8.8</v>
      </c>
      <c r="AT8" s="64" t="str">
        <f>'Restating Adj'!AT8</f>
        <v>8.9</v>
      </c>
      <c r="AU8" s="65" t="str">
        <f>'Restating Adj'!AU8</f>
        <v>8.10</v>
      </c>
      <c r="AV8" s="67" t="str">
        <f>'Restating Adj'!AV8</f>
        <v>8.11</v>
      </c>
      <c r="AW8" s="65" t="str">
        <f>'Restating Adj'!AW8</f>
        <v>8.12</v>
      </c>
      <c r="AX8" s="66" t="str">
        <f>'Restating Adj'!AX8</f>
        <v>9.1</v>
      </c>
      <c r="AY8" s="67" t="str">
        <f>'Restating Adj'!AY8</f>
        <v>10.1</v>
      </c>
      <c r="AZ8" s="64" t="str">
        <f>'Restating Adj'!AZ8</f>
        <v>10.2</v>
      </c>
      <c r="BA8" s="65" t="str">
        <f>'Restating Adj'!BA8</f>
        <v>10.3</v>
      </c>
      <c r="BB8" s="67" t="str">
        <f>'Restating Adj'!BB8</f>
        <v>10.4</v>
      </c>
      <c r="BC8" s="64" t="str">
        <f>'Restating Adj'!BC8</f>
        <v>10.5</v>
      </c>
      <c r="BD8" s="64" t="str">
        <f>'Restating Adj'!BD8</f>
        <v>10.6</v>
      </c>
      <c r="BE8" s="64" t="str">
        <f>'Restating Adj'!BE8</f>
        <v>10.7</v>
      </c>
      <c r="BF8" s="65" t="str">
        <f>'Restating Adj'!BF8</f>
        <v>10.8</v>
      </c>
    </row>
    <row r="9" spans="1:58" s="142" customFormat="1" ht="81" customHeight="1" x14ac:dyDescent="0.2">
      <c r="A9" s="14"/>
      <c r="B9" s="252" t="s">
        <v>234</v>
      </c>
      <c r="C9" s="92" t="str">
        <f>'Restating Adj'!C9</f>
        <v>Temperature Normalization</v>
      </c>
      <c r="D9" s="94" t="str">
        <f>'Restating Adj'!D9</f>
        <v>Revenue Normalizing</v>
      </c>
      <c r="E9" s="94" t="str">
        <f>'Restating Adj'!E9</f>
        <v>Wheeling Revenue - 
Year 1</v>
      </c>
      <c r="F9" s="258" t="str">
        <f>'Restating Adj'!F9</f>
        <v>Miscellaneous Expense &amp; Revenue</v>
      </c>
      <c r="G9" s="92" t="str">
        <f>'Restating Adj'!G9</f>
        <v>General Wage Increase (Annualizing)</v>
      </c>
      <c r="H9" s="94" t="str">
        <f>'Restating Adj'!H9</f>
        <v>General Wage Increase
(Pro Forma) - Year 1</v>
      </c>
      <c r="I9" s="94" t="str">
        <f>'Restating Adj'!I9</f>
        <v>Pension Related Non-Service Expense</v>
      </c>
      <c r="J9" s="94" t="str">
        <f>'Restating Adj'!J9</f>
        <v>Insurance Expense</v>
      </c>
      <c r="K9" s="94" t="str">
        <f>'Restating Adj'!K9</f>
        <v>Advertising</v>
      </c>
      <c r="L9" s="93" t="str">
        <f>'Restating Adj'!L9</f>
        <v>Memberships &amp; Subscriptions</v>
      </c>
      <c r="M9" s="92" t="str">
        <f>'Restating Adj'!M9</f>
        <v>Revenue-Sensitive/ Uncollectible Expense</v>
      </c>
      <c r="N9" s="94" t="str">
        <f>'Restating Adj'!N9</f>
        <v>Legal 
Expenses</v>
      </c>
      <c r="O9" s="94" t="str">
        <f>'Restating Adj'!O9</f>
        <v>Remove Non-Recurring Entries</v>
      </c>
      <c r="P9" s="94" t="str">
        <f>'Restating Adj'!P9</f>
        <v>Environmental Remediation</v>
      </c>
      <c r="Q9" s="94" t="str">
        <f>'Restating Adj'!Q9</f>
        <v>Payment Services Fees</v>
      </c>
      <c r="R9" s="93" t="str">
        <f>'Restating Adj'!R9</f>
        <v>Incremental O&amp;M Expenses</v>
      </c>
      <c r="S9" s="92" t="str">
        <f>'Restating Adj'!S9</f>
        <v>Net Power Costs (Restating)</v>
      </c>
      <c r="T9" s="94" t="str">
        <f>'Restating Adj'!T9</f>
        <v>Net Power Costs (Pro Forma) - 
Year 1</v>
      </c>
      <c r="U9" s="94" t="str">
        <f>'Restating Adj'!U9</f>
        <v>Pryor Mountain REC Revenues</v>
      </c>
      <c r="V9" s="94" t="str">
        <f>'Restating Adj'!V9</f>
        <v>WRAP Fees</v>
      </c>
      <c r="W9" s="93" t="str">
        <f>'Restating Adj'!W9</f>
        <v>AURORA Access Fees</v>
      </c>
      <c r="X9" s="258" t="str">
        <f>'Restating Adj'!X9</f>
        <v>Pro Forma Depreciation &amp; Amortization Expense - 
Year 1</v>
      </c>
      <c r="Y9" s="92" t="str">
        <f>'Restating Adj'!Y9</f>
        <v>Pro Forma Depreciation &amp; Amortization Reserves - Year 1</v>
      </c>
      <c r="Z9" s="94" t="str">
        <f>'Restating Adj'!Z9</f>
        <v>End-of-Period Reserves - Historical</v>
      </c>
      <c r="AA9" s="94" t="str">
        <f>'Restating Adj'!AA9</f>
        <v>Decommissioning &amp; Other Plant Closure Costs - Year 1</v>
      </c>
      <c r="AB9" s="92" t="str">
        <f>'Restating Adj'!AB9</f>
        <v>Interest True Up - Year 1</v>
      </c>
      <c r="AC9" s="93" t="str">
        <f>'Restating Adj'!AC9</f>
        <v>Property Tax Expense - Year 1</v>
      </c>
      <c r="AD9" s="92" t="str">
        <f>'Restating Adj'!AD9</f>
        <v>Production Tax Credit - Year 1</v>
      </c>
      <c r="AE9" s="94" t="str">
        <f>'Restating Adj'!AE9</f>
        <v>PowerTax ADIT Balance - Year 1</v>
      </c>
      <c r="AF9" s="94" t="str">
        <f>'Restating Adj'!AF9</f>
        <v>Permanent Schedule M Adjustment - Year 1</v>
      </c>
      <c r="AG9" s="94" t="str">
        <f>'Restating Adj'!AG9</f>
        <v>Remove Deferred State Tax Expense &amp; Balance - Year 1</v>
      </c>
      <c r="AH9" s="94" t="str">
        <f>'Restating Adj'!AH9</f>
        <v>Washington Public Utility Tax Adjustment</v>
      </c>
      <c r="AI9" s="93" t="str">
        <f>'Restating Adj'!AI9</f>
        <v>Removal of TCJA Deferred Balances Adjustment</v>
      </c>
      <c r="AJ9" s="92" t="str">
        <f>'Restating Adj'!AJ9</f>
        <v>Washington Low Income Tax Credit</v>
      </c>
      <c r="AK9" s="94" t="str">
        <f>'Restating Adj'!AK9</f>
        <v>Wyoming Wind Generation Tax</v>
      </c>
      <c r="AL9" s="92" t="str">
        <f>'Restating Adj'!AL9</f>
        <v>End-of-Period Plant Balances - Historical</v>
      </c>
      <c r="AM9" s="94" t="str">
        <f>'Restating Adj'!AM9</f>
        <v>Regulatory Assets/ Liabilities Amortization - Year 1</v>
      </c>
      <c r="AN9" s="94" t="str">
        <f>'Restating Adj'!AN9</f>
        <v>Customer Advances for Construction</v>
      </c>
      <c r="AO9" s="93" t="str">
        <f>'Restating Adj'!AO9</f>
        <v>Pro Forma Major Plant Additions - Year 1</v>
      </c>
      <c r="AP9" s="92" t="str">
        <f>'Restating Adj'!AP9</f>
        <v>Miscellaneous Rate Base</v>
      </c>
      <c r="AQ9" s="94" t="str">
        <f>'Restating Adj'!AQ9</f>
        <v>Customer Service Deposits</v>
      </c>
      <c r="AR9" s="94" t="str">
        <f>'Restating Adj'!AR9</f>
        <v>Investor Supplied Working Capital</v>
      </c>
      <c r="AS9" s="94" t="str">
        <f>'Restating Adj'!AS9</f>
        <v>Labor Day Wildfire Restoration Capital Removal</v>
      </c>
      <c r="AT9" s="94" t="str">
        <f>'Restating Adj'!AT9</f>
        <v>WIJAM Transmission Reallocation</v>
      </c>
      <c r="AU9" s="93" t="str">
        <f>'Restating Adj'!AU9</f>
        <v>Klamath Hydroelectric Assets Transfer - Year 1</v>
      </c>
      <c r="AV9" s="92" t="str">
        <f>'Restating Adj'!AV9</f>
        <v>Confidential Wind Capital Additions - Year 1</v>
      </c>
      <c r="AW9" s="93" t="str">
        <f>'Restating Adj'!AW9</f>
        <v>Major Transmission Capital Addtions - Year 1</v>
      </c>
      <c r="AX9" s="258" t="str">
        <f>'Restating Adj'!AX9</f>
        <v>Production Factor - Year 1</v>
      </c>
      <c r="AY9" s="92" t="str">
        <f>'Restating Adj'!AY9</f>
        <v>Removal of Coal-Fired Generation Assets</v>
      </c>
      <c r="AZ9" s="94" t="str">
        <f>'Restating Adj'!AZ9</f>
        <v>Jim Bridger SCRs Removal</v>
      </c>
      <c r="BA9" s="93" t="str">
        <f>'Restating Adj'!BA9</f>
        <v>Colstrip Unit 3 Removal</v>
      </c>
      <c r="BB9" s="92" t="str">
        <f>'Restating Adj'!BB9</f>
        <v>Jim Bridger Mine Rate Base - Year 1</v>
      </c>
      <c r="BC9" s="94" t="str">
        <f>'Restating Adj'!BC9</f>
        <v>Existing Coal-Fired Generation Assets - Year 1</v>
      </c>
      <c r="BD9" s="94" t="str">
        <f>'Restating Adj'!BD9</f>
        <v>Pro Forma JB Units 3, 4 and Colstrip 4 Additions - 
Year 1</v>
      </c>
      <c r="BE9" s="94" t="str">
        <f>'Restating Adj'!BE9</f>
        <v>Pro Forma JB Units 1 &amp; 2 Additions - Year 1</v>
      </c>
      <c r="BF9" s="93" t="str">
        <f>'Restating Adj'!BF9</f>
        <v>Fly Ash Revenues - Year 1</v>
      </c>
    </row>
    <row r="10" spans="1:58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W10" s="76"/>
      <c r="AX10" s="150"/>
      <c r="AY10" s="36"/>
      <c r="BA10" s="76"/>
      <c r="BB10" s="36"/>
      <c r="BF10" s="76"/>
    </row>
    <row r="11" spans="1:58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68"/>
      <c r="AX11" s="69"/>
      <c r="AY11" s="27"/>
      <c r="AZ11" s="12"/>
      <c r="BA11" s="68"/>
      <c r="BB11" s="27"/>
      <c r="BC11" s="12"/>
      <c r="BD11" s="12"/>
      <c r="BE11" s="12"/>
      <c r="BF11" s="68"/>
    </row>
    <row r="12" spans="1:58" x14ac:dyDescent="0.2">
      <c r="A12" s="14" t="s">
        <v>45</v>
      </c>
      <c r="B12" s="28">
        <f>SUM(C12:BF12)</f>
        <v>0</v>
      </c>
      <c r="C12" s="29"/>
      <c r="D12" s="72"/>
      <c r="E12" s="72"/>
      <c r="F12" s="259"/>
      <c r="G12" s="29"/>
      <c r="H12" s="72"/>
      <c r="I12" s="72"/>
      <c r="J12" s="72"/>
      <c r="K12" s="72"/>
      <c r="L12" s="73"/>
      <c r="M12" s="29"/>
      <c r="N12" s="72"/>
      <c r="O12" s="72"/>
      <c r="P12" s="72"/>
      <c r="Q12" s="72"/>
      <c r="R12" s="73"/>
      <c r="S12" s="29"/>
      <c r="T12" s="72"/>
      <c r="U12" s="72"/>
      <c r="V12" s="72"/>
      <c r="W12" s="73"/>
      <c r="X12" s="259"/>
      <c r="Y12" s="29"/>
      <c r="Z12" s="72"/>
      <c r="AA12" s="72"/>
      <c r="AB12" s="29"/>
      <c r="AC12" s="73"/>
      <c r="AD12" s="29"/>
      <c r="AE12" s="72"/>
      <c r="AF12" s="72"/>
      <c r="AG12" s="72"/>
      <c r="AH12" s="72"/>
      <c r="AI12" s="73"/>
      <c r="AJ12" s="29"/>
      <c r="AK12" s="72"/>
      <c r="AL12" s="29"/>
      <c r="AM12" s="72"/>
      <c r="AN12" s="72"/>
      <c r="AO12" s="73"/>
      <c r="AP12" s="29"/>
      <c r="AQ12" s="72"/>
      <c r="AR12" s="72"/>
      <c r="AS12" s="72"/>
      <c r="AT12" s="72"/>
      <c r="AU12" s="73"/>
      <c r="AV12" s="29"/>
      <c r="AW12" s="73"/>
      <c r="AX12" s="259"/>
      <c r="AY12" s="29"/>
      <c r="AZ12" s="72"/>
      <c r="BA12" s="73"/>
      <c r="BB12" s="29"/>
      <c r="BC12" s="72"/>
      <c r="BD12" s="72"/>
      <c r="BE12" s="72"/>
      <c r="BF12" s="73"/>
    </row>
    <row r="13" spans="1:58" x14ac:dyDescent="0.2">
      <c r="A13" s="14" t="s">
        <v>46</v>
      </c>
      <c r="B13" s="28">
        <f>SUM(C13:BF13)</f>
        <v>0</v>
      </c>
      <c r="C13" s="29"/>
      <c r="D13" s="72"/>
      <c r="E13" s="72"/>
      <c r="F13" s="259"/>
      <c r="G13" s="29"/>
      <c r="H13" s="72"/>
      <c r="I13" s="72"/>
      <c r="J13" s="72"/>
      <c r="K13" s="72"/>
      <c r="L13" s="73"/>
      <c r="M13" s="29"/>
      <c r="N13" s="72"/>
      <c r="O13" s="72"/>
      <c r="P13" s="72"/>
      <c r="Q13" s="72"/>
      <c r="R13" s="73"/>
      <c r="S13" s="29"/>
      <c r="T13" s="72"/>
      <c r="U13" s="72"/>
      <c r="V13" s="72"/>
      <c r="W13" s="73"/>
      <c r="X13" s="259"/>
      <c r="Y13" s="29"/>
      <c r="Z13" s="72"/>
      <c r="AA13" s="72"/>
      <c r="AB13" s="29"/>
      <c r="AC13" s="73"/>
      <c r="AD13" s="29"/>
      <c r="AE13" s="72"/>
      <c r="AF13" s="72"/>
      <c r="AG13" s="72"/>
      <c r="AH13" s="72"/>
      <c r="AI13" s="73"/>
      <c r="AJ13" s="29"/>
      <c r="AK13" s="72"/>
      <c r="AL13" s="29"/>
      <c r="AM13" s="72"/>
      <c r="AN13" s="72"/>
      <c r="AO13" s="73"/>
      <c r="AP13" s="29"/>
      <c r="AQ13" s="72"/>
      <c r="AR13" s="72"/>
      <c r="AS13" s="72"/>
      <c r="AT13" s="72"/>
      <c r="AU13" s="73"/>
      <c r="AV13" s="29"/>
      <c r="AW13" s="73"/>
      <c r="AX13" s="259"/>
      <c r="AY13" s="29"/>
      <c r="AZ13" s="72"/>
      <c r="BA13" s="73"/>
      <c r="BB13" s="29"/>
      <c r="BC13" s="72"/>
      <c r="BD13" s="72"/>
      <c r="BE13" s="72"/>
      <c r="BF13" s="73"/>
    </row>
    <row r="14" spans="1:58" x14ac:dyDescent="0.2">
      <c r="A14" s="14" t="s">
        <v>47</v>
      </c>
      <c r="B14" s="28">
        <f>SUM(C14:BF14)</f>
        <v>19148484.22576125</v>
      </c>
      <c r="C14" s="29"/>
      <c r="D14" s="72"/>
      <c r="E14" s="72"/>
      <c r="F14" s="259"/>
      <c r="G14" s="29"/>
      <c r="H14" s="72"/>
      <c r="I14" s="72"/>
      <c r="J14" s="72"/>
      <c r="K14" s="72"/>
      <c r="L14" s="73"/>
      <c r="M14" s="29"/>
      <c r="N14" s="72"/>
      <c r="O14" s="72"/>
      <c r="P14" s="72"/>
      <c r="Q14" s="72"/>
      <c r="R14" s="73"/>
      <c r="S14" s="29"/>
      <c r="T14" s="72">
        <f>'[41]5.2'!$I$12</f>
        <v>19038327.299635988</v>
      </c>
      <c r="U14" s="72"/>
      <c r="V14" s="72"/>
      <c r="W14" s="73"/>
      <c r="X14" s="259"/>
      <c r="Y14" s="29"/>
      <c r="Z14" s="72"/>
      <c r="AA14" s="72"/>
      <c r="AB14" s="29"/>
      <c r="AC14" s="73"/>
      <c r="AD14" s="29"/>
      <c r="AE14" s="72"/>
      <c r="AF14" s="72"/>
      <c r="AG14" s="72"/>
      <c r="AH14" s="72"/>
      <c r="AI14" s="73"/>
      <c r="AJ14" s="29"/>
      <c r="AK14" s="72"/>
      <c r="AL14" s="29"/>
      <c r="AM14" s="72"/>
      <c r="AN14" s="72"/>
      <c r="AO14" s="73"/>
      <c r="AP14" s="29"/>
      <c r="AQ14" s="72"/>
      <c r="AR14" s="72"/>
      <c r="AS14" s="72"/>
      <c r="AT14" s="72"/>
      <c r="AU14" s="73"/>
      <c r="AV14" s="29"/>
      <c r="AW14" s="73"/>
      <c r="AX14" s="259">
        <f>'[11]9.1 - 9.1.1'!$I$77</f>
        <v>110156.92612526193</v>
      </c>
      <c r="AY14" s="29"/>
      <c r="AZ14" s="72"/>
      <c r="BA14" s="73"/>
      <c r="BB14" s="29"/>
      <c r="BC14" s="72"/>
      <c r="BD14" s="72"/>
      <c r="BE14" s="72"/>
      <c r="BF14" s="73"/>
    </row>
    <row r="15" spans="1:58" x14ac:dyDescent="0.2">
      <c r="A15" s="14" t="s">
        <v>48</v>
      </c>
      <c r="B15" s="28">
        <f>SUM(C15:BF15)</f>
        <v>664041.95894274942</v>
      </c>
      <c r="C15" s="29"/>
      <c r="D15" s="72"/>
      <c r="E15" s="72">
        <f>'[38]3.3'!$I$13</f>
        <v>1424628.7434153743</v>
      </c>
      <c r="F15" s="259"/>
      <c r="G15" s="29"/>
      <c r="H15" s="72"/>
      <c r="I15" s="72"/>
      <c r="J15" s="72"/>
      <c r="K15" s="72"/>
      <c r="L15" s="73"/>
      <c r="M15" s="29"/>
      <c r="N15" s="72"/>
      <c r="O15" s="72"/>
      <c r="P15" s="72"/>
      <c r="Q15" s="72"/>
      <c r="R15" s="73"/>
      <c r="S15" s="29"/>
      <c r="T15" s="72"/>
      <c r="U15" s="72">
        <f>'[40]5.3'!$I$11</f>
        <v>265774.14632870059</v>
      </c>
      <c r="V15" s="72"/>
      <c r="W15" s="73"/>
      <c r="X15" s="259"/>
      <c r="Y15" s="29"/>
      <c r="Z15" s="72"/>
      <c r="AA15" s="72"/>
      <c r="AB15" s="29"/>
      <c r="AC15" s="73"/>
      <c r="AD15" s="29"/>
      <c r="AE15" s="72"/>
      <c r="AF15" s="72"/>
      <c r="AG15" s="72"/>
      <c r="AH15" s="72"/>
      <c r="AI15" s="73"/>
      <c r="AJ15" s="29"/>
      <c r="AK15" s="72"/>
      <c r="AL15" s="29"/>
      <c r="AM15" s="72"/>
      <c r="AN15" s="72"/>
      <c r="AO15" s="73"/>
      <c r="AP15" s="29"/>
      <c r="AQ15" s="72"/>
      <c r="AR15" s="72"/>
      <c r="AS15" s="72"/>
      <c r="AT15" s="72"/>
      <c r="AU15" s="73"/>
      <c r="AV15" s="29"/>
      <c r="AW15" s="73"/>
      <c r="AX15" s="259">
        <f>'[11]9.1 - 9.1.1'!$I$85</f>
        <v>-5532.8879920264008</v>
      </c>
      <c r="AY15" s="29"/>
      <c r="AZ15" s="72"/>
      <c r="BA15" s="73"/>
      <c r="BB15" s="29"/>
      <c r="BC15" s="72"/>
      <c r="BD15" s="72"/>
      <c r="BE15" s="72"/>
      <c r="BF15" s="73">
        <f>'[10]10.8'!$I$10</f>
        <v>-1020828.0428092993</v>
      </c>
    </row>
    <row r="16" spans="1:58" x14ac:dyDescent="0.2">
      <c r="A16" s="14" t="s">
        <v>49</v>
      </c>
      <c r="B16" s="30">
        <f>SUM(C16:BF16)</f>
        <v>19812526.184703995</v>
      </c>
      <c r="C16" s="30">
        <f>SUM(C12:C15)</f>
        <v>0</v>
      </c>
      <c r="D16" s="74">
        <f t="shared" ref="D16:BF16" si="0">SUM(D12:D15)</f>
        <v>0</v>
      </c>
      <c r="E16" s="74">
        <f>SUM(E12:E15)</f>
        <v>1424628.7434153743</v>
      </c>
      <c r="F16" s="143">
        <f t="shared" si="0"/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si="0"/>
        <v>0</v>
      </c>
      <c r="T16" s="74">
        <f t="shared" si="0"/>
        <v>19038327.299635988</v>
      </c>
      <c r="U16" s="74">
        <f t="shared" si="0"/>
        <v>265774.14632870059</v>
      </c>
      <c r="V16" s="74">
        <f t="shared" ref="V16:W16" si="1">SUM(V12:V15)</f>
        <v>0</v>
      </c>
      <c r="W16" s="75">
        <f t="shared" si="1"/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" si="2">SUM(AK12:AK15)</f>
        <v>0</v>
      </c>
      <c r="AL16" s="30">
        <f t="shared" si="0"/>
        <v>0</v>
      </c>
      <c r="AM16" s="74">
        <f t="shared" si="0"/>
        <v>0</v>
      </c>
      <c r="AN16" s="74">
        <f t="shared" si="0"/>
        <v>0</v>
      </c>
      <c r="AO16" s="75">
        <f t="shared" si="0"/>
        <v>0</v>
      </c>
      <c r="AP16" s="30">
        <f t="shared" ref="AP16" si="3">SUM(AP12:AP15)</f>
        <v>0</v>
      </c>
      <c r="AQ16" s="74">
        <f t="shared" si="0"/>
        <v>0</v>
      </c>
      <c r="AR16" s="74">
        <f t="shared" si="0"/>
        <v>0</v>
      </c>
      <c r="AS16" s="74">
        <f t="shared" si="0"/>
        <v>0</v>
      </c>
      <c r="AT16" s="74">
        <f t="shared" si="0"/>
        <v>0</v>
      </c>
      <c r="AU16" s="75">
        <f t="shared" si="0"/>
        <v>0</v>
      </c>
      <c r="AV16" s="30">
        <f t="shared" si="0"/>
        <v>0</v>
      </c>
      <c r="AW16" s="75">
        <f t="shared" si="0"/>
        <v>0</v>
      </c>
      <c r="AX16" s="143">
        <f t="shared" si="0"/>
        <v>104624.03813323553</v>
      </c>
      <c r="AY16" s="30">
        <f t="shared" si="0"/>
        <v>0</v>
      </c>
      <c r="AZ16" s="74">
        <f t="shared" si="0"/>
        <v>0</v>
      </c>
      <c r="BA16" s="75">
        <f t="shared" si="0"/>
        <v>0</v>
      </c>
      <c r="BB16" s="30">
        <f t="shared" si="0"/>
        <v>0</v>
      </c>
      <c r="BC16" s="74">
        <f t="shared" si="0"/>
        <v>0</v>
      </c>
      <c r="BD16" s="74">
        <f t="shared" si="0"/>
        <v>0</v>
      </c>
      <c r="BE16" s="74">
        <f t="shared" si="0"/>
        <v>0</v>
      </c>
      <c r="BF16" s="75">
        <f t="shared" si="0"/>
        <v>-1020828.0428092993</v>
      </c>
    </row>
    <row r="17" spans="1:58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68"/>
      <c r="AX17" s="69"/>
      <c r="AY17" s="27"/>
      <c r="AZ17" s="12"/>
      <c r="BA17" s="68"/>
      <c r="BB17" s="27"/>
      <c r="BC17" s="12"/>
      <c r="BD17" s="12"/>
      <c r="BE17" s="12"/>
      <c r="BF17" s="68"/>
    </row>
    <row r="18" spans="1:58" x14ac:dyDescent="0.2">
      <c r="A18" s="14" t="s">
        <v>50</v>
      </c>
      <c r="B18" s="27"/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68"/>
      <c r="AX18" s="69"/>
      <c r="AY18" s="27"/>
      <c r="AZ18" s="12"/>
      <c r="BA18" s="68"/>
      <c r="BB18" s="27"/>
      <c r="BC18" s="12"/>
      <c r="BD18" s="12"/>
      <c r="BE18" s="12"/>
      <c r="BF18" s="68"/>
    </row>
    <row r="19" spans="1:58" x14ac:dyDescent="0.2">
      <c r="A19" s="14" t="s">
        <v>51</v>
      </c>
      <c r="B19" s="28">
        <f t="shared" ref="B19:B38" si="4">SUM(C19:BF19)</f>
        <v>-1663761.8632297679</v>
      </c>
      <c r="C19" s="29"/>
      <c r="D19" s="72"/>
      <c r="E19" s="72"/>
      <c r="F19" s="259"/>
      <c r="G19" s="29"/>
      <c r="H19" s="72">
        <f>SUM('[49]4.3'!$I$10:$I$17)</f>
        <v>308328.15669029724</v>
      </c>
      <c r="I19" s="72"/>
      <c r="J19" s="72"/>
      <c r="K19" s="72"/>
      <c r="L19" s="73"/>
      <c r="M19" s="29"/>
      <c r="N19" s="72"/>
      <c r="O19" s="72"/>
      <c r="P19" s="72"/>
      <c r="Q19" s="72"/>
      <c r="R19" s="73"/>
      <c r="S19" s="29"/>
      <c r="T19" s="72">
        <f>SUM('[41]5.2'!$I$33:$I$34)</f>
        <v>-2185033.31137479</v>
      </c>
      <c r="U19" s="72"/>
      <c r="V19" s="72"/>
      <c r="W19" s="73"/>
      <c r="X19" s="259"/>
      <c r="Y19" s="29"/>
      <c r="Z19" s="72"/>
      <c r="AA19" s="72"/>
      <c r="AB19" s="29"/>
      <c r="AC19" s="73"/>
      <c r="AD19" s="29"/>
      <c r="AE19" s="72"/>
      <c r="AF19" s="72"/>
      <c r="AG19" s="72"/>
      <c r="AH19" s="72"/>
      <c r="AI19" s="73"/>
      <c r="AJ19" s="29"/>
      <c r="AK19" s="72"/>
      <c r="AL19" s="29"/>
      <c r="AM19" s="72"/>
      <c r="AN19" s="72"/>
      <c r="AO19" s="73"/>
      <c r="AP19" s="29"/>
      <c r="AQ19" s="72"/>
      <c r="AR19" s="72"/>
      <c r="AS19" s="72"/>
      <c r="AT19" s="72"/>
      <c r="AU19" s="73"/>
      <c r="AV19" s="29"/>
      <c r="AW19" s="73"/>
      <c r="AX19" s="259">
        <f>'[11]9.1 - 9.1.1'!$I$80</f>
        <v>212943.29145472497</v>
      </c>
      <c r="AY19" s="29"/>
      <c r="AZ19" s="72"/>
      <c r="BA19" s="73"/>
      <c r="BB19" s="29"/>
      <c r="BC19" s="72"/>
      <c r="BD19" s="72"/>
      <c r="BE19" s="72"/>
      <c r="BF19" s="73"/>
    </row>
    <row r="20" spans="1:58" x14ac:dyDescent="0.2">
      <c r="A20" s="14" t="s">
        <v>52</v>
      </c>
      <c r="B20" s="28">
        <f t="shared" si="4"/>
        <v>0</v>
      </c>
      <c r="C20" s="29"/>
      <c r="D20" s="72"/>
      <c r="E20" s="72"/>
      <c r="F20" s="259"/>
      <c r="G20" s="29"/>
      <c r="H20" s="72"/>
      <c r="I20" s="72"/>
      <c r="J20" s="72"/>
      <c r="K20" s="72"/>
      <c r="L20" s="73"/>
      <c r="M20" s="29"/>
      <c r="N20" s="72"/>
      <c r="O20" s="72"/>
      <c r="P20" s="72"/>
      <c r="Q20" s="72"/>
      <c r="R20" s="73"/>
      <c r="S20" s="29"/>
      <c r="T20" s="72"/>
      <c r="U20" s="72"/>
      <c r="V20" s="72"/>
      <c r="W20" s="73"/>
      <c r="X20" s="259"/>
      <c r="Y20" s="29"/>
      <c r="Z20" s="72"/>
      <c r="AA20" s="72"/>
      <c r="AB20" s="29"/>
      <c r="AC20" s="73"/>
      <c r="AD20" s="29"/>
      <c r="AE20" s="72"/>
      <c r="AF20" s="72"/>
      <c r="AG20" s="72"/>
      <c r="AH20" s="72"/>
      <c r="AI20" s="73"/>
      <c r="AJ20" s="29"/>
      <c r="AK20" s="72"/>
      <c r="AL20" s="29"/>
      <c r="AM20" s="72"/>
      <c r="AN20" s="72"/>
      <c r="AO20" s="73"/>
      <c r="AP20" s="29"/>
      <c r="AQ20" s="72"/>
      <c r="AR20" s="72"/>
      <c r="AS20" s="72"/>
      <c r="AT20" s="72"/>
      <c r="AU20" s="73"/>
      <c r="AV20" s="29"/>
      <c r="AW20" s="73"/>
      <c r="AX20" s="259"/>
      <c r="AY20" s="29"/>
      <c r="AZ20" s="72"/>
      <c r="BA20" s="73"/>
      <c r="BB20" s="29"/>
      <c r="BC20" s="72"/>
      <c r="BD20" s="72"/>
      <c r="BE20" s="72"/>
      <c r="BF20" s="73"/>
    </row>
    <row r="21" spans="1:58" x14ac:dyDescent="0.2">
      <c r="A21" s="14" t="s">
        <v>53</v>
      </c>
      <c r="B21" s="28">
        <f t="shared" si="4"/>
        <v>216688.95872025812</v>
      </c>
      <c r="C21" s="29"/>
      <c r="D21" s="72"/>
      <c r="E21" s="72"/>
      <c r="F21" s="259"/>
      <c r="G21" s="29"/>
      <c r="H21" s="72">
        <f>SUM('[49]4.3'!$I$18:$I$21)</f>
        <v>110306.91385516587</v>
      </c>
      <c r="I21" s="72"/>
      <c r="J21" s="72"/>
      <c r="K21" s="72"/>
      <c r="L21" s="73"/>
      <c r="M21" s="29"/>
      <c r="N21" s="72"/>
      <c r="O21" s="72"/>
      <c r="P21" s="72"/>
      <c r="Q21" s="72"/>
      <c r="R21" s="73">
        <f>'[51]4.13'!$I$17</f>
        <v>105808.56245657759</v>
      </c>
      <c r="S21" s="29"/>
      <c r="T21" s="72"/>
      <c r="U21" s="72"/>
      <c r="V21" s="72"/>
      <c r="W21" s="73"/>
      <c r="X21" s="259"/>
      <c r="Y21" s="29"/>
      <c r="Z21" s="72"/>
      <c r="AA21" s="72"/>
      <c r="AB21" s="29"/>
      <c r="AC21" s="73"/>
      <c r="AD21" s="29"/>
      <c r="AE21" s="72"/>
      <c r="AF21" s="72"/>
      <c r="AG21" s="72"/>
      <c r="AH21" s="72"/>
      <c r="AI21" s="73"/>
      <c r="AJ21" s="29"/>
      <c r="AK21" s="72"/>
      <c r="AL21" s="29"/>
      <c r="AM21" s="72"/>
      <c r="AN21" s="72"/>
      <c r="AO21" s="73"/>
      <c r="AP21" s="29"/>
      <c r="AQ21" s="72"/>
      <c r="AR21" s="72"/>
      <c r="AS21" s="72"/>
      <c r="AT21" s="72"/>
      <c r="AU21" s="73"/>
      <c r="AV21" s="29"/>
      <c r="AW21" s="73"/>
      <c r="AX21" s="259">
        <f>'[11]9.1 - 9.1.1'!$I$72</f>
        <v>573.4824085146538</v>
      </c>
      <c r="AY21" s="29"/>
      <c r="AZ21" s="72"/>
      <c r="BA21" s="73"/>
      <c r="BB21" s="29"/>
      <c r="BC21" s="72"/>
      <c r="BD21" s="72"/>
      <c r="BE21" s="72"/>
      <c r="BF21" s="73"/>
    </row>
    <row r="22" spans="1:58" x14ac:dyDescent="0.2">
      <c r="A22" s="14" t="s">
        <v>54</v>
      </c>
      <c r="B22" s="28">
        <f t="shared" si="4"/>
        <v>59052667.089417547</v>
      </c>
      <c r="C22" s="29"/>
      <c r="D22" s="72"/>
      <c r="E22" s="72"/>
      <c r="F22" s="259"/>
      <c r="G22" s="29"/>
      <c r="H22" s="72">
        <f>SUM('[49]4.3'!$I$22:$I$31)</f>
        <v>183845.3529629847</v>
      </c>
      <c r="I22" s="72"/>
      <c r="J22" s="72"/>
      <c r="K22" s="72"/>
      <c r="L22" s="73"/>
      <c r="M22" s="29"/>
      <c r="N22" s="72"/>
      <c r="O22" s="72"/>
      <c r="P22" s="72"/>
      <c r="Q22" s="72"/>
      <c r="R22" s="73"/>
      <c r="S22" s="29"/>
      <c r="T22" s="72">
        <f>SUM('[41]5.2'!$I$23,'[41]5.2'!$I$35)</f>
        <v>57721260.280890062</v>
      </c>
      <c r="U22" s="72"/>
      <c r="V22" s="72">
        <f>'[36]5.4'!$I$11</f>
        <v>114140.83764662949</v>
      </c>
      <c r="W22" s="73"/>
      <c r="X22" s="259"/>
      <c r="Y22" s="29"/>
      <c r="Z22" s="72"/>
      <c r="AA22" s="72"/>
      <c r="AB22" s="29"/>
      <c r="AC22" s="73"/>
      <c r="AD22" s="29"/>
      <c r="AE22" s="72"/>
      <c r="AF22" s="72"/>
      <c r="AG22" s="72"/>
      <c r="AH22" s="72"/>
      <c r="AI22" s="73"/>
      <c r="AJ22" s="29"/>
      <c r="AK22" s="72"/>
      <c r="AL22" s="29"/>
      <c r="AM22" s="72"/>
      <c r="AN22" s="72"/>
      <c r="AO22" s="73"/>
      <c r="AP22" s="29"/>
      <c r="AQ22" s="72"/>
      <c r="AR22" s="72"/>
      <c r="AS22" s="72"/>
      <c r="AT22" s="72"/>
      <c r="AU22" s="73"/>
      <c r="AV22" s="29">
        <f>'[22]8.11'!$I$20</f>
        <v>131145.17024851745</v>
      </c>
      <c r="AW22" s="73"/>
      <c r="AX22" s="259">
        <f>'[11]9.1 - 9.1.1'!$I$73+'[11]9.1 - 9.1.1'!$I$78+'[11]9.1 - 9.1.1'!$I$81</f>
        <v>902275.44766935706</v>
      </c>
      <c r="AY22" s="29"/>
      <c r="AZ22" s="72"/>
      <c r="BA22" s="73"/>
      <c r="BB22" s="29"/>
      <c r="BC22" s="72"/>
      <c r="BD22" s="72"/>
      <c r="BE22" s="72"/>
      <c r="BF22" s="73"/>
    </row>
    <row r="23" spans="1:58" x14ac:dyDescent="0.2">
      <c r="A23" s="14" t="s">
        <v>55</v>
      </c>
      <c r="B23" s="28">
        <f t="shared" si="4"/>
        <v>1276344.0453904099</v>
      </c>
      <c r="C23" s="29"/>
      <c r="D23" s="72"/>
      <c r="E23" s="72"/>
      <c r="F23" s="259"/>
      <c r="G23" s="29"/>
      <c r="H23" s="72">
        <f>SUM('[49]4.3'!$I$32:$I$33)</f>
        <v>178209.7114077287</v>
      </c>
      <c r="I23" s="72"/>
      <c r="J23" s="72"/>
      <c r="K23" s="72"/>
      <c r="L23" s="73"/>
      <c r="M23" s="29"/>
      <c r="N23" s="72"/>
      <c r="O23" s="72"/>
      <c r="P23" s="72"/>
      <c r="Q23" s="72"/>
      <c r="R23" s="73">
        <f>'[51]4.13'!$I$14</f>
        <v>395581.40208438708</v>
      </c>
      <c r="S23" s="29"/>
      <c r="T23" s="72">
        <f>'[41]5.2'!$I$30</f>
        <v>630176.87420901121</v>
      </c>
      <c r="U23" s="72"/>
      <c r="V23" s="72"/>
      <c r="W23" s="73"/>
      <c r="X23" s="259"/>
      <c r="Y23" s="29"/>
      <c r="Z23" s="72"/>
      <c r="AA23" s="72"/>
      <c r="AB23" s="29"/>
      <c r="AC23" s="73"/>
      <c r="AD23" s="29"/>
      <c r="AE23" s="72"/>
      <c r="AF23" s="72"/>
      <c r="AG23" s="72"/>
      <c r="AH23" s="72"/>
      <c r="AI23" s="73"/>
      <c r="AJ23" s="29"/>
      <c r="AK23" s="72"/>
      <c r="AL23" s="29"/>
      <c r="AM23" s="72"/>
      <c r="AN23" s="72"/>
      <c r="AO23" s="73"/>
      <c r="AP23" s="29"/>
      <c r="AQ23" s="72"/>
      <c r="AR23" s="72"/>
      <c r="AS23" s="72"/>
      <c r="AT23" s="72"/>
      <c r="AU23" s="73"/>
      <c r="AV23" s="29"/>
      <c r="AW23" s="73"/>
      <c r="AX23" s="259">
        <f>'[11]9.1 - 9.1.1'!$I$79</f>
        <v>72376.057689283043</v>
      </c>
      <c r="AY23" s="29"/>
      <c r="AZ23" s="72"/>
      <c r="BA23" s="73"/>
      <c r="BB23" s="29"/>
      <c r="BC23" s="72"/>
      <c r="BD23" s="72"/>
      <c r="BE23" s="72"/>
      <c r="BF23" s="73"/>
    </row>
    <row r="24" spans="1:58" x14ac:dyDescent="0.2">
      <c r="A24" s="14" t="s">
        <v>56</v>
      </c>
      <c r="B24" s="28">
        <f t="shared" si="4"/>
        <v>4346285.8129516896</v>
      </c>
      <c r="C24" s="29"/>
      <c r="D24" s="72"/>
      <c r="E24" s="72"/>
      <c r="F24" s="259"/>
      <c r="G24" s="29"/>
      <c r="H24" s="72">
        <f>SUM('[49]4.3'!$I$34:$I$37)</f>
        <v>717489.50499227876</v>
      </c>
      <c r="I24" s="72"/>
      <c r="J24" s="72"/>
      <c r="K24" s="72"/>
      <c r="L24" s="73"/>
      <c r="M24" s="29"/>
      <c r="N24" s="72"/>
      <c r="O24" s="72"/>
      <c r="P24" s="72"/>
      <c r="Q24" s="72"/>
      <c r="R24" s="73">
        <f>SUM('[51]4.13'!$I$11:$I$13)</f>
        <v>3628796.3079594113</v>
      </c>
      <c r="S24" s="29"/>
      <c r="T24" s="72"/>
      <c r="U24" s="72"/>
      <c r="V24" s="72"/>
      <c r="W24" s="73"/>
      <c r="X24" s="259"/>
      <c r="Y24" s="29"/>
      <c r="Z24" s="72"/>
      <c r="AA24" s="72"/>
      <c r="AB24" s="29"/>
      <c r="AC24" s="73"/>
      <c r="AD24" s="29"/>
      <c r="AE24" s="72"/>
      <c r="AF24" s="72"/>
      <c r="AG24" s="72"/>
      <c r="AH24" s="72"/>
      <c r="AI24" s="73"/>
      <c r="AJ24" s="29"/>
      <c r="AK24" s="72"/>
      <c r="AL24" s="29"/>
      <c r="AM24" s="72"/>
      <c r="AN24" s="72"/>
      <c r="AO24" s="73"/>
      <c r="AP24" s="29"/>
      <c r="AQ24" s="72"/>
      <c r="AR24" s="72"/>
      <c r="AS24" s="72"/>
      <c r="AT24" s="72"/>
      <c r="AU24" s="73"/>
      <c r="AV24" s="29"/>
      <c r="AW24" s="73"/>
      <c r="AX24" s="259"/>
      <c r="AY24" s="29"/>
      <c r="AZ24" s="72"/>
      <c r="BA24" s="73"/>
      <c r="BB24" s="29"/>
      <c r="BC24" s="72"/>
      <c r="BD24" s="72"/>
      <c r="BE24" s="72"/>
      <c r="BF24" s="73"/>
    </row>
    <row r="25" spans="1:58" x14ac:dyDescent="0.2">
      <c r="A25" s="14" t="s">
        <v>57</v>
      </c>
      <c r="B25" s="28">
        <f t="shared" si="4"/>
        <v>225350.65996252821</v>
      </c>
      <c r="C25" s="29"/>
      <c r="D25" s="72"/>
      <c r="E25" s="72"/>
      <c r="F25" s="259"/>
      <c r="G25" s="29"/>
      <c r="H25" s="72">
        <f>SUM('[49]4.3'!$I$38:$I$39)</f>
        <v>152171.69476252823</v>
      </c>
      <c r="I25" s="72"/>
      <c r="J25" s="72"/>
      <c r="K25" s="72"/>
      <c r="L25" s="73"/>
      <c r="M25" s="29"/>
      <c r="N25" s="72"/>
      <c r="O25" s="72"/>
      <c r="P25" s="72"/>
      <c r="Q25" s="72">
        <f>'[52]4.12'!$I$11</f>
        <v>73178.965199999977</v>
      </c>
      <c r="R25" s="73"/>
      <c r="S25" s="29"/>
      <c r="T25" s="72"/>
      <c r="U25" s="72"/>
      <c r="V25" s="72"/>
      <c r="W25" s="73"/>
      <c r="X25" s="259"/>
      <c r="Y25" s="29"/>
      <c r="Z25" s="72"/>
      <c r="AA25" s="72"/>
      <c r="AB25" s="29"/>
      <c r="AC25" s="73"/>
      <c r="AD25" s="29"/>
      <c r="AE25" s="72"/>
      <c r="AF25" s="72"/>
      <c r="AG25" s="72"/>
      <c r="AH25" s="72"/>
      <c r="AI25" s="73"/>
      <c r="AJ25" s="29"/>
      <c r="AK25" s="72"/>
      <c r="AL25" s="29"/>
      <c r="AM25" s="72"/>
      <c r="AN25" s="72"/>
      <c r="AO25" s="73"/>
      <c r="AP25" s="29"/>
      <c r="AQ25" s="72"/>
      <c r="AR25" s="72"/>
      <c r="AS25" s="72"/>
      <c r="AT25" s="72"/>
      <c r="AU25" s="73"/>
      <c r="AV25" s="29"/>
      <c r="AW25" s="73"/>
      <c r="AX25" s="259"/>
      <c r="AY25" s="29"/>
      <c r="AZ25" s="72"/>
      <c r="BA25" s="73"/>
      <c r="BB25" s="29"/>
      <c r="BC25" s="72"/>
      <c r="BD25" s="72"/>
      <c r="BE25" s="72"/>
      <c r="BF25" s="73"/>
    </row>
    <row r="26" spans="1:58" x14ac:dyDescent="0.2">
      <c r="A26" s="14" t="s">
        <v>58</v>
      </c>
      <c r="B26" s="28">
        <f t="shared" si="4"/>
        <v>22913.064438068472</v>
      </c>
      <c r="C26" s="29"/>
      <c r="D26" s="72"/>
      <c r="E26" s="72"/>
      <c r="F26" s="259"/>
      <c r="G26" s="29"/>
      <c r="H26" s="72">
        <f>SUM('[49]4.3'!$I$40:$I$41)</f>
        <v>22913.064438068472</v>
      </c>
      <c r="I26" s="72"/>
      <c r="J26" s="72"/>
      <c r="K26" s="72"/>
      <c r="L26" s="73"/>
      <c r="M26" s="29"/>
      <c r="N26" s="72"/>
      <c r="O26" s="72"/>
      <c r="P26" s="72"/>
      <c r="Q26" s="72"/>
      <c r="R26" s="73"/>
      <c r="S26" s="29"/>
      <c r="T26" s="72"/>
      <c r="U26" s="72"/>
      <c r="V26" s="72"/>
      <c r="W26" s="73"/>
      <c r="X26" s="259"/>
      <c r="Y26" s="29"/>
      <c r="Z26" s="72"/>
      <c r="AA26" s="72"/>
      <c r="AB26" s="29"/>
      <c r="AC26" s="73"/>
      <c r="AD26" s="29"/>
      <c r="AE26" s="72"/>
      <c r="AF26" s="72"/>
      <c r="AG26" s="72"/>
      <c r="AH26" s="72"/>
      <c r="AI26" s="73"/>
      <c r="AJ26" s="29"/>
      <c r="AK26" s="72"/>
      <c r="AL26" s="29"/>
      <c r="AM26" s="72"/>
      <c r="AN26" s="72"/>
      <c r="AO26" s="73"/>
      <c r="AP26" s="29"/>
      <c r="AQ26" s="72"/>
      <c r="AR26" s="72"/>
      <c r="AS26" s="72"/>
      <c r="AT26" s="72"/>
      <c r="AU26" s="73"/>
      <c r="AV26" s="29"/>
      <c r="AW26" s="73"/>
      <c r="AX26" s="259"/>
      <c r="AY26" s="29"/>
      <c r="AZ26" s="72"/>
      <c r="BA26" s="73"/>
      <c r="BB26" s="29"/>
      <c r="BC26" s="72"/>
      <c r="BD26" s="72"/>
      <c r="BE26" s="72"/>
      <c r="BF26" s="73"/>
    </row>
    <row r="27" spans="1:58" x14ac:dyDescent="0.2">
      <c r="A27" s="14" t="s">
        <v>59</v>
      </c>
      <c r="B27" s="28">
        <f t="shared" si="4"/>
        <v>0</v>
      </c>
      <c r="C27" s="29"/>
      <c r="D27" s="72"/>
      <c r="E27" s="72"/>
      <c r="F27" s="259"/>
      <c r="G27" s="29"/>
      <c r="H27" s="72"/>
      <c r="I27" s="72"/>
      <c r="J27" s="72"/>
      <c r="K27" s="72"/>
      <c r="L27" s="73"/>
      <c r="M27" s="29"/>
      <c r="N27" s="72"/>
      <c r="O27" s="72"/>
      <c r="P27" s="72"/>
      <c r="Q27" s="72"/>
      <c r="R27" s="73"/>
      <c r="S27" s="29"/>
      <c r="T27" s="72"/>
      <c r="U27" s="72"/>
      <c r="V27" s="72"/>
      <c r="W27" s="73"/>
      <c r="X27" s="259"/>
      <c r="Y27" s="29"/>
      <c r="Z27" s="72"/>
      <c r="AA27" s="72"/>
      <c r="AB27" s="29"/>
      <c r="AC27" s="73"/>
      <c r="AD27" s="29"/>
      <c r="AE27" s="72"/>
      <c r="AF27" s="72"/>
      <c r="AG27" s="72"/>
      <c r="AH27" s="72"/>
      <c r="AI27" s="73"/>
      <c r="AJ27" s="29"/>
      <c r="AK27" s="72"/>
      <c r="AL27" s="29"/>
      <c r="AM27" s="72"/>
      <c r="AN27" s="72"/>
      <c r="AO27" s="73"/>
      <c r="AP27" s="29"/>
      <c r="AQ27" s="72"/>
      <c r="AR27" s="72"/>
      <c r="AS27" s="72"/>
      <c r="AT27" s="72"/>
      <c r="AU27" s="73"/>
      <c r="AV27" s="29"/>
      <c r="AW27" s="73"/>
      <c r="AX27" s="259"/>
      <c r="AY27" s="29"/>
      <c r="AZ27" s="72"/>
      <c r="BA27" s="73"/>
      <c r="BB27" s="29"/>
      <c r="BC27" s="72"/>
      <c r="BD27" s="72"/>
      <c r="BE27" s="72"/>
      <c r="BF27" s="73"/>
    </row>
    <row r="28" spans="1:58" x14ac:dyDescent="0.2">
      <c r="A28" s="14" t="s">
        <v>60</v>
      </c>
      <c r="B28" s="28">
        <f t="shared" si="4"/>
        <v>-3774965.298066901</v>
      </c>
      <c r="C28" s="31"/>
      <c r="D28" s="77"/>
      <c r="E28" s="77"/>
      <c r="F28" s="260"/>
      <c r="G28" s="31"/>
      <c r="H28" s="77">
        <f>SUM('[49]4.3'!$I$42:$I$45)</f>
        <v>133801.55445488991</v>
      </c>
      <c r="I28" s="77">
        <f>SUM('[48]4.4'!$I$13:$I$16)</f>
        <v>-414531.39038378769</v>
      </c>
      <c r="J28" s="77">
        <f>SUM('[47]4.5'!$I$11:$I$21)</f>
        <v>-3532011.4621380032</v>
      </c>
      <c r="K28" s="77"/>
      <c r="L28" s="79"/>
      <c r="M28" s="31"/>
      <c r="N28" s="77"/>
      <c r="O28" s="77"/>
      <c r="P28" s="77"/>
      <c r="Q28" s="77"/>
      <c r="R28" s="79"/>
      <c r="S28" s="31"/>
      <c r="T28" s="77"/>
      <c r="U28" s="77"/>
      <c r="V28" s="77"/>
      <c r="W28" s="79">
        <f>SUM('[35]5.5'!$I$11:$I$12)</f>
        <v>37776</v>
      </c>
      <c r="X28" s="260"/>
      <c r="Y28" s="31"/>
      <c r="Z28" s="77"/>
      <c r="AA28" s="77"/>
      <c r="AB28" s="31"/>
      <c r="AC28" s="79"/>
      <c r="AD28" s="31"/>
      <c r="AE28" s="77"/>
      <c r="AF28" s="77"/>
      <c r="AG28" s="77"/>
      <c r="AH28" s="77"/>
      <c r="AI28" s="79"/>
      <c r="AJ28" s="31"/>
      <c r="AK28" s="77"/>
      <c r="AL28" s="31"/>
      <c r="AM28" s="77"/>
      <c r="AN28" s="77"/>
      <c r="AO28" s="79"/>
      <c r="AP28" s="31"/>
      <c r="AQ28" s="77"/>
      <c r="AR28" s="77"/>
      <c r="AS28" s="77"/>
      <c r="AT28" s="77"/>
      <c r="AU28" s="79"/>
      <c r="AV28" s="31"/>
      <c r="AW28" s="79"/>
      <c r="AX28" s="260"/>
      <c r="AY28" s="31"/>
      <c r="AZ28" s="77"/>
      <c r="BA28" s="79"/>
      <c r="BB28" s="31"/>
      <c r="BC28" s="77"/>
      <c r="BD28" s="77"/>
      <c r="BE28" s="77"/>
      <c r="BF28" s="79"/>
    </row>
    <row r="29" spans="1:58" x14ac:dyDescent="0.2">
      <c r="A29" s="14" t="s">
        <v>61</v>
      </c>
      <c r="B29" s="254">
        <f t="shared" si="4"/>
        <v>59701522.469583824</v>
      </c>
      <c r="C29" s="27">
        <f>SUM(C19:C28)</f>
        <v>0</v>
      </c>
      <c r="D29" s="12">
        <f t="shared" ref="D29:BF29" si="5">SUM(D19:D28)</f>
        <v>0</v>
      </c>
      <c r="E29" s="12">
        <f t="shared" si="5"/>
        <v>0</v>
      </c>
      <c r="F29" s="69">
        <f t="shared" si="5"/>
        <v>0</v>
      </c>
      <c r="G29" s="27">
        <f t="shared" si="5"/>
        <v>0</v>
      </c>
      <c r="H29" s="12">
        <f>SUM(H19:H28)</f>
        <v>1807065.9535639419</v>
      </c>
      <c r="I29" s="12">
        <f t="shared" si="5"/>
        <v>-414531.39038378769</v>
      </c>
      <c r="J29" s="12">
        <f t="shared" si="5"/>
        <v>-3532011.4621380032</v>
      </c>
      <c r="K29" s="12">
        <f t="shared" si="5"/>
        <v>0</v>
      </c>
      <c r="L29" s="68">
        <f t="shared" si="5"/>
        <v>0</v>
      </c>
      <c r="M29" s="27">
        <f t="shared" si="5"/>
        <v>0</v>
      </c>
      <c r="N29" s="12">
        <f t="shared" si="5"/>
        <v>0</v>
      </c>
      <c r="O29" s="12">
        <f t="shared" si="5"/>
        <v>0</v>
      </c>
      <c r="P29" s="12">
        <f t="shared" si="5"/>
        <v>0</v>
      </c>
      <c r="Q29" s="12">
        <f t="shared" si="5"/>
        <v>73178.965199999977</v>
      </c>
      <c r="R29" s="68">
        <f t="shared" si="5"/>
        <v>4130186.2725003762</v>
      </c>
      <c r="S29" s="27">
        <f t="shared" si="5"/>
        <v>0</v>
      </c>
      <c r="T29" s="12">
        <f t="shared" si="5"/>
        <v>56166403.843724281</v>
      </c>
      <c r="U29" s="12">
        <f t="shared" si="5"/>
        <v>0</v>
      </c>
      <c r="V29" s="12">
        <f t="shared" ref="V29:W29" si="6">SUM(V19:V28)</f>
        <v>114140.83764662949</v>
      </c>
      <c r="W29" s="68">
        <f t="shared" si="6"/>
        <v>37776</v>
      </c>
      <c r="X29" s="69">
        <f t="shared" si="5"/>
        <v>0</v>
      </c>
      <c r="Y29" s="27">
        <f t="shared" si="5"/>
        <v>0</v>
      </c>
      <c r="Z29" s="12">
        <f t="shared" si="5"/>
        <v>0</v>
      </c>
      <c r="AA29" s="12">
        <f t="shared" si="5"/>
        <v>0</v>
      </c>
      <c r="AB29" s="27">
        <f t="shared" si="5"/>
        <v>0</v>
      </c>
      <c r="AC29" s="68">
        <f t="shared" si="5"/>
        <v>0</v>
      </c>
      <c r="AD29" s="27">
        <f t="shared" si="5"/>
        <v>0</v>
      </c>
      <c r="AE29" s="12">
        <f t="shared" si="5"/>
        <v>0</v>
      </c>
      <c r="AF29" s="12">
        <f t="shared" si="5"/>
        <v>0</v>
      </c>
      <c r="AG29" s="12">
        <f t="shared" si="5"/>
        <v>0</v>
      </c>
      <c r="AH29" s="12">
        <f t="shared" si="5"/>
        <v>0</v>
      </c>
      <c r="AI29" s="68">
        <f>SUM(AI19:AI28)</f>
        <v>0</v>
      </c>
      <c r="AJ29" s="27">
        <f t="shared" si="5"/>
        <v>0</v>
      </c>
      <c r="AK29" s="12">
        <f t="shared" ref="AK29" si="7">SUM(AK19:AK28)</f>
        <v>0</v>
      </c>
      <c r="AL29" s="27">
        <f t="shared" si="5"/>
        <v>0</v>
      </c>
      <c r="AM29" s="12">
        <f t="shared" si="5"/>
        <v>0</v>
      </c>
      <c r="AN29" s="12">
        <f t="shared" si="5"/>
        <v>0</v>
      </c>
      <c r="AO29" s="68">
        <f t="shared" si="5"/>
        <v>0</v>
      </c>
      <c r="AP29" s="27">
        <f t="shared" ref="AP29" si="8">SUM(AP19:AP28)</f>
        <v>0</v>
      </c>
      <c r="AQ29" s="12">
        <f t="shared" si="5"/>
        <v>0</v>
      </c>
      <c r="AR29" s="12">
        <f t="shared" si="5"/>
        <v>0</v>
      </c>
      <c r="AS29" s="12">
        <f t="shared" si="5"/>
        <v>0</v>
      </c>
      <c r="AT29" s="12">
        <f t="shared" si="5"/>
        <v>0</v>
      </c>
      <c r="AU29" s="68">
        <f t="shared" si="5"/>
        <v>0</v>
      </c>
      <c r="AV29" s="27">
        <f t="shared" si="5"/>
        <v>131145.17024851745</v>
      </c>
      <c r="AW29" s="68">
        <f t="shared" si="5"/>
        <v>0</v>
      </c>
      <c r="AX29" s="69">
        <f t="shared" si="5"/>
        <v>1188168.2792218798</v>
      </c>
      <c r="AY29" s="27">
        <f t="shared" si="5"/>
        <v>0</v>
      </c>
      <c r="AZ29" s="12">
        <f t="shared" si="5"/>
        <v>0</v>
      </c>
      <c r="BA29" s="68">
        <f t="shared" si="5"/>
        <v>0</v>
      </c>
      <c r="BB29" s="27">
        <f t="shared" si="5"/>
        <v>0</v>
      </c>
      <c r="BC29" s="12">
        <f t="shared" si="5"/>
        <v>0</v>
      </c>
      <c r="BD29" s="12">
        <f t="shared" si="5"/>
        <v>0</v>
      </c>
      <c r="BE29" s="12">
        <f t="shared" si="5"/>
        <v>0</v>
      </c>
      <c r="BF29" s="68">
        <f t="shared" si="5"/>
        <v>0</v>
      </c>
    </row>
    <row r="30" spans="1:58" x14ac:dyDescent="0.2">
      <c r="A30" s="14" t="s">
        <v>62</v>
      </c>
      <c r="B30" s="28">
        <f t="shared" si="4"/>
        <v>-11998389.233632291</v>
      </c>
      <c r="C30" s="29"/>
      <c r="D30" s="72"/>
      <c r="E30" s="72"/>
      <c r="F30" s="259"/>
      <c r="G30" s="29"/>
      <c r="H30" s="72"/>
      <c r="I30" s="72"/>
      <c r="J30" s="72"/>
      <c r="K30" s="72"/>
      <c r="L30" s="73"/>
      <c r="M30" s="29"/>
      <c r="N30" s="72"/>
      <c r="O30" s="72"/>
      <c r="P30" s="72"/>
      <c r="Q30" s="72"/>
      <c r="R30" s="73"/>
      <c r="S30" s="29"/>
      <c r="T30" s="72"/>
      <c r="U30" s="72"/>
      <c r="V30" s="72"/>
      <c r="W30" s="73"/>
      <c r="X30" s="259">
        <f>'[34]6.1'!$J$52</f>
        <v>-16220473.329020642</v>
      </c>
      <c r="Y30" s="29"/>
      <c r="Z30" s="72"/>
      <c r="AA30" s="72"/>
      <c r="AB30" s="29"/>
      <c r="AC30" s="73"/>
      <c r="AD30" s="29"/>
      <c r="AE30" s="72"/>
      <c r="AF30" s="72"/>
      <c r="AG30" s="72"/>
      <c r="AH30" s="72"/>
      <c r="AI30" s="73"/>
      <c r="AJ30" s="29"/>
      <c r="AK30" s="72"/>
      <c r="AL30" s="29"/>
      <c r="AM30" s="72"/>
      <c r="AN30" s="72"/>
      <c r="AO30" s="73"/>
      <c r="AP30" s="29"/>
      <c r="AQ30" s="72"/>
      <c r="AR30" s="72"/>
      <c r="AS30" s="72"/>
      <c r="AT30" s="72"/>
      <c r="AU30" s="73"/>
      <c r="AV30" s="29">
        <f>'[22]8.11'!$I$13</f>
        <v>97710.70532217549</v>
      </c>
      <c r="AW30" s="73">
        <f>'[21]8.12'!$I$13</f>
        <v>646845.05196292081</v>
      </c>
      <c r="AX30" s="259">
        <f>'[11]9.1 - 9.1.1'!$I$38</f>
        <v>23210.389051953243</v>
      </c>
      <c r="AY30" s="29"/>
      <c r="AZ30" s="72">
        <f>'[4]10.2'!$I$16</f>
        <v>418474.67101061583</v>
      </c>
      <c r="BA30" s="73"/>
      <c r="BB30" s="29"/>
      <c r="BC30" s="72">
        <f>SUM('[7]10.5'!$I$16:$I$17)</f>
        <v>2952540.8917818591</v>
      </c>
      <c r="BD30" s="72">
        <f>SUM('[8]10.6'!$I$15:$I$17)</f>
        <v>46519.892542761663</v>
      </c>
      <c r="BE30" s="72">
        <f>'[9]10.7'!$I$14</f>
        <v>36782.493716064644</v>
      </c>
      <c r="BF30" s="73"/>
    </row>
    <row r="31" spans="1:58" x14ac:dyDescent="0.2">
      <c r="A31" s="14" t="s">
        <v>63</v>
      </c>
      <c r="B31" s="28">
        <f t="shared" si="4"/>
        <v>7703313.6481057769</v>
      </c>
      <c r="C31" s="29"/>
      <c r="D31" s="72"/>
      <c r="E31" s="72"/>
      <c r="F31" s="259"/>
      <c r="G31" s="29"/>
      <c r="H31" s="72"/>
      <c r="I31" s="72"/>
      <c r="J31" s="72"/>
      <c r="K31" s="72"/>
      <c r="L31" s="73"/>
      <c r="M31" s="29"/>
      <c r="N31" s="72"/>
      <c r="O31" s="72"/>
      <c r="P31" s="72"/>
      <c r="Q31" s="72"/>
      <c r="R31" s="73"/>
      <c r="S31" s="29"/>
      <c r="T31" s="72"/>
      <c r="U31" s="72"/>
      <c r="V31" s="72"/>
      <c r="W31" s="73"/>
      <c r="X31" s="259">
        <f>'[34]6.1.1'!$J$38</f>
        <v>615859.06737593689</v>
      </c>
      <c r="Y31" s="29"/>
      <c r="Z31" s="72"/>
      <c r="AA31" s="72"/>
      <c r="AB31" s="29"/>
      <c r="AC31" s="73"/>
      <c r="AD31" s="29"/>
      <c r="AE31" s="72"/>
      <c r="AF31" s="72"/>
      <c r="AG31" s="72"/>
      <c r="AH31" s="72"/>
      <c r="AI31" s="73"/>
      <c r="AJ31" s="29"/>
      <c r="AK31" s="72"/>
      <c r="AL31" s="29"/>
      <c r="AM31" s="72">
        <f>SUM('[18]8.2'!$I$14:$I$16)</f>
        <v>7011257.8506784029</v>
      </c>
      <c r="AN31" s="72"/>
      <c r="AO31" s="73"/>
      <c r="AP31" s="29"/>
      <c r="AQ31" s="72"/>
      <c r="AR31" s="72"/>
      <c r="AS31" s="72"/>
      <c r="AT31" s="72"/>
      <c r="AU31" s="73">
        <f>'[23]8.10'!$I$22</f>
        <v>76196.730051437393</v>
      </c>
      <c r="AV31" s="29"/>
      <c r="AW31" s="73"/>
      <c r="AX31" s="259"/>
      <c r="AY31" s="29"/>
      <c r="AZ31" s="72"/>
      <c r="BA31" s="73"/>
      <c r="BB31" s="29"/>
      <c r="BC31" s="72"/>
      <c r="BD31" s="72"/>
      <c r="BE31" s="72"/>
      <c r="BF31" s="73"/>
    </row>
    <row r="32" spans="1:58" x14ac:dyDescent="0.2">
      <c r="A32" s="14" t="s">
        <v>64</v>
      </c>
      <c r="B32" s="28">
        <f t="shared" si="4"/>
        <v>1060921.9023400173</v>
      </c>
      <c r="C32" s="29"/>
      <c r="D32" s="72"/>
      <c r="E32" s="72"/>
      <c r="F32" s="259"/>
      <c r="G32" s="29"/>
      <c r="H32" s="72"/>
      <c r="I32" s="72"/>
      <c r="J32" s="72"/>
      <c r="K32" s="72"/>
      <c r="L32" s="73"/>
      <c r="M32" s="29"/>
      <c r="N32" s="72"/>
      <c r="O32" s="72"/>
      <c r="P32" s="72"/>
      <c r="Q32" s="72"/>
      <c r="R32" s="73"/>
      <c r="S32" s="29"/>
      <c r="T32" s="72"/>
      <c r="U32" s="72"/>
      <c r="V32" s="72"/>
      <c r="W32" s="73"/>
      <c r="X32" s="259"/>
      <c r="Y32" s="29"/>
      <c r="Z32" s="72"/>
      <c r="AA32" s="72"/>
      <c r="AB32" s="29"/>
      <c r="AC32" s="73">
        <f>'[19]7.2'!$I$10</f>
        <v>843808.66439033335</v>
      </c>
      <c r="AD32" s="29"/>
      <c r="AE32" s="72"/>
      <c r="AF32" s="72"/>
      <c r="AG32" s="72"/>
      <c r="AH32" s="72"/>
      <c r="AI32" s="73"/>
      <c r="AJ32" s="29">
        <f>'[24]7.9'!$I$10</f>
        <v>-16672</v>
      </c>
      <c r="AK32" s="72">
        <f>'[31]7.10'!$I$10</f>
        <v>232524.95270601709</v>
      </c>
      <c r="AL32" s="29"/>
      <c r="AM32" s="72"/>
      <c r="AN32" s="72"/>
      <c r="AO32" s="73"/>
      <c r="AP32" s="29"/>
      <c r="AQ32" s="72"/>
      <c r="AR32" s="72"/>
      <c r="AS32" s="72"/>
      <c r="AT32" s="72"/>
      <c r="AU32" s="73"/>
      <c r="AV32" s="29"/>
      <c r="AW32" s="73"/>
      <c r="AX32" s="259">
        <f>'[11]9.1 - 9.1.1'!$I$91</f>
        <v>1260.2852436666144</v>
      </c>
      <c r="AY32" s="29"/>
      <c r="AZ32" s="72"/>
      <c r="BA32" s="73"/>
      <c r="BB32" s="29"/>
      <c r="BC32" s="72"/>
      <c r="BD32" s="72"/>
      <c r="BE32" s="72"/>
      <c r="BF32" s="73"/>
    </row>
    <row r="33" spans="1:58" x14ac:dyDescent="0.2">
      <c r="A33" s="14" t="s">
        <v>65</v>
      </c>
      <c r="B33" s="28">
        <f t="shared" si="4"/>
        <v>-20783660.452388309</v>
      </c>
      <c r="C33" s="29">
        <f>C87</f>
        <v>0</v>
      </c>
      <c r="D33" s="72">
        <f t="shared" ref="D33:AW33" si="9">D87</f>
        <v>0</v>
      </c>
      <c r="E33" s="72">
        <f t="shared" si="9"/>
        <v>299172.03611722862</v>
      </c>
      <c r="F33" s="259"/>
      <c r="G33" s="29"/>
      <c r="H33" s="72">
        <f t="shared" si="9"/>
        <v>-379483.85024842777</v>
      </c>
      <c r="I33" s="72">
        <f t="shared" si="9"/>
        <v>87051.591980595404</v>
      </c>
      <c r="J33" s="72">
        <f t="shared" si="9"/>
        <v>741722.40704898059</v>
      </c>
      <c r="K33" s="72">
        <f t="shared" si="9"/>
        <v>0</v>
      </c>
      <c r="L33" s="73">
        <f t="shared" si="9"/>
        <v>0</v>
      </c>
      <c r="M33" s="29">
        <f t="shared" si="9"/>
        <v>0</v>
      </c>
      <c r="N33" s="72">
        <f t="shared" si="9"/>
        <v>0</v>
      </c>
      <c r="O33" s="72">
        <f t="shared" si="9"/>
        <v>0</v>
      </c>
      <c r="P33" s="72">
        <f t="shared" si="9"/>
        <v>0</v>
      </c>
      <c r="Q33" s="72">
        <f t="shared" si="9"/>
        <v>-15367.582691999994</v>
      </c>
      <c r="R33" s="73">
        <f t="shared" si="9"/>
        <v>-867339.11722507898</v>
      </c>
      <c r="S33" s="29">
        <f t="shared" ref="S33:T33" si="10">S87</f>
        <v>0</v>
      </c>
      <c r="T33" s="72">
        <f t="shared" si="10"/>
        <v>-7796896.0742585408</v>
      </c>
      <c r="U33" s="72">
        <f t="shared" si="9"/>
        <v>55812.570729027124</v>
      </c>
      <c r="V33" s="72">
        <f t="shared" ref="V33:W33" si="11">V87</f>
        <v>-23969.57590579219</v>
      </c>
      <c r="W33" s="73">
        <f t="shared" si="11"/>
        <v>-7932.96</v>
      </c>
      <c r="X33" s="259">
        <f t="shared" si="9"/>
        <v>3276968.9949453878</v>
      </c>
      <c r="Y33" s="29">
        <f t="shared" si="9"/>
        <v>0</v>
      </c>
      <c r="Z33" s="72">
        <f t="shared" si="9"/>
        <v>0</v>
      </c>
      <c r="AA33" s="72">
        <f t="shared" si="9"/>
        <v>0</v>
      </c>
      <c r="AB33" s="29">
        <f t="shared" si="9"/>
        <v>-552278.96759530855</v>
      </c>
      <c r="AC33" s="73">
        <f t="shared" si="9"/>
        <v>-177199.81952197</v>
      </c>
      <c r="AD33" s="29">
        <f t="shared" si="9"/>
        <v>-16979716.477699727</v>
      </c>
      <c r="AE33" s="72">
        <f t="shared" si="9"/>
        <v>-817288.29571004666</v>
      </c>
      <c r="AF33" s="72">
        <f t="shared" si="9"/>
        <v>302035.50370207359</v>
      </c>
      <c r="AG33" s="72">
        <f t="shared" si="9"/>
        <v>0</v>
      </c>
      <c r="AH33" s="72">
        <f t="shared" si="9"/>
        <v>0</v>
      </c>
      <c r="AI33" s="73">
        <f>AI87</f>
        <v>0</v>
      </c>
      <c r="AJ33" s="29">
        <f t="shared" si="9"/>
        <v>3501.12</v>
      </c>
      <c r="AK33" s="72">
        <f t="shared" ref="AK33" si="12">AK87</f>
        <v>-48830.240068263585</v>
      </c>
      <c r="AL33" s="29">
        <f t="shared" si="9"/>
        <v>0</v>
      </c>
      <c r="AM33" s="72">
        <f t="shared" si="9"/>
        <v>2508555.5122575355</v>
      </c>
      <c r="AN33" s="72">
        <f t="shared" si="9"/>
        <v>0</v>
      </c>
      <c r="AO33" s="73">
        <f t="shared" si="9"/>
        <v>468935.98046481365</v>
      </c>
      <c r="AP33" s="29">
        <f t="shared" ref="AP33" si="13">AP87</f>
        <v>0</v>
      </c>
      <c r="AQ33" s="72">
        <f t="shared" si="9"/>
        <v>0</v>
      </c>
      <c r="AR33" s="72">
        <f t="shared" si="9"/>
        <v>0</v>
      </c>
      <c r="AS33" s="72">
        <f t="shared" si="9"/>
        <v>0</v>
      </c>
      <c r="AT33" s="72">
        <f t="shared" si="9"/>
        <v>0</v>
      </c>
      <c r="AU33" s="73">
        <f t="shared" si="9"/>
        <v>0</v>
      </c>
      <c r="AV33" s="29">
        <f t="shared" si="9"/>
        <v>-48059.733869845513</v>
      </c>
      <c r="AW33" s="73">
        <f t="shared" si="9"/>
        <v>-135837.46091221337</v>
      </c>
      <c r="AX33" s="259">
        <f t="shared" ref="AX33:BA33" si="14">AX87</f>
        <v>-265343.54372185015</v>
      </c>
      <c r="AY33" s="29">
        <f t="shared" si="14"/>
        <v>0</v>
      </c>
      <c r="AZ33" s="72">
        <f t="shared" si="14"/>
        <v>-87879.68091222932</v>
      </c>
      <c r="BA33" s="73">
        <f t="shared" si="14"/>
        <v>0</v>
      </c>
      <c r="BB33" s="29">
        <f t="shared" ref="BB33:BF33" si="15">BB87</f>
        <v>0</v>
      </c>
      <c r="BC33" s="72">
        <f t="shared" si="15"/>
        <v>0</v>
      </c>
      <c r="BD33" s="72">
        <f t="shared" si="15"/>
        <v>-61331.487434897295</v>
      </c>
      <c r="BE33" s="72">
        <f t="shared" si="15"/>
        <v>-48287.412867807012</v>
      </c>
      <c r="BF33" s="73">
        <f t="shared" si="15"/>
        <v>-214373.88898995286</v>
      </c>
    </row>
    <row r="34" spans="1:58" x14ac:dyDescent="0.2">
      <c r="A34" s="14" t="s">
        <v>66</v>
      </c>
      <c r="B34" s="28">
        <f t="shared" si="4"/>
        <v>0</v>
      </c>
      <c r="C34" s="28">
        <v>0</v>
      </c>
      <c r="D34" s="70">
        <v>0</v>
      </c>
      <c r="E34" s="70">
        <v>0</v>
      </c>
      <c r="F34" s="80"/>
      <c r="G34" s="28"/>
      <c r="H34" s="70">
        <v>0</v>
      </c>
      <c r="I34" s="70">
        <v>0</v>
      </c>
      <c r="J34" s="70">
        <v>0</v>
      </c>
      <c r="K34" s="70">
        <v>0</v>
      </c>
      <c r="L34" s="71">
        <v>0</v>
      </c>
      <c r="M34" s="28">
        <v>0</v>
      </c>
      <c r="N34" s="70">
        <v>0</v>
      </c>
      <c r="O34" s="70">
        <v>0</v>
      </c>
      <c r="P34" s="70">
        <v>0</v>
      </c>
      <c r="Q34" s="70">
        <v>0</v>
      </c>
      <c r="R34" s="71">
        <v>0</v>
      </c>
      <c r="S34" s="28">
        <v>0</v>
      </c>
      <c r="T34" s="70">
        <v>0</v>
      </c>
      <c r="U34" s="70">
        <v>0</v>
      </c>
      <c r="V34" s="70">
        <v>0</v>
      </c>
      <c r="W34" s="71">
        <v>0</v>
      </c>
      <c r="X34" s="80">
        <v>0</v>
      </c>
      <c r="Y34" s="28">
        <v>0</v>
      </c>
      <c r="Z34" s="70">
        <v>0</v>
      </c>
      <c r="AA34" s="70">
        <v>0</v>
      </c>
      <c r="AB34" s="28">
        <v>0</v>
      </c>
      <c r="AC34" s="71">
        <v>0</v>
      </c>
      <c r="AD34" s="28">
        <v>0</v>
      </c>
      <c r="AE34" s="70">
        <v>0</v>
      </c>
      <c r="AF34" s="70">
        <v>0</v>
      </c>
      <c r="AG34" s="70">
        <v>0</v>
      </c>
      <c r="AH34" s="70">
        <v>0</v>
      </c>
      <c r="AI34" s="71">
        <v>0</v>
      </c>
      <c r="AJ34" s="28">
        <v>0</v>
      </c>
      <c r="AK34" s="70">
        <v>0</v>
      </c>
      <c r="AL34" s="28">
        <v>0</v>
      </c>
      <c r="AM34" s="70">
        <v>0</v>
      </c>
      <c r="AN34" s="70">
        <v>0</v>
      </c>
      <c r="AO34" s="71">
        <v>0</v>
      </c>
      <c r="AP34" s="28">
        <v>0</v>
      </c>
      <c r="AQ34" s="70">
        <v>0</v>
      </c>
      <c r="AR34" s="70">
        <v>0</v>
      </c>
      <c r="AS34" s="70">
        <v>0</v>
      </c>
      <c r="AT34" s="70">
        <v>0</v>
      </c>
      <c r="AU34" s="71">
        <v>0</v>
      </c>
      <c r="AV34" s="28">
        <v>0</v>
      </c>
      <c r="AW34" s="71">
        <v>0</v>
      </c>
      <c r="AX34" s="80">
        <v>0</v>
      </c>
      <c r="AY34" s="28">
        <v>0</v>
      </c>
      <c r="AZ34" s="70">
        <v>0</v>
      </c>
      <c r="BA34" s="71">
        <v>0</v>
      </c>
      <c r="BB34" s="28">
        <v>0</v>
      </c>
      <c r="BC34" s="70">
        <v>0</v>
      </c>
      <c r="BD34" s="70">
        <v>0</v>
      </c>
      <c r="BE34" s="70">
        <v>0</v>
      </c>
      <c r="BF34" s="71">
        <v>0</v>
      </c>
    </row>
    <row r="35" spans="1:58" s="272" customFormat="1" x14ac:dyDescent="0.2">
      <c r="A35" s="270" t="s">
        <v>67</v>
      </c>
      <c r="B35" s="28">
        <f t="shared" si="4"/>
        <v>-822707.8968957602</v>
      </c>
      <c r="C35" s="29"/>
      <c r="D35" s="72"/>
      <c r="E35" s="72"/>
      <c r="F35" s="259"/>
      <c r="G35" s="29"/>
      <c r="H35" s="72"/>
      <c r="I35" s="72"/>
      <c r="J35" s="72"/>
      <c r="K35" s="72"/>
      <c r="L35" s="73"/>
      <c r="M35" s="29"/>
      <c r="N35" s="72"/>
      <c r="O35" s="72"/>
      <c r="P35" s="72"/>
      <c r="Q35" s="72"/>
      <c r="R35" s="73"/>
      <c r="S35" s="29"/>
      <c r="T35" s="72"/>
      <c r="U35" s="72"/>
      <c r="V35" s="72"/>
      <c r="W35" s="73"/>
      <c r="X35" s="259"/>
      <c r="Y35" s="29"/>
      <c r="Z35" s="72"/>
      <c r="AA35" s="72">
        <f>'[32]6.4'!$I$23+'[32]6.4'!$I$31</f>
        <v>-498746.1113269059</v>
      </c>
      <c r="AB35" s="29"/>
      <c r="AC35" s="73"/>
      <c r="AD35" s="29"/>
      <c r="AE35" s="72">
        <f>SUM('[29]7.4.1'!$I$18:$I$24,'[29]7.4'!$I$33:$I$44)</f>
        <v>-3052383.4836220122</v>
      </c>
      <c r="AF35" s="72"/>
      <c r="AG35" s="72">
        <f>'[27]7.6'!$I$11</f>
        <v>123664</v>
      </c>
      <c r="AH35" s="72"/>
      <c r="AI35" s="73">
        <f>'[25]7.8'!$I$21</f>
        <v>8451410.0260689482</v>
      </c>
      <c r="AJ35" s="29"/>
      <c r="AK35" s="72"/>
      <c r="AL35" s="29"/>
      <c r="AM35" s="72">
        <f>SUM('[18]8.2'!$I$22,'[18]8.2'!$I$26)</f>
        <v>-4660822.8254611399</v>
      </c>
      <c r="AN35" s="72"/>
      <c r="AO35" s="73">
        <f>SUM('[16]8.4.1'!$J$41,'[16]8.4.1'!$J$45)</f>
        <v>-549026.01771629031</v>
      </c>
      <c r="AP35" s="29"/>
      <c r="AQ35" s="72"/>
      <c r="AR35" s="72"/>
      <c r="AS35" s="72"/>
      <c r="AT35" s="72"/>
      <c r="AU35" s="73">
        <f>'[23]8.10'!$I$23</f>
        <v>-18734.185230826712</v>
      </c>
      <c r="AV35" s="29"/>
      <c r="AW35" s="73"/>
      <c r="AX35" s="259"/>
      <c r="AY35" s="29"/>
      <c r="AZ35" s="72"/>
      <c r="BA35" s="73"/>
      <c r="BB35" s="29"/>
      <c r="BC35" s="72">
        <f>SUM('[7]10.5'!$I$32,'[7]10.5'!$I$36)</f>
        <v>-725929.44531510258</v>
      </c>
      <c r="BD35" s="72">
        <f>SUM('[8]10.6'!$I$31:$I$32,'[8]10.6'!$I$37:$I$38,'[8]10.6'!$I$43:$I$44)</f>
        <v>60368.86265113343</v>
      </c>
      <c r="BE35" s="72">
        <f>SUM('[9]10.7'!$I$31:$I$32)</f>
        <v>47491.283056435255</v>
      </c>
      <c r="BF35" s="73"/>
    </row>
    <row r="36" spans="1:58" x14ac:dyDescent="0.2">
      <c r="A36" s="14" t="s">
        <v>68</v>
      </c>
      <c r="B36" s="28">
        <f t="shared" si="4"/>
        <v>0</v>
      </c>
      <c r="C36" s="29"/>
      <c r="D36" s="72"/>
      <c r="E36" s="72"/>
      <c r="F36" s="259"/>
      <c r="G36" s="29"/>
      <c r="H36" s="72"/>
      <c r="I36" s="72"/>
      <c r="J36" s="72"/>
      <c r="K36" s="72"/>
      <c r="L36" s="73"/>
      <c r="M36" s="29"/>
      <c r="N36" s="72"/>
      <c r="O36" s="72"/>
      <c r="P36" s="72"/>
      <c r="Q36" s="72"/>
      <c r="R36" s="73"/>
      <c r="S36" s="29"/>
      <c r="T36" s="72"/>
      <c r="U36" s="72"/>
      <c r="V36" s="72"/>
      <c r="W36" s="73"/>
      <c r="X36" s="259"/>
      <c r="Y36" s="29"/>
      <c r="Z36" s="72"/>
      <c r="AA36" s="72"/>
      <c r="AB36" s="29"/>
      <c r="AC36" s="73"/>
      <c r="AD36" s="29"/>
      <c r="AE36" s="72"/>
      <c r="AF36" s="72"/>
      <c r="AG36" s="72"/>
      <c r="AH36" s="72"/>
      <c r="AI36" s="73"/>
      <c r="AJ36" s="29"/>
      <c r="AK36" s="72"/>
      <c r="AL36" s="29"/>
      <c r="AM36" s="72"/>
      <c r="AN36" s="72"/>
      <c r="AO36" s="73"/>
      <c r="AP36" s="29"/>
      <c r="AQ36" s="72"/>
      <c r="AR36" s="72"/>
      <c r="AS36" s="72"/>
      <c r="AT36" s="72"/>
      <c r="AU36" s="73"/>
      <c r="AV36" s="29"/>
      <c r="AW36" s="73"/>
      <c r="AX36" s="259"/>
      <c r="AY36" s="29"/>
      <c r="AZ36" s="72"/>
      <c r="BA36" s="73"/>
      <c r="BB36" s="29"/>
      <c r="BC36" s="72"/>
      <c r="BD36" s="72"/>
      <c r="BE36" s="72"/>
      <c r="BF36" s="73"/>
    </row>
    <row r="37" spans="1:58" x14ac:dyDescent="0.2">
      <c r="A37" s="14" t="s">
        <v>69</v>
      </c>
      <c r="B37" s="28">
        <f t="shared" si="4"/>
        <v>0</v>
      </c>
      <c r="C37" s="29"/>
      <c r="D37" s="72"/>
      <c r="E37" s="72"/>
      <c r="F37" s="259"/>
      <c r="G37" s="29"/>
      <c r="H37" s="72"/>
      <c r="I37" s="72"/>
      <c r="J37" s="72"/>
      <c r="K37" s="72"/>
      <c r="L37" s="73"/>
      <c r="M37" s="29"/>
      <c r="N37" s="72"/>
      <c r="O37" s="72"/>
      <c r="P37" s="72"/>
      <c r="Q37" s="72"/>
      <c r="R37" s="73"/>
      <c r="S37" s="29"/>
      <c r="T37" s="72"/>
      <c r="U37" s="72"/>
      <c r="V37" s="72"/>
      <c r="W37" s="73"/>
      <c r="X37" s="259"/>
      <c r="Y37" s="29"/>
      <c r="Z37" s="72"/>
      <c r="AA37" s="72"/>
      <c r="AB37" s="29"/>
      <c r="AC37" s="73"/>
      <c r="AD37" s="29"/>
      <c r="AE37" s="72"/>
      <c r="AF37" s="72"/>
      <c r="AG37" s="72"/>
      <c r="AH37" s="72"/>
      <c r="AI37" s="73"/>
      <c r="AJ37" s="29"/>
      <c r="AK37" s="72"/>
      <c r="AL37" s="29"/>
      <c r="AM37" s="72"/>
      <c r="AN37" s="72"/>
      <c r="AO37" s="73"/>
      <c r="AP37" s="29"/>
      <c r="AQ37" s="72"/>
      <c r="AR37" s="72"/>
      <c r="AS37" s="72"/>
      <c r="AT37" s="72"/>
      <c r="AU37" s="73"/>
      <c r="AV37" s="29"/>
      <c r="AW37" s="73"/>
      <c r="AX37" s="259"/>
      <c r="AY37" s="29"/>
      <c r="AZ37" s="72"/>
      <c r="BA37" s="73"/>
      <c r="BB37" s="29"/>
      <c r="BC37" s="72"/>
      <c r="BD37" s="72"/>
      <c r="BE37" s="72"/>
      <c r="BF37" s="73"/>
    </row>
    <row r="38" spans="1:58" x14ac:dyDescent="0.2">
      <c r="A38" s="14" t="s">
        <v>70</v>
      </c>
      <c r="B38" s="30">
        <f t="shared" si="4"/>
        <v>34861001.578406565</v>
      </c>
      <c r="C38" s="30">
        <f>SUM(C29:C37)</f>
        <v>0</v>
      </c>
      <c r="D38" s="74">
        <f t="shared" ref="D38:AW38" si="16">SUM(D29:D37)</f>
        <v>0</v>
      </c>
      <c r="E38" s="74">
        <f t="shared" si="16"/>
        <v>299172.03611722862</v>
      </c>
      <c r="F38" s="143">
        <f t="shared" si="16"/>
        <v>0</v>
      </c>
      <c r="G38" s="30">
        <f t="shared" si="16"/>
        <v>0</v>
      </c>
      <c r="H38" s="74">
        <f t="shared" si="16"/>
        <v>1427582.103315514</v>
      </c>
      <c r="I38" s="74">
        <f t="shared" si="16"/>
        <v>-327479.79840319231</v>
      </c>
      <c r="J38" s="74">
        <f t="shared" si="16"/>
        <v>-2790289.0550890225</v>
      </c>
      <c r="K38" s="74">
        <f t="shared" si="16"/>
        <v>0</v>
      </c>
      <c r="L38" s="75">
        <f t="shared" si="16"/>
        <v>0</v>
      </c>
      <c r="M38" s="30">
        <f t="shared" si="16"/>
        <v>0</v>
      </c>
      <c r="N38" s="74">
        <f t="shared" si="16"/>
        <v>0</v>
      </c>
      <c r="O38" s="74">
        <f t="shared" si="16"/>
        <v>0</v>
      </c>
      <c r="P38" s="74">
        <f t="shared" si="16"/>
        <v>0</v>
      </c>
      <c r="Q38" s="74">
        <f t="shared" si="16"/>
        <v>57811.382507999981</v>
      </c>
      <c r="R38" s="75">
        <f t="shared" si="16"/>
        <v>3262847.1552752974</v>
      </c>
      <c r="S38" s="30">
        <f t="shared" ref="S38:T38" si="17">SUM(S29:S37)</f>
        <v>0</v>
      </c>
      <c r="T38" s="74">
        <f t="shared" si="17"/>
        <v>48369507.769465737</v>
      </c>
      <c r="U38" s="74">
        <f t="shared" si="16"/>
        <v>55812.570729027124</v>
      </c>
      <c r="V38" s="74">
        <f t="shared" ref="V38:W38" si="18">SUM(V29:V37)</f>
        <v>90171.261740837304</v>
      </c>
      <c r="W38" s="75">
        <f t="shared" si="18"/>
        <v>29843.040000000001</v>
      </c>
      <c r="X38" s="143">
        <f t="shared" si="16"/>
        <v>-12327645.266699316</v>
      </c>
      <c r="Y38" s="30">
        <f t="shared" si="16"/>
        <v>0</v>
      </c>
      <c r="Z38" s="74">
        <f t="shared" si="16"/>
        <v>0</v>
      </c>
      <c r="AA38" s="74">
        <f t="shared" si="16"/>
        <v>-498746.1113269059</v>
      </c>
      <c r="AB38" s="30">
        <f t="shared" si="16"/>
        <v>-552278.96759530855</v>
      </c>
      <c r="AC38" s="75">
        <f t="shared" si="16"/>
        <v>666608.84486836335</v>
      </c>
      <c r="AD38" s="30">
        <f t="shared" si="16"/>
        <v>-16979716.477699727</v>
      </c>
      <c r="AE38" s="74">
        <f t="shared" si="16"/>
        <v>-3869671.779332059</v>
      </c>
      <c r="AF38" s="74">
        <f t="shared" si="16"/>
        <v>302035.50370207359</v>
      </c>
      <c r="AG38" s="74">
        <f t="shared" si="16"/>
        <v>123664</v>
      </c>
      <c r="AH38" s="74">
        <f t="shared" si="16"/>
        <v>0</v>
      </c>
      <c r="AI38" s="75">
        <f>ROUNDUP(SUM(AI29:AI37),0)</f>
        <v>8451411</v>
      </c>
      <c r="AJ38" s="30">
        <f>ROUNDUP(SUM(AJ29:AJ37),0)</f>
        <v>-13171</v>
      </c>
      <c r="AK38" s="74">
        <f t="shared" ref="AK38" si="19">ROUNDUP(SUM(AK29:AK37),0)</f>
        <v>183695</v>
      </c>
      <c r="AL38" s="30">
        <f t="shared" si="16"/>
        <v>0</v>
      </c>
      <c r="AM38" s="74">
        <f t="shared" si="16"/>
        <v>4858990.537474798</v>
      </c>
      <c r="AN38" s="74">
        <f t="shared" si="16"/>
        <v>0</v>
      </c>
      <c r="AO38" s="75">
        <f t="shared" si="16"/>
        <v>-80090.037251476664</v>
      </c>
      <c r="AP38" s="30">
        <f t="shared" ref="AP38" si="20">SUM(AP29:AP37)</f>
        <v>0</v>
      </c>
      <c r="AQ38" s="74">
        <f t="shared" si="16"/>
        <v>0</v>
      </c>
      <c r="AR38" s="74">
        <f t="shared" si="16"/>
        <v>0</v>
      </c>
      <c r="AS38" s="74">
        <f t="shared" si="16"/>
        <v>0</v>
      </c>
      <c r="AT38" s="74">
        <f t="shared" si="16"/>
        <v>0</v>
      </c>
      <c r="AU38" s="75">
        <f t="shared" si="16"/>
        <v>57462.544820610681</v>
      </c>
      <c r="AV38" s="30">
        <f t="shared" si="16"/>
        <v>180796.14170084742</v>
      </c>
      <c r="AW38" s="75">
        <f t="shared" si="16"/>
        <v>511007.59105070744</v>
      </c>
      <c r="AX38" s="143">
        <f t="shared" ref="AX38:BF38" si="21">SUM(AX29:AX37)</f>
        <v>947295.4097956497</v>
      </c>
      <c r="AY38" s="30">
        <f t="shared" si="21"/>
        <v>0</v>
      </c>
      <c r="AZ38" s="74">
        <f t="shared" si="21"/>
        <v>330594.99009838654</v>
      </c>
      <c r="BA38" s="75">
        <f t="shared" si="21"/>
        <v>0</v>
      </c>
      <c r="BB38" s="30">
        <f t="shared" si="21"/>
        <v>0</v>
      </c>
      <c r="BC38" s="74">
        <f t="shared" si="21"/>
        <v>2226611.4464667565</v>
      </c>
      <c r="BD38" s="74">
        <f t="shared" si="21"/>
        <v>45557.267758997798</v>
      </c>
      <c r="BE38" s="74">
        <f t="shared" si="21"/>
        <v>35986.363904692887</v>
      </c>
      <c r="BF38" s="75">
        <f t="shared" si="21"/>
        <v>-214373.88898995286</v>
      </c>
    </row>
    <row r="39" spans="1:58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68"/>
      <c r="AX39" s="69"/>
      <c r="AY39" s="27"/>
      <c r="AZ39" s="12"/>
      <c r="BA39" s="68"/>
      <c r="BB39" s="27"/>
      <c r="BC39" s="12"/>
      <c r="BD39" s="12"/>
      <c r="BE39" s="12"/>
      <c r="BF39" s="68"/>
    </row>
    <row r="40" spans="1:58" ht="13.5" thickBot="1" x14ac:dyDescent="0.25">
      <c r="A40" s="14" t="s">
        <v>71</v>
      </c>
      <c r="B40" s="32">
        <f>SUM(C40:BF40)</f>
        <v>-15048475.393702561</v>
      </c>
      <c r="C40" s="32">
        <f t="shared" ref="C40:AW40" si="22">C16-C38</f>
        <v>0</v>
      </c>
      <c r="D40" s="81">
        <f t="shared" si="22"/>
        <v>0</v>
      </c>
      <c r="E40" s="81">
        <f t="shared" si="22"/>
        <v>1125456.7072981456</v>
      </c>
      <c r="F40" s="144">
        <f t="shared" si="22"/>
        <v>0</v>
      </c>
      <c r="G40" s="32">
        <f t="shared" si="22"/>
        <v>0</v>
      </c>
      <c r="H40" s="81">
        <f t="shared" si="22"/>
        <v>-1427582.103315514</v>
      </c>
      <c r="I40" s="81">
        <f t="shared" si="22"/>
        <v>327479.79840319231</v>
      </c>
      <c r="J40" s="81">
        <f t="shared" si="22"/>
        <v>2790289.0550890225</v>
      </c>
      <c r="K40" s="81">
        <f t="shared" si="22"/>
        <v>0</v>
      </c>
      <c r="L40" s="82">
        <f t="shared" si="22"/>
        <v>0</v>
      </c>
      <c r="M40" s="32">
        <f t="shared" si="22"/>
        <v>0</v>
      </c>
      <c r="N40" s="81">
        <f t="shared" si="22"/>
        <v>0</v>
      </c>
      <c r="O40" s="81">
        <f t="shared" si="22"/>
        <v>0</v>
      </c>
      <c r="P40" s="81">
        <f t="shared" si="22"/>
        <v>0</v>
      </c>
      <c r="Q40" s="81">
        <f t="shared" si="22"/>
        <v>-57811.382507999981</v>
      </c>
      <c r="R40" s="82">
        <f t="shared" si="22"/>
        <v>-3262847.1552752974</v>
      </c>
      <c r="S40" s="32">
        <f t="shared" ref="S40:T40" si="23">S16-S38</f>
        <v>0</v>
      </c>
      <c r="T40" s="81">
        <f t="shared" si="23"/>
        <v>-29331180.469829749</v>
      </c>
      <c r="U40" s="81">
        <f t="shared" si="22"/>
        <v>209961.57559967347</v>
      </c>
      <c r="V40" s="81">
        <f t="shared" ref="V40:W40" si="24">V16-V38</f>
        <v>-90171.261740837304</v>
      </c>
      <c r="W40" s="82">
        <f t="shared" si="24"/>
        <v>-29843.040000000001</v>
      </c>
      <c r="X40" s="144">
        <f t="shared" si="22"/>
        <v>12327645.266699316</v>
      </c>
      <c r="Y40" s="32">
        <f t="shared" si="22"/>
        <v>0</v>
      </c>
      <c r="Z40" s="81">
        <f t="shared" si="22"/>
        <v>0</v>
      </c>
      <c r="AA40" s="81">
        <f t="shared" si="22"/>
        <v>498746.1113269059</v>
      </c>
      <c r="AB40" s="32">
        <f t="shared" si="22"/>
        <v>552278.96759530855</v>
      </c>
      <c r="AC40" s="82">
        <f t="shared" si="22"/>
        <v>-666608.84486836335</v>
      </c>
      <c r="AD40" s="32">
        <f t="shared" si="22"/>
        <v>16979716.477699727</v>
      </c>
      <c r="AE40" s="81">
        <f t="shared" si="22"/>
        <v>3869671.779332059</v>
      </c>
      <c r="AF40" s="81">
        <f t="shared" si="22"/>
        <v>-302035.50370207359</v>
      </c>
      <c r="AG40" s="81">
        <f t="shared" si="22"/>
        <v>-123664</v>
      </c>
      <c r="AH40" s="81">
        <f t="shared" si="22"/>
        <v>0</v>
      </c>
      <c r="AI40" s="82">
        <f>AI16-AI38</f>
        <v>-8451411</v>
      </c>
      <c r="AJ40" s="32">
        <f t="shared" si="22"/>
        <v>13171</v>
      </c>
      <c r="AK40" s="81">
        <f t="shared" ref="AK40" si="25">AK16-AK38</f>
        <v>-183695</v>
      </c>
      <c r="AL40" s="32">
        <f t="shared" si="22"/>
        <v>0</v>
      </c>
      <c r="AM40" s="81">
        <f t="shared" si="22"/>
        <v>-4858990.537474798</v>
      </c>
      <c r="AN40" s="81">
        <f t="shared" si="22"/>
        <v>0</v>
      </c>
      <c r="AO40" s="82">
        <f t="shared" si="22"/>
        <v>80090.037251476664</v>
      </c>
      <c r="AP40" s="32">
        <f t="shared" ref="AP40" si="26">AP16-AP38</f>
        <v>0</v>
      </c>
      <c r="AQ40" s="81">
        <f t="shared" si="22"/>
        <v>0</v>
      </c>
      <c r="AR40" s="81">
        <f t="shared" si="22"/>
        <v>0</v>
      </c>
      <c r="AS40" s="81">
        <f t="shared" si="22"/>
        <v>0</v>
      </c>
      <c r="AT40" s="81">
        <f t="shared" si="22"/>
        <v>0</v>
      </c>
      <c r="AU40" s="82">
        <f t="shared" si="22"/>
        <v>-57462.544820610681</v>
      </c>
      <c r="AV40" s="32">
        <f t="shared" si="22"/>
        <v>-180796.14170084742</v>
      </c>
      <c r="AW40" s="82">
        <f t="shared" si="22"/>
        <v>-511007.59105070744</v>
      </c>
      <c r="AX40" s="144">
        <f t="shared" ref="AX40:BF40" si="27">AX16-AX38</f>
        <v>-842671.37166241417</v>
      </c>
      <c r="AY40" s="32">
        <f t="shared" si="27"/>
        <v>0</v>
      </c>
      <c r="AZ40" s="81">
        <f t="shared" si="27"/>
        <v>-330594.99009838654</v>
      </c>
      <c r="BA40" s="82">
        <f t="shared" si="27"/>
        <v>0</v>
      </c>
      <c r="BB40" s="32">
        <f t="shared" si="27"/>
        <v>0</v>
      </c>
      <c r="BC40" s="81">
        <f t="shared" si="27"/>
        <v>-2226611.4464667565</v>
      </c>
      <c r="BD40" s="81">
        <f t="shared" si="27"/>
        <v>-45557.267758997798</v>
      </c>
      <c r="BE40" s="81">
        <f t="shared" si="27"/>
        <v>-35986.363904692887</v>
      </c>
      <c r="BF40" s="82">
        <f t="shared" si="27"/>
        <v>-806454.15381934645</v>
      </c>
    </row>
    <row r="41" spans="1:58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68"/>
      <c r="AX41" s="69"/>
      <c r="AY41" s="27"/>
      <c r="AZ41" s="12"/>
      <c r="BA41" s="68"/>
      <c r="BB41" s="27"/>
      <c r="BC41" s="12"/>
      <c r="BD41" s="12"/>
      <c r="BE41" s="12"/>
      <c r="BF41" s="68"/>
    </row>
    <row r="42" spans="1:58" x14ac:dyDescent="0.2">
      <c r="A42" s="14" t="s">
        <v>72</v>
      </c>
      <c r="B42" s="27"/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68"/>
      <c r="AX42" s="69"/>
      <c r="AY42" s="27"/>
      <c r="AZ42" s="12"/>
      <c r="BA42" s="68"/>
      <c r="BB42" s="27"/>
      <c r="BC42" s="12"/>
      <c r="BD42" s="12"/>
      <c r="BE42" s="12"/>
      <c r="BF42" s="68"/>
    </row>
    <row r="43" spans="1:58" x14ac:dyDescent="0.2">
      <c r="A43" s="14" t="s">
        <v>73</v>
      </c>
      <c r="B43" s="28">
        <f t="shared" ref="B43:B54" si="28">SUM(C43:BF43)</f>
        <v>482391789.56799555</v>
      </c>
      <c r="C43" s="29"/>
      <c r="D43" s="72"/>
      <c r="E43" s="72"/>
      <c r="F43" s="259"/>
      <c r="G43" s="29"/>
      <c r="H43" s="72"/>
      <c r="I43" s="72"/>
      <c r="J43" s="72"/>
      <c r="K43" s="72"/>
      <c r="L43" s="73"/>
      <c r="M43" s="29"/>
      <c r="N43" s="72"/>
      <c r="O43" s="72"/>
      <c r="P43" s="72"/>
      <c r="Q43" s="72"/>
      <c r="R43" s="73"/>
      <c r="S43" s="29"/>
      <c r="T43" s="72"/>
      <c r="U43" s="72"/>
      <c r="V43" s="72"/>
      <c r="W43" s="73"/>
      <c r="X43" s="259"/>
      <c r="Y43" s="29"/>
      <c r="Z43" s="72"/>
      <c r="AA43" s="72"/>
      <c r="AB43" s="29"/>
      <c r="AC43" s="73"/>
      <c r="AD43" s="29"/>
      <c r="AE43" s="72"/>
      <c r="AF43" s="72"/>
      <c r="AG43" s="72"/>
      <c r="AH43" s="72"/>
      <c r="AI43" s="73"/>
      <c r="AJ43" s="29"/>
      <c r="AK43" s="72"/>
      <c r="AL43" s="29"/>
      <c r="AM43" s="72"/>
      <c r="AN43" s="72"/>
      <c r="AO43" s="73">
        <f>'[16]8.4.1'!$J$28</f>
        <v>132654631.34508099</v>
      </c>
      <c r="AP43" s="29"/>
      <c r="AQ43" s="72"/>
      <c r="AR43" s="72"/>
      <c r="AS43" s="72"/>
      <c r="AT43" s="72"/>
      <c r="AU43" s="73"/>
      <c r="AV43" s="29">
        <f>'[22]8.11'!$I$10</f>
        <v>2321668.5741803152</v>
      </c>
      <c r="AW43" s="73">
        <f>'[21]8.12'!$I$10</f>
        <v>37741371.808252543</v>
      </c>
      <c r="AX43" s="259">
        <f>'[11]9.1 - 9.1.1'!$I$17</f>
        <v>192349.41342615057</v>
      </c>
      <c r="AY43" s="29"/>
      <c r="AZ43" s="72"/>
      <c r="BA43" s="73"/>
      <c r="BB43" s="29">
        <f>'[6]10.4'!$I$22</f>
        <v>1121905.8126643249</v>
      </c>
      <c r="BC43" s="72">
        <f>SUM('[7]10.5'!$I$10:$I$13)</f>
        <v>300463387.54772812</v>
      </c>
      <c r="BD43" s="72">
        <f>SUM('[8]10.6'!$I$10:$I$12)</f>
        <v>3803939.4690655638</v>
      </c>
      <c r="BE43" s="72">
        <f>'[9]10.7'!$I$10</f>
        <v>4092535.5975975292</v>
      </c>
      <c r="BF43" s="73"/>
    </row>
    <row r="44" spans="1:58" x14ac:dyDescent="0.2">
      <c r="A44" s="14" t="s">
        <v>74</v>
      </c>
      <c r="B44" s="28">
        <f t="shared" si="28"/>
        <v>0</v>
      </c>
      <c r="C44" s="29"/>
      <c r="D44" s="72"/>
      <c r="E44" s="72"/>
      <c r="F44" s="259"/>
      <c r="G44" s="29"/>
      <c r="H44" s="72"/>
      <c r="I44" s="72"/>
      <c r="J44" s="72"/>
      <c r="K44" s="72"/>
      <c r="L44" s="73"/>
      <c r="M44" s="29"/>
      <c r="N44" s="72"/>
      <c r="O44" s="72"/>
      <c r="P44" s="72"/>
      <c r="Q44" s="72"/>
      <c r="R44" s="73"/>
      <c r="S44" s="29"/>
      <c r="T44" s="72"/>
      <c r="U44" s="72"/>
      <c r="V44" s="72"/>
      <c r="W44" s="73"/>
      <c r="X44" s="259"/>
      <c r="Y44" s="29"/>
      <c r="Z44" s="72"/>
      <c r="AA44" s="72"/>
      <c r="AB44" s="29"/>
      <c r="AC44" s="73"/>
      <c r="AD44" s="29"/>
      <c r="AE44" s="72"/>
      <c r="AF44" s="72"/>
      <c r="AG44" s="72"/>
      <c r="AH44" s="72"/>
      <c r="AI44" s="73"/>
      <c r="AJ44" s="29"/>
      <c r="AK44" s="72"/>
      <c r="AL44" s="29"/>
      <c r="AM44" s="72"/>
      <c r="AN44" s="72"/>
      <c r="AO44" s="73"/>
      <c r="AP44" s="29"/>
      <c r="AQ44" s="72"/>
      <c r="AR44" s="72"/>
      <c r="AS44" s="72"/>
      <c r="AT44" s="72"/>
      <c r="AU44" s="73"/>
      <c r="AV44" s="29"/>
      <c r="AW44" s="73"/>
      <c r="AX44" s="259"/>
      <c r="AY44" s="29"/>
      <c r="AZ44" s="72"/>
      <c r="BA44" s="73"/>
      <c r="BB44" s="29"/>
      <c r="BC44" s="72"/>
      <c r="BD44" s="72"/>
      <c r="BE44" s="72"/>
      <c r="BF44" s="73"/>
    </row>
    <row r="45" spans="1:58" x14ac:dyDescent="0.2">
      <c r="A45" s="14" t="s">
        <v>75</v>
      </c>
      <c r="B45" s="28">
        <f t="shared" si="28"/>
        <v>392246.6085648014</v>
      </c>
      <c r="C45" s="29"/>
      <c r="D45" s="72"/>
      <c r="E45" s="72"/>
      <c r="F45" s="259"/>
      <c r="G45" s="29"/>
      <c r="H45" s="72"/>
      <c r="I45" s="72"/>
      <c r="J45" s="72"/>
      <c r="K45" s="72"/>
      <c r="L45" s="73"/>
      <c r="M45" s="29"/>
      <c r="N45" s="72"/>
      <c r="O45" s="72"/>
      <c r="P45" s="72"/>
      <c r="Q45" s="72"/>
      <c r="R45" s="73"/>
      <c r="S45" s="29"/>
      <c r="T45" s="72"/>
      <c r="U45" s="72"/>
      <c r="V45" s="72"/>
      <c r="W45" s="73"/>
      <c r="X45" s="259"/>
      <c r="Y45" s="29"/>
      <c r="Z45" s="72"/>
      <c r="AA45" s="72"/>
      <c r="AB45" s="29"/>
      <c r="AC45" s="73"/>
      <c r="AD45" s="29"/>
      <c r="AE45" s="72"/>
      <c r="AF45" s="72"/>
      <c r="AG45" s="72"/>
      <c r="AH45" s="72"/>
      <c r="AI45" s="73"/>
      <c r="AJ45" s="29"/>
      <c r="AK45" s="72"/>
      <c r="AL45" s="29"/>
      <c r="AM45" s="72">
        <f>'[18]8.2'!$I$11</f>
        <v>49361.323333333014</v>
      </c>
      <c r="AN45" s="72"/>
      <c r="AO45" s="73"/>
      <c r="AP45" s="29"/>
      <c r="AQ45" s="72"/>
      <c r="AR45" s="72"/>
      <c r="AS45" s="72"/>
      <c r="AT45" s="72"/>
      <c r="AU45" s="73">
        <f>'[23]8.10'!$I$18</f>
        <v>342885.28523146838</v>
      </c>
      <c r="AV45" s="29"/>
      <c r="AW45" s="73"/>
      <c r="AX45" s="259"/>
      <c r="AY45" s="29"/>
      <c r="AZ45" s="72"/>
      <c r="BA45" s="73"/>
      <c r="BB45" s="29"/>
      <c r="BC45" s="72"/>
      <c r="BD45" s="72"/>
      <c r="BE45" s="72"/>
      <c r="BF45" s="73"/>
    </row>
    <row r="46" spans="1:58" x14ac:dyDescent="0.2">
      <c r="A46" s="14" t="s">
        <v>76</v>
      </c>
      <c r="B46" s="28">
        <f t="shared" si="28"/>
        <v>0</v>
      </c>
      <c r="C46" s="29"/>
      <c r="D46" s="72"/>
      <c r="E46" s="72"/>
      <c r="F46" s="259"/>
      <c r="G46" s="29"/>
      <c r="H46" s="72"/>
      <c r="I46" s="72"/>
      <c r="J46" s="72"/>
      <c r="K46" s="72"/>
      <c r="L46" s="73"/>
      <c r="M46" s="29"/>
      <c r="N46" s="72"/>
      <c r="O46" s="72"/>
      <c r="P46" s="72"/>
      <c r="Q46" s="72"/>
      <c r="R46" s="73"/>
      <c r="S46" s="29"/>
      <c r="T46" s="72"/>
      <c r="U46" s="72"/>
      <c r="V46" s="72"/>
      <c r="W46" s="73"/>
      <c r="X46" s="259"/>
      <c r="Y46" s="29"/>
      <c r="Z46" s="72"/>
      <c r="AA46" s="72"/>
      <c r="AB46" s="29"/>
      <c r="AC46" s="73"/>
      <c r="AD46" s="29"/>
      <c r="AE46" s="72"/>
      <c r="AF46" s="72"/>
      <c r="AG46" s="72"/>
      <c r="AH46" s="72"/>
      <c r="AI46" s="73"/>
      <c r="AJ46" s="29"/>
      <c r="AK46" s="72"/>
      <c r="AL46" s="29"/>
      <c r="AM46" s="72"/>
      <c r="AN46" s="72"/>
      <c r="AO46" s="73"/>
      <c r="AP46" s="29"/>
      <c r="AQ46" s="72"/>
      <c r="AR46" s="72"/>
      <c r="AS46" s="72"/>
      <c r="AT46" s="72"/>
      <c r="AU46" s="73"/>
      <c r="AV46" s="29"/>
      <c r="AW46" s="73"/>
      <c r="AX46" s="259"/>
      <c r="AY46" s="29"/>
      <c r="AZ46" s="72"/>
      <c r="BA46" s="73"/>
      <c r="BB46" s="29"/>
      <c r="BC46" s="72"/>
      <c r="BD46" s="72"/>
      <c r="BE46" s="72"/>
      <c r="BF46" s="73"/>
    </row>
    <row r="47" spans="1:58" x14ac:dyDescent="0.2">
      <c r="A47" s="14" t="s">
        <v>77</v>
      </c>
      <c r="B47" s="28">
        <f t="shared" si="28"/>
        <v>0</v>
      </c>
      <c r="C47" s="29"/>
      <c r="D47" s="72"/>
      <c r="E47" s="72"/>
      <c r="F47" s="259"/>
      <c r="G47" s="29"/>
      <c r="H47" s="72"/>
      <c r="I47" s="72"/>
      <c r="J47" s="72"/>
      <c r="K47" s="72"/>
      <c r="L47" s="73"/>
      <c r="M47" s="29"/>
      <c r="N47" s="72"/>
      <c r="O47" s="72"/>
      <c r="P47" s="72"/>
      <c r="Q47" s="72"/>
      <c r="R47" s="73"/>
      <c r="S47" s="29"/>
      <c r="T47" s="72"/>
      <c r="U47" s="72"/>
      <c r="V47" s="72"/>
      <c r="W47" s="73"/>
      <c r="X47" s="259"/>
      <c r="Y47" s="29"/>
      <c r="Z47" s="72"/>
      <c r="AA47" s="72"/>
      <c r="AB47" s="29"/>
      <c r="AC47" s="73"/>
      <c r="AD47" s="29"/>
      <c r="AE47" s="72"/>
      <c r="AF47" s="72"/>
      <c r="AG47" s="72"/>
      <c r="AH47" s="72"/>
      <c r="AI47" s="73"/>
      <c r="AJ47" s="29"/>
      <c r="AK47" s="72"/>
      <c r="AL47" s="29"/>
      <c r="AM47" s="72"/>
      <c r="AN47" s="72"/>
      <c r="AO47" s="73"/>
      <c r="AP47" s="29"/>
      <c r="AQ47" s="72"/>
      <c r="AR47" s="72"/>
      <c r="AS47" s="72"/>
      <c r="AT47" s="72"/>
      <c r="AU47" s="73"/>
      <c r="AV47" s="29"/>
      <c r="AW47" s="73"/>
      <c r="AX47" s="259"/>
      <c r="AY47" s="29"/>
      <c r="AZ47" s="72"/>
      <c r="BA47" s="73"/>
      <c r="BB47" s="29"/>
      <c r="BC47" s="72"/>
      <c r="BD47" s="72"/>
      <c r="BE47" s="72"/>
      <c r="BF47" s="73"/>
    </row>
    <row r="48" spans="1:58" x14ac:dyDescent="0.2">
      <c r="A48" s="14" t="s">
        <v>78</v>
      </c>
      <c r="B48" s="28">
        <f t="shared" si="28"/>
        <v>0</v>
      </c>
      <c r="C48" s="29"/>
      <c r="D48" s="72"/>
      <c r="E48" s="72"/>
      <c r="F48" s="259"/>
      <c r="G48" s="29"/>
      <c r="H48" s="72"/>
      <c r="I48" s="72"/>
      <c r="J48" s="72"/>
      <c r="K48" s="72"/>
      <c r="L48" s="73"/>
      <c r="M48" s="29"/>
      <c r="N48" s="72"/>
      <c r="O48" s="72"/>
      <c r="P48" s="72"/>
      <c r="Q48" s="72"/>
      <c r="R48" s="73"/>
      <c r="S48" s="29"/>
      <c r="T48" s="72"/>
      <c r="U48" s="72"/>
      <c r="V48" s="72"/>
      <c r="W48" s="73"/>
      <c r="X48" s="259"/>
      <c r="Y48" s="29"/>
      <c r="Z48" s="72"/>
      <c r="AA48" s="72"/>
      <c r="AB48" s="29"/>
      <c r="AC48" s="73"/>
      <c r="AD48" s="29"/>
      <c r="AE48" s="72"/>
      <c r="AF48" s="72"/>
      <c r="AG48" s="72"/>
      <c r="AH48" s="72"/>
      <c r="AI48" s="73"/>
      <c r="AJ48" s="29"/>
      <c r="AK48" s="72"/>
      <c r="AL48" s="29"/>
      <c r="AM48" s="72"/>
      <c r="AN48" s="72"/>
      <c r="AO48" s="73"/>
      <c r="AP48" s="29"/>
      <c r="AQ48" s="72"/>
      <c r="AR48" s="72"/>
      <c r="AS48" s="72"/>
      <c r="AT48" s="72"/>
      <c r="AU48" s="73"/>
      <c r="AV48" s="29"/>
      <c r="AW48" s="73"/>
      <c r="AX48" s="259"/>
      <c r="AY48" s="29"/>
      <c r="AZ48" s="72"/>
      <c r="BA48" s="73"/>
      <c r="BB48" s="29"/>
      <c r="BC48" s="72"/>
      <c r="BD48" s="72"/>
      <c r="BE48" s="72"/>
      <c r="BF48" s="73"/>
    </row>
    <row r="49" spans="1:58" x14ac:dyDescent="0.2">
      <c r="A49" s="14" t="s">
        <v>79</v>
      </c>
      <c r="B49" s="28">
        <f t="shared" si="28"/>
        <v>0</v>
      </c>
      <c r="C49" s="29"/>
      <c r="D49" s="72"/>
      <c r="E49" s="72"/>
      <c r="F49" s="259"/>
      <c r="G49" s="29"/>
      <c r="H49" s="72"/>
      <c r="I49" s="72"/>
      <c r="J49" s="72"/>
      <c r="K49" s="72"/>
      <c r="L49" s="73"/>
      <c r="M49" s="29"/>
      <c r="N49" s="72"/>
      <c r="O49" s="72"/>
      <c r="P49" s="72"/>
      <c r="Q49" s="72"/>
      <c r="R49" s="73"/>
      <c r="S49" s="29"/>
      <c r="T49" s="72"/>
      <c r="U49" s="72"/>
      <c r="V49" s="72"/>
      <c r="W49" s="73"/>
      <c r="X49" s="259"/>
      <c r="Y49" s="29"/>
      <c r="Z49" s="72"/>
      <c r="AA49" s="72"/>
      <c r="AB49" s="29"/>
      <c r="AC49" s="73"/>
      <c r="AD49" s="29"/>
      <c r="AE49" s="72"/>
      <c r="AF49" s="72"/>
      <c r="AG49" s="72"/>
      <c r="AH49" s="72"/>
      <c r="AI49" s="73"/>
      <c r="AJ49" s="29"/>
      <c r="AK49" s="72"/>
      <c r="AL49" s="29"/>
      <c r="AM49" s="72"/>
      <c r="AN49" s="72"/>
      <c r="AO49" s="73"/>
      <c r="AP49" s="29"/>
      <c r="AQ49" s="72"/>
      <c r="AR49" s="72"/>
      <c r="AS49" s="72"/>
      <c r="AT49" s="72"/>
      <c r="AU49" s="73"/>
      <c r="AV49" s="29"/>
      <c r="AW49" s="73"/>
      <c r="AX49" s="259"/>
      <c r="AY49" s="29"/>
      <c r="AZ49" s="72"/>
      <c r="BA49" s="73"/>
      <c r="BB49" s="29"/>
      <c r="BC49" s="72"/>
      <c r="BD49" s="72"/>
      <c r="BE49" s="72"/>
      <c r="BF49" s="73"/>
    </row>
    <row r="50" spans="1:58" x14ac:dyDescent="0.2">
      <c r="A50" s="14" t="s">
        <v>80</v>
      </c>
      <c r="B50" s="28">
        <f t="shared" si="28"/>
        <v>0</v>
      </c>
      <c r="C50" s="29"/>
      <c r="D50" s="72"/>
      <c r="E50" s="72"/>
      <c r="F50" s="259"/>
      <c r="G50" s="29"/>
      <c r="H50" s="72"/>
      <c r="I50" s="72"/>
      <c r="J50" s="72"/>
      <c r="K50" s="72"/>
      <c r="L50" s="73"/>
      <c r="M50" s="29"/>
      <c r="N50" s="72"/>
      <c r="O50" s="72"/>
      <c r="P50" s="72"/>
      <c r="Q50" s="72"/>
      <c r="R50" s="73"/>
      <c r="S50" s="29"/>
      <c r="T50" s="72"/>
      <c r="U50" s="72"/>
      <c r="V50" s="72"/>
      <c r="W50" s="73"/>
      <c r="X50" s="259"/>
      <c r="Y50" s="29"/>
      <c r="Z50" s="72"/>
      <c r="AA50" s="72"/>
      <c r="AB50" s="29"/>
      <c r="AC50" s="73"/>
      <c r="AD50" s="29"/>
      <c r="AE50" s="72"/>
      <c r="AF50" s="72"/>
      <c r="AG50" s="72"/>
      <c r="AH50" s="72"/>
      <c r="AI50" s="73"/>
      <c r="AJ50" s="29"/>
      <c r="AK50" s="72"/>
      <c r="AL50" s="29"/>
      <c r="AM50" s="72"/>
      <c r="AN50" s="72"/>
      <c r="AO50" s="73"/>
      <c r="AP50" s="29"/>
      <c r="AQ50" s="72"/>
      <c r="AR50" s="72"/>
      <c r="AS50" s="72"/>
      <c r="AT50" s="72"/>
      <c r="AU50" s="73"/>
      <c r="AV50" s="29"/>
      <c r="AW50" s="73"/>
      <c r="AX50" s="259"/>
      <c r="AY50" s="29"/>
      <c r="AZ50" s="72"/>
      <c r="BA50" s="73"/>
      <c r="BB50" s="29"/>
      <c r="BC50" s="72"/>
      <c r="BD50" s="72"/>
      <c r="BE50" s="72"/>
      <c r="BF50" s="73"/>
    </row>
    <row r="51" spans="1:58" x14ac:dyDescent="0.2">
      <c r="A51" s="14" t="s">
        <v>81</v>
      </c>
      <c r="B51" s="28">
        <f t="shared" si="28"/>
        <v>0</v>
      </c>
      <c r="C51" s="29"/>
      <c r="D51" s="72"/>
      <c r="E51" s="72"/>
      <c r="F51" s="259"/>
      <c r="G51" s="29"/>
      <c r="H51" s="72"/>
      <c r="I51" s="72"/>
      <c r="J51" s="72"/>
      <c r="K51" s="72"/>
      <c r="L51" s="73"/>
      <c r="M51" s="29"/>
      <c r="N51" s="72"/>
      <c r="O51" s="72"/>
      <c r="P51" s="72"/>
      <c r="Q51" s="72"/>
      <c r="R51" s="73"/>
      <c r="S51" s="29"/>
      <c r="T51" s="72"/>
      <c r="U51" s="72"/>
      <c r="V51" s="72"/>
      <c r="W51" s="73"/>
      <c r="X51" s="259"/>
      <c r="Y51" s="29"/>
      <c r="Z51" s="72"/>
      <c r="AA51" s="72"/>
      <c r="AB51" s="29"/>
      <c r="AC51" s="73"/>
      <c r="AD51" s="29"/>
      <c r="AE51" s="72"/>
      <c r="AF51" s="72"/>
      <c r="AG51" s="72"/>
      <c r="AH51" s="72"/>
      <c r="AI51" s="73"/>
      <c r="AJ51" s="29"/>
      <c r="AK51" s="72"/>
      <c r="AL51" s="29"/>
      <c r="AM51" s="72"/>
      <c r="AN51" s="72"/>
      <c r="AO51" s="73"/>
      <c r="AP51" s="29"/>
      <c r="AQ51" s="72"/>
      <c r="AR51" s="72"/>
      <c r="AS51" s="72"/>
      <c r="AT51" s="72"/>
      <c r="AU51" s="73"/>
      <c r="AV51" s="29"/>
      <c r="AW51" s="73"/>
      <c r="AX51" s="259"/>
      <c r="AY51" s="29"/>
      <c r="AZ51" s="72"/>
      <c r="BA51" s="73"/>
      <c r="BB51" s="29"/>
      <c r="BC51" s="72"/>
      <c r="BD51" s="72"/>
      <c r="BE51" s="72"/>
      <c r="BF51" s="73"/>
    </row>
    <row r="52" spans="1:58" x14ac:dyDescent="0.2">
      <c r="A52" s="14" t="s">
        <v>82</v>
      </c>
      <c r="B52" s="28">
        <f t="shared" si="28"/>
        <v>0</v>
      </c>
      <c r="C52" s="29"/>
      <c r="D52" s="72"/>
      <c r="E52" s="72"/>
      <c r="F52" s="259"/>
      <c r="G52" s="29"/>
      <c r="H52" s="72"/>
      <c r="I52" s="72"/>
      <c r="J52" s="72"/>
      <c r="K52" s="72"/>
      <c r="L52" s="73"/>
      <c r="M52" s="29"/>
      <c r="N52" s="72"/>
      <c r="O52" s="72"/>
      <c r="P52" s="72"/>
      <c r="Q52" s="72"/>
      <c r="R52" s="73"/>
      <c r="S52" s="29"/>
      <c r="T52" s="72"/>
      <c r="U52" s="72"/>
      <c r="V52" s="72"/>
      <c r="W52" s="73"/>
      <c r="X52" s="259"/>
      <c r="Y52" s="29"/>
      <c r="Z52" s="72"/>
      <c r="AA52" s="72"/>
      <c r="AB52" s="29"/>
      <c r="AC52" s="73"/>
      <c r="AD52" s="29"/>
      <c r="AE52" s="72"/>
      <c r="AF52" s="72"/>
      <c r="AG52" s="72"/>
      <c r="AH52" s="72"/>
      <c r="AI52" s="73"/>
      <c r="AJ52" s="29"/>
      <c r="AK52" s="72"/>
      <c r="AL52" s="29"/>
      <c r="AM52" s="72"/>
      <c r="AN52" s="72"/>
      <c r="AO52" s="73"/>
      <c r="AP52" s="29"/>
      <c r="AQ52" s="72"/>
      <c r="AR52" s="72"/>
      <c r="AS52" s="72"/>
      <c r="AT52" s="72"/>
      <c r="AU52" s="73"/>
      <c r="AV52" s="29"/>
      <c r="AW52" s="73"/>
      <c r="AX52" s="259"/>
      <c r="AY52" s="29"/>
      <c r="AZ52" s="72"/>
      <c r="BA52" s="73"/>
      <c r="BB52" s="29"/>
      <c r="BC52" s="72"/>
      <c r="BD52" s="72"/>
      <c r="BE52" s="72"/>
      <c r="BF52" s="73"/>
    </row>
    <row r="53" spans="1:58" x14ac:dyDescent="0.2">
      <c r="A53" s="14" t="s">
        <v>83</v>
      </c>
      <c r="B53" s="28">
        <f t="shared" si="28"/>
        <v>0</v>
      </c>
      <c r="C53" s="29"/>
      <c r="D53" s="72"/>
      <c r="E53" s="72"/>
      <c r="F53" s="259"/>
      <c r="G53" s="29"/>
      <c r="H53" s="72"/>
      <c r="I53" s="72"/>
      <c r="J53" s="72"/>
      <c r="K53" s="72"/>
      <c r="L53" s="73"/>
      <c r="M53" s="29"/>
      <c r="N53" s="72"/>
      <c r="O53" s="72"/>
      <c r="P53" s="72"/>
      <c r="Q53" s="72"/>
      <c r="R53" s="73"/>
      <c r="S53" s="29"/>
      <c r="T53" s="72"/>
      <c r="U53" s="72"/>
      <c r="V53" s="72"/>
      <c r="W53" s="73"/>
      <c r="X53" s="259"/>
      <c r="Y53" s="29"/>
      <c r="Z53" s="72"/>
      <c r="AA53" s="72"/>
      <c r="AB53" s="29"/>
      <c r="AC53" s="73"/>
      <c r="AD53" s="29"/>
      <c r="AE53" s="72"/>
      <c r="AF53" s="72"/>
      <c r="AG53" s="72"/>
      <c r="AH53" s="72"/>
      <c r="AI53" s="73"/>
      <c r="AJ53" s="29"/>
      <c r="AK53" s="72"/>
      <c r="AL53" s="29"/>
      <c r="AM53" s="72"/>
      <c r="AN53" s="72"/>
      <c r="AO53" s="73"/>
      <c r="AP53" s="29"/>
      <c r="AQ53" s="72"/>
      <c r="AR53" s="72"/>
      <c r="AS53" s="72"/>
      <c r="AT53" s="72"/>
      <c r="AU53" s="73"/>
      <c r="AV53" s="29"/>
      <c r="AW53" s="73"/>
      <c r="AX53" s="259"/>
      <c r="AY53" s="29"/>
      <c r="AZ53" s="72"/>
      <c r="BA53" s="73"/>
      <c r="BB53" s="29"/>
      <c r="BC53" s="72"/>
      <c r="BD53" s="72"/>
      <c r="BE53" s="72"/>
      <c r="BF53" s="73"/>
    </row>
    <row r="54" spans="1:58" x14ac:dyDescent="0.2">
      <c r="A54" s="14" t="s">
        <v>84</v>
      </c>
      <c r="B54" s="33">
        <f t="shared" si="28"/>
        <v>482784036.17656034</v>
      </c>
      <c r="C54" s="33">
        <f>SUM(C43:C53)</f>
        <v>0</v>
      </c>
      <c r="D54" s="83">
        <f t="shared" ref="D54:AW54" si="29">SUM(D43:D53)</f>
        <v>0</v>
      </c>
      <c r="E54" s="83">
        <f t="shared" si="29"/>
        <v>0</v>
      </c>
      <c r="F54" s="145">
        <f t="shared" si="29"/>
        <v>0</v>
      </c>
      <c r="G54" s="33">
        <f t="shared" si="29"/>
        <v>0</v>
      </c>
      <c r="H54" s="83">
        <f t="shared" si="29"/>
        <v>0</v>
      </c>
      <c r="I54" s="83">
        <f t="shared" si="29"/>
        <v>0</v>
      </c>
      <c r="J54" s="83">
        <f t="shared" si="29"/>
        <v>0</v>
      </c>
      <c r="K54" s="83">
        <f t="shared" si="29"/>
        <v>0</v>
      </c>
      <c r="L54" s="84">
        <f t="shared" si="29"/>
        <v>0</v>
      </c>
      <c r="M54" s="33">
        <f t="shared" si="29"/>
        <v>0</v>
      </c>
      <c r="N54" s="83">
        <f t="shared" si="29"/>
        <v>0</v>
      </c>
      <c r="O54" s="83">
        <f t="shared" si="29"/>
        <v>0</v>
      </c>
      <c r="P54" s="83">
        <f t="shared" si="29"/>
        <v>0</v>
      </c>
      <c r="Q54" s="83">
        <f t="shared" si="29"/>
        <v>0</v>
      </c>
      <c r="R54" s="84">
        <f t="shared" si="29"/>
        <v>0</v>
      </c>
      <c r="S54" s="33">
        <f t="shared" si="29"/>
        <v>0</v>
      </c>
      <c r="T54" s="83">
        <f t="shared" si="29"/>
        <v>0</v>
      </c>
      <c r="U54" s="83">
        <f t="shared" si="29"/>
        <v>0</v>
      </c>
      <c r="V54" s="83">
        <f t="shared" ref="V54:W54" si="30">SUM(V43:V53)</f>
        <v>0</v>
      </c>
      <c r="W54" s="84">
        <f t="shared" si="30"/>
        <v>0</v>
      </c>
      <c r="X54" s="145">
        <f t="shared" si="29"/>
        <v>0</v>
      </c>
      <c r="Y54" s="33">
        <f t="shared" si="29"/>
        <v>0</v>
      </c>
      <c r="Z54" s="83">
        <f t="shared" si="29"/>
        <v>0</v>
      </c>
      <c r="AA54" s="83">
        <f t="shared" si="29"/>
        <v>0</v>
      </c>
      <c r="AB54" s="33">
        <f t="shared" si="29"/>
        <v>0</v>
      </c>
      <c r="AC54" s="84">
        <f t="shared" si="29"/>
        <v>0</v>
      </c>
      <c r="AD54" s="33">
        <f t="shared" si="29"/>
        <v>0</v>
      </c>
      <c r="AE54" s="83">
        <f t="shared" si="29"/>
        <v>0</v>
      </c>
      <c r="AF54" s="83">
        <f t="shared" si="29"/>
        <v>0</v>
      </c>
      <c r="AG54" s="83">
        <f t="shared" si="29"/>
        <v>0</v>
      </c>
      <c r="AH54" s="83">
        <f t="shared" si="29"/>
        <v>0</v>
      </c>
      <c r="AI54" s="84">
        <f>SUM(AI43:AI53)</f>
        <v>0</v>
      </c>
      <c r="AJ54" s="33">
        <f t="shared" si="29"/>
        <v>0</v>
      </c>
      <c r="AK54" s="83">
        <f t="shared" ref="AK54" si="31">SUM(AK43:AK53)</f>
        <v>0</v>
      </c>
      <c r="AL54" s="33">
        <f t="shared" si="29"/>
        <v>0</v>
      </c>
      <c r="AM54" s="83">
        <f t="shared" si="29"/>
        <v>49361.323333333014</v>
      </c>
      <c r="AN54" s="83">
        <f t="shared" si="29"/>
        <v>0</v>
      </c>
      <c r="AO54" s="84">
        <f t="shared" si="29"/>
        <v>132654631.34508099</v>
      </c>
      <c r="AP54" s="33">
        <f t="shared" ref="AP54" si="32">SUM(AP43:AP53)</f>
        <v>0</v>
      </c>
      <c r="AQ54" s="83">
        <f t="shared" si="29"/>
        <v>0</v>
      </c>
      <c r="AR54" s="83">
        <f t="shared" si="29"/>
        <v>0</v>
      </c>
      <c r="AS54" s="83">
        <f t="shared" si="29"/>
        <v>0</v>
      </c>
      <c r="AT54" s="83">
        <f t="shared" si="29"/>
        <v>0</v>
      </c>
      <c r="AU54" s="84">
        <f t="shared" si="29"/>
        <v>342885.28523146838</v>
      </c>
      <c r="AV54" s="33">
        <f t="shared" si="29"/>
        <v>2321668.5741803152</v>
      </c>
      <c r="AW54" s="84">
        <f t="shared" si="29"/>
        <v>37741371.808252543</v>
      </c>
      <c r="AX54" s="145">
        <f t="shared" ref="AX54:BF54" si="33">SUM(AX43:AX53)</f>
        <v>192349.41342615057</v>
      </c>
      <c r="AY54" s="33">
        <f t="shared" si="33"/>
        <v>0</v>
      </c>
      <c r="AZ54" s="83">
        <f t="shared" si="33"/>
        <v>0</v>
      </c>
      <c r="BA54" s="84">
        <f t="shared" si="33"/>
        <v>0</v>
      </c>
      <c r="BB54" s="33">
        <f t="shared" si="33"/>
        <v>1121905.8126643249</v>
      </c>
      <c r="BC54" s="83">
        <f t="shared" si="33"/>
        <v>300463387.54772812</v>
      </c>
      <c r="BD54" s="83">
        <f t="shared" si="33"/>
        <v>3803939.4690655638</v>
      </c>
      <c r="BE54" s="83">
        <f t="shared" si="33"/>
        <v>4092535.5975975292</v>
      </c>
      <c r="BF54" s="84">
        <f t="shared" si="33"/>
        <v>0</v>
      </c>
    </row>
    <row r="55" spans="1:58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68"/>
      <c r="AX55" s="69"/>
      <c r="AY55" s="27"/>
      <c r="AZ55" s="12"/>
      <c r="BA55" s="68"/>
      <c r="BB55" s="27"/>
      <c r="BC55" s="12"/>
      <c r="BD55" s="12"/>
      <c r="BE55" s="12"/>
      <c r="BF55" s="68"/>
    </row>
    <row r="56" spans="1:58" x14ac:dyDescent="0.2">
      <c r="A56" s="14" t="s">
        <v>85</v>
      </c>
      <c r="B56" s="27"/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68"/>
      <c r="AX56" s="69"/>
      <c r="AY56" s="27"/>
      <c r="AZ56" s="12"/>
      <c r="BA56" s="68"/>
      <c r="BB56" s="27"/>
      <c r="BC56" s="12"/>
      <c r="BD56" s="12"/>
      <c r="BE56" s="12"/>
      <c r="BF56" s="68"/>
    </row>
    <row r="57" spans="1:58" x14ac:dyDescent="0.2">
      <c r="A57" s="14" t="s">
        <v>86</v>
      </c>
      <c r="B57" s="28">
        <f t="shared" ref="B57:B67" si="34">SUM(C57:BF57)</f>
        <v>-397596192.47010535</v>
      </c>
      <c r="C57" s="29"/>
      <c r="D57" s="72"/>
      <c r="E57" s="72"/>
      <c r="F57" s="259"/>
      <c r="G57" s="29"/>
      <c r="H57" s="72"/>
      <c r="I57" s="72"/>
      <c r="J57" s="72"/>
      <c r="K57" s="72"/>
      <c r="L57" s="73"/>
      <c r="M57" s="29"/>
      <c r="N57" s="72"/>
      <c r="O57" s="72"/>
      <c r="P57" s="72"/>
      <c r="Q57" s="72"/>
      <c r="R57" s="73"/>
      <c r="S57" s="29"/>
      <c r="T57" s="72"/>
      <c r="U57" s="72"/>
      <c r="V57" s="72"/>
      <c r="W57" s="73"/>
      <c r="X57" s="259"/>
      <c r="Y57" s="29">
        <f>'[34]6.2'!$J$50</f>
        <v>-80207431.688485801</v>
      </c>
      <c r="Z57" s="72"/>
      <c r="AA57" s="72"/>
      <c r="AB57" s="29"/>
      <c r="AC57" s="73"/>
      <c r="AD57" s="29"/>
      <c r="AE57" s="72"/>
      <c r="AF57" s="72"/>
      <c r="AG57" s="72"/>
      <c r="AH57" s="72"/>
      <c r="AI57" s="73"/>
      <c r="AJ57" s="29"/>
      <c r="AK57" s="72"/>
      <c r="AL57" s="29"/>
      <c r="AM57" s="72"/>
      <c r="AN57" s="72"/>
      <c r="AO57" s="73"/>
      <c r="AP57" s="29"/>
      <c r="AQ57" s="72"/>
      <c r="AR57" s="72"/>
      <c r="AS57" s="72"/>
      <c r="AT57" s="72"/>
      <c r="AU57" s="73"/>
      <c r="AV57" s="29">
        <f>'[22]8.11'!$I$16</f>
        <v>-5246.4809077935133</v>
      </c>
      <c r="AW57" s="73">
        <f>'[21]8.12'!$I$16</f>
        <v>-86079.075470098556</v>
      </c>
      <c r="AX57" s="259">
        <f>'[11]9.1 - 9.1.1'!$I$27</f>
        <v>-195149.93985409159</v>
      </c>
      <c r="AY57" s="29"/>
      <c r="AZ57" s="72"/>
      <c r="BA57" s="73"/>
      <c r="BB57" s="29">
        <f>'[6]10.4'!$I$24</f>
        <v>-2282754.036882143</v>
      </c>
      <c r="BC57" s="72">
        <f>SUM('[7]10.5'!$I$22:$I$25)</f>
        <v>-314750593.20877314</v>
      </c>
      <c r="BD57" s="72">
        <f>SUM('[8]10.6'!$I$20:$I$22)</f>
        <v>-54558.965405648101</v>
      </c>
      <c r="BE57" s="72">
        <f>'[9]10.7'!$I$18</f>
        <v>-14379.074326651749</v>
      </c>
      <c r="BF57" s="73"/>
    </row>
    <row r="58" spans="1:58" x14ac:dyDescent="0.2">
      <c r="A58" s="14" t="s">
        <v>87</v>
      </c>
      <c r="B58" s="28">
        <f t="shared" si="34"/>
        <v>-7490520.9057901539</v>
      </c>
      <c r="C58" s="29"/>
      <c r="D58" s="72"/>
      <c r="E58" s="72"/>
      <c r="F58" s="259"/>
      <c r="G58" s="29"/>
      <c r="H58" s="72"/>
      <c r="I58" s="72"/>
      <c r="J58" s="72"/>
      <c r="K58" s="72"/>
      <c r="L58" s="73"/>
      <c r="M58" s="29"/>
      <c r="N58" s="72"/>
      <c r="O58" s="72"/>
      <c r="P58" s="72"/>
      <c r="Q58" s="72"/>
      <c r="R58" s="73"/>
      <c r="S58" s="29"/>
      <c r="T58" s="72"/>
      <c r="U58" s="72"/>
      <c r="V58" s="72"/>
      <c r="W58" s="73"/>
      <c r="X58" s="259"/>
      <c r="Y58" s="29">
        <f>'[34]6.2.1'!$J$38</f>
        <v>-7490520.9057901539</v>
      </c>
      <c r="Z58" s="72"/>
      <c r="AA58" s="72"/>
      <c r="AB58" s="29"/>
      <c r="AC58" s="73"/>
      <c r="AD58" s="29"/>
      <c r="AE58" s="72"/>
      <c r="AF58" s="72"/>
      <c r="AG58" s="72"/>
      <c r="AH58" s="72"/>
      <c r="AI58" s="73"/>
      <c r="AJ58" s="29"/>
      <c r="AK58" s="72"/>
      <c r="AL58" s="29"/>
      <c r="AM58" s="72"/>
      <c r="AN58" s="72"/>
      <c r="AO58" s="73"/>
      <c r="AP58" s="29"/>
      <c r="AQ58" s="72"/>
      <c r="AR58" s="72"/>
      <c r="AS58" s="72"/>
      <c r="AT58" s="72"/>
      <c r="AU58" s="73"/>
      <c r="AV58" s="29"/>
      <c r="AW58" s="73"/>
      <c r="AX58" s="259"/>
      <c r="AY58" s="29"/>
      <c r="AZ58" s="72"/>
      <c r="BA58" s="73"/>
      <c r="BB58" s="29"/>
      <c r="BC58" s="72"/>
      <c r="BD58" s="72"/>
      <c r="BE58" s="72"/>
      <c r="BF58" s="73"/>
    </row>
    <row r="59" spans="1:58" x14ac:dyDescent="0.2">
      <c r="A59" s="14" t="s">
        <v>88</v>
      </c>
      <c r="B59" s="28">
        <f t="shared" si="34"/>
        <v>-928599.56466116162</v>
      </c>
      <c r="C59" s="29"/>
      <c r="D59" s="72"/>
      <c r="E59" s="72"/>
      <c r="F59" s="259"/>
      <c r="G59" s="29"/>
      <c r="H59" s="72"/>
      <c r="I59" s="72"/>
      <c r="J59" s="72">
        <f>'[47]4.5'!$I$30</f>
        <v>-2506736.237041242</v>
      </c>
      <c r="K59" s="72"/>
      <c r="L59" s="73"/>
      <c r="M59" s="29"/>
      <c r="N59" s="72"/>
      <c r="O59" s="72"/>
      <c r="P59" s="72"/>
      <c r="Q59" s="72"/>
      <c r="R59" s="73"/>
      <c r="S59" s="29"/>
      <c r="T59" s="72"/>
      <c r="U59" s="72"/>
      <c r="V59" s="72"/>
      <c r="W59" s="73"/>
      <c r="X59" s="259"/>
      <c r="Y59" s="29"/>
      <c r="Z59" s="72"/>
      <c r="AA59" s="72">
        <f>SUM('[32]6.4'!$I$24,'[32]6.4'!$I$28,'[32]6.4'!$I$32)</f>
        <v>4379287.4542611726</v>
      </c>
      <c r="AB59" s="29"/>
      <c r="AC59" s="73"/>
      <c r="AD59" s="29"/>
      <c r="AE59" s="72">
        <f>SUM('[29]7.4.1'!$I$26:$I$28,'[29]7.4'!$I$19)</f>
        <v>-33187109.121946253</v>
      </c>
      <c r="AF59" s="72"/>
      <c r="AG59" s="72">
        <f>SUM('[27]7.6'!$I$13:$I$17)</f>
        <v>28172848</v>
      </c>
      <c r="AH59" s="72"/>
      <c r="AI59" s="73">
        <f>SUM('[25]7.8'!$I$18:$I$19)</f>
        <v>-4333026.5552622871</v>
      </c>
      <c r="AJ59" s="29"/>
      <c r="AK59" s="72"/>
      <c r="AL59" s="29"/>
      <c r="AM59" s="72">
        <f>SUM('[18]8.2'!$I$23,'[18]8.2'!$I$27)</f>
        <v>-8567995.0698703919</v>
      </c>
      <c r="AN59" s="72"/>
      <c r="AO59" s="73">
        <f>SUM('[16]8.4.1'!$J$49)</f>
        <v>289567.51462348219</v>
      </c>
      <c r="AP59" s="29"/>
      <c r="AQ59" s="72"/>
      <c r="AR59" s="72"/>
      <c r="AS59" s="72"/>
      <c r="AT59" s="72"/>
      <c r="AU59" s="73">
        <f>'[23]8.10'!$I$24</f>
        <v>-84303.833538720195</v>
      </c>
      <c r="AV59" s="29"/>
      <c r="AW59" s="73"/>
      <c r="AX59" s="259"/>
      <c r="AY59" s="29"/>
      <c r="AZ59" s="72"/>
      <c r="BA59" s="73"/>
      <c r="BB59" s="29">
        <f>'[6]10.4'!$I$28</f>
        <v>-120983.847556519</v>
      </c>
      <c r="BC59" s="72">
        <f>SUM('[7]10.5'!$I$33,'[7]10.5'!$I$37,'[7]10.5'!$I$41,'[7]10.5'!$I$45)</f>
        <v>15084520.896744041</v>
      </c>
      <c r="BD59" s="72">
        <f>SUM('[8]10.6'!$I$33,'[8]10.6'!$I$39,'[8]10.6'!$I$45)</f>
        <v>-37768.160820461766</v>
      </c>
      <c r="BE59" s="72">
        <f>'[9]10.7'!$I$33</f>
        <v>-16900.604253980859</v>
      </c>
      <c r="BF59" s="73"/>
    </row>
    <row r="60" spans="1:58" x14ac:dyDescent="0.2">
      <c r="A60" s="14" t="s">
        <v>89</v>
      </c>
      <c r="B60" s="28">
        <f t="shared" si="34"/>
        <v>0</v>
      </c>
      <c r="C60" s="29"/>
      <c r="D60" s="72"/>
      <c r="E60" s="72"/>
      <c r="F60" s="259"/>
      <c r="G60" s="29"/>
      <c r="H60" s="72"/>
      <c r="I60" s="72"/>
      <c r="J60" s="72"/>
      <c r="K60" s="72"/>
      <c r="L60" s="73"/>
      <c r="M60" s="29"/>
      <c r="N60" s="72"/>
      <c r="O60" s="72"/>
      <c r="P60" s="72"/>
      <c r="Q60" s="72"/>
      <c r="R60" s="73"/>
      <c r="S60" s="29"/>
      <c r="T60" s="72"/>
      <c r="U60" s="72"/>
      <c r="V60" s="72"/>
      <c r="W60" s="73"/>
      <c r="X60" s="259"/>
      <c r="Y60" s="29"/>
      <c r="Z60" s="72"/>
      <c r="AA60" s="72"/>
      <c r="AB60" s="29"/>
      <c r="AC60" s="73"/>
      <c r="AD60" s="29"/>
      <c r="AE60" s="72"/>
      <c r="AF60" s="72"/>
      <c r="AG60" s="72"/>
      <c r="AH60" s="72"/>
      <c r="AI60" s="73"/>
      <c r="AJ60" s="29"/>
      <c r="AK60" s="72"/>
      <c r="AL60" s="29"/>
      <c r="AM60" s="72"/>
      <c r="AN60" s="72"/>
      <c r="AO60" s="73"/>
      <c r="AP60" s="29"/>
      <c r="AQ60" s="72"/>
      <c r="AR60" s="72"/>
      <c r="AS60" s="72"/>
      <c r="AT60" s="72"/>
      <c r="AU60" s="73"/>
      <c r="AV60" s="29"/>
      <c r="AW60" s="73"/>
      <c r="AX60" s="259"/>
      <c r="AY60" s="29"/>
      <c r="AZ60" s="72"/>
      <c r="BA60" s="73"/>
      <c r="BB60" s="29"/>
      <c r="BC60" s="72"/>
      <c r="BD60" s="72"/>
      <c r="BE60" s="72"/>
      <c r="BF60" s="73"/>
    </row>
    <row r="61" spans="1:58" x14ac:dyDescent="0.2">
      <c r="A61" s="14" t="s">
        <v>90</v>
      </c>
      <c r="B61" s="28">
        <f t="shared" si="34"/>
        <v>0</v>
      </c>
      <c r="C61" s="29"/>
      <c r="D61" s="72"/>
      <c r="E61" s="72"/>
      <c r="F61" s="259"/>
      <c r="G61" s="29"/>
      <c r="H61" s="72"/>
      <c r="I61" s="72"/>
      <c r="J61" s="72"/>
      <c r="K61" s="72"/>
      <c r="L61" s="73"/>
      <c r="M61" s="29"/>
      <c r="N61" s="72"/>
      <c r="O61" s="72"/>
      <c r="P61" s="72"/>
      <c r="Q61" s="72"/>
      <c r="R61" s="73"/>
      <c r="S61" s="29"/>
      <c r="T61" s="72"/>
      <c r="U61" s="72"/>
      <c r="V61" s="72"/>
      <c r="W61" s="73"/>
      <c r="X61" s="259"/>
      <c r="Y61" s="29"/>
      <c r="Z61" s="72"/>
      <c r="AA61" s="72"/>
      <c r="AB61" s="29"/>
      <c r="AC61" s="73"/>
      <c r="AD61" s="29"/>
      <c r="AE61" s="72"/>
      <c r="AF61" s="72"/>
      <c r="AG61" s="72"/>
      <c r="AH61" s="72"/>
      <c r="AI61" s="73"/>
      <c r="AJ61" s="29"/>
      <c r="AK61" s="72"/>
      <c r="AL61" s="29"/>
      <c r="AM61" s="72"/>
      <c r="AN61" s="72"/>
      <c r="AO61" s="73"/>
      <c r="AP61" s="29"/>
      <c r="AQ61" s="72"/>
      <c r="AR61" s="72"/>
      <c r="AS61" s="72"/>
      <c r="AT61" s="72"/>
      <c r="AU61" s="73"/>
      <c r="AV61" s="29"/>
      <c r="AW61" s="73"/>
      <c r="AX61" s="259"/>
      <c r="AY61" s="29"/>
      <c r="AZ61" s="72"/>
      <c r="BA61" s="73"/>
      <c r="BB61" s="29"/>
      <c r="BC61" s="72"/>
      <c r="BD61" s="72"/>
      <c r="BE61" s="72"/>
      <c r="BF61" s="73"/>
    </row>
    <row r="62" spans="1:58" x14ac:dyDescent="0.2">
      <c r="A62" s="14" t="s">
        <v>91</v>
      </c>
      <c r="B62" s="28">
        <f t="shared" si="34"/>
        <v>0</v>
      </c>
      <c r="C62" s="29"/>
      <c r="D62" s="72"/>
      <c r="E62" s="72"/>
      <c r="F62" s="259"/>
      <c r="G62" s="29"/>
      <c r="H62" s="72"/>
      <c r="I62" s="72"/>
      <c r="J62" s="72"/>
      <c r="K62" s="72"/>
      <c r="L62" s="73"/>
      <c r="M62" s="29"/>
      <c r="N62" s="72"/>
      <c r="O62" s="72"/>
      <c r="P62" s="72"/>
      <c r="Q62" s="72"/>
      <c r="R62" s="73"/>
      <c r="S62" s="29"/>
      <c r="T62" s="72"/>
      <c r="U62" s="72"/>
      <c r="V62" s="72"/>
      <c r="W62" s="73"/>
      <c r="X62" s="259"/>
      <c r="Y62" s="29"/>
      <c r="Z62" s="72"/>
      <c r="AA62" s="72"/>
      <c r="AB62" s="29"/>
      <c r="AC62" s="73"/>
      <c r="AD62" s="29"/>
      <c r="AE62" s="72"/>
      <c r="AF62" s="72"/>
      <c r="AG62" s="72"/>
      <c r="AH62" s="72"/>
      <c r="AI62" s="73"/>
      <c r="AJ62" s="29"/>
      <c r="AK62" s="72"/>
      <c r="AL62" s="29"/>
      <c r="AM62" s="72"/>
      <c r="AN62" s="72"/>
      <c r="AO62" s="73"/>
      <c r="AP62" s="29"/>
      <c r="AQ62" s="72"/>
      <c r="AR62" s="72"/>
      <c r="AS62" s="72"/>
      <c r="AT62" s="72"/>
      <c r="AU62" s="73"/>
      <c r="AV62" s="29"/>
      <c r="AW62" s="73"/>
      <c r="AX62" s="259"/>
      <c r="AY62" s="29"/>
      <c r="AZ62" s="72"/>
      <c r="BA62" s="73"/>
      <c r="BB62" s="29"/>
      <c r="BC62" s="72"/>
      <c r="BD62" s="72"/>
      <c r="BE62" s="72"/>
      <c r="BF62" s="73"/>
    </row>
    <row r="63" spans="1:58" x14ac:dyDescent="0.2">
      <c r="A63" s="14" t="s">
        <v>92</v>
      </c>
      <c r="B63" s="28">
        <f t="shared" si="34"/>
        <v>36396647.603050716</v>
      </c>
      <c r="C63" s="29"/>
      <c r="D63" s="72"/>
      <c r="E63" s="72"/>
      <c r="F63" s="259"/>
      <c r="G63" s="29"/>
      <c r="H63" s="72"/>
      <c r="I63" s="72"/>
      <c r="J63" s="72"/>
      <c r="K63" s="72"/>
      <c r="L63" s="73"/>
      <c r="M63" s="29"/>
      <c r="N63" s="72"/>
      <c r="O63" s="72"/>
      <c r="P63" s="72"/>
      <c r="Q63" s="72"/>
      <c r="R63" s="73"/>
      <c r="S63" s="29"/>
      <c r="T63" s="72"/>
      <c r="U63" s="72"/>
      <c r="V63" s="72"/>
      <c r="W63" s="73"/>
      <c r="X63" s="259"/>
      <c r="Y63" s="29"/>
      <c r="Z63" s="72"/>
      <c r="AA63" s="72">
        <f>SUM('[32]6.4'!$I$16:$I$18)</f>
        <v>-16478622.876949267</v>
      </c>
      <c r="AB63" s="29"/>
      <c r="AC63" s="73"/>
      <c r="AD63" s="29"/>
      <c r="AE63" s="72"/>
      <c r="AF63" s="72"/>
      <c r="AG63" s="72"/>
      <c r="AH63" s="72"/>
      <c r="AI63" s="73">
        <f>'[25]7.8'!$I$14</f>
        <v>18039048</v>
      </c>
      <c r="AJ63" s="29"/>
      <c r="AK63" s="72"/>
      <c r="AL63" s="29"/>
      <c r="AM63" s="72">
        <f>'[18]8.2'!$I$10</f>
        <v>34836222.479999982</v>
      </c>
      <c r="AN63" s="72"/>
      <c r="AO63" s="73"/>
      <c r="AP63" s="29"/>
      <c r="AQ63" s="72"/>
      <c r="AR63" s="72"/>
      <c r="AS63" s="72"/>
      <c r="AT63" s="72"/>
      <c r="AU63" s="73"/>
      <c r="AV63" s="29"/>
      <c r="AW63" s="73"/>
      <c r="AX63" s="259"/>
      <c r="AY63" s="29"/>
      <c r="AZ63" s="72"/>
      <c r="BA63" s="73"/>
      <c r="BB63" s="29"/>
      <c r="BC63" s="72"/>
      <c r="BD63" s="72"/>
      <c r="BE63" s="72"/>
      <c r="BF63" s="73"/>
    </row>
    <row r="64" spans="1:58" x14ac:dyDescent="0.2">
      <c r="A64" s="14"/>
      <c r="B64" s="27">
        <f t="shared" si="34"/>
        <v>0</v>
      </c>
      <c r="C64" s="27"/>
      <c r="D64" s="12"/>
      <c r="E64" s="12"/>
      <c r="F64" s="69"/>
      <c r="G64" s="27"/>
      <c r="H64" s="12"/>
      <c r="I64" s="12"/>
      <c r="J64" s="12"/>
      <c r="K64" s="12"/>
      <c r="L64" s="68"/>
      <c r="M64" s="27"/>
      <c r="N64" s="12"/>
      <c r="O64" s="12"/>
      <c r="P64" s="12"/>
      <c r="Q64" s="12"/>
      <c r="R64" s="68"/>
      <c r="S64" s="27"/>
      <c r="T64" s="12"/>
      <c r="U64" s="12"/>
      <c r="V64" s="12"/>
      <c r="W64" s="68"/>
      <c r="X64" s="69"/>
      <c r="Y64" s="27"/>
      <c r="Z64" s="12"/>
      <c r="AA64" s="12"/>
      <c r="AB64" s="27"/>
      <c r="AC64" s="68"/>
      <c r="AD64" s="27"/>
      <c r="AE64" s="12"/>
      <c r="AF64" s="12"/>
      <c r="AG64" s="12"/>
      <c r="AH64" s="12"/>
      <c r="AI64" s="68"/>
      <c r="AJ64" s="27"/>
      <c r="AK64" s="12"/>
      <c r="AL64" s="27"/>
      <c r="AM64" s="12"/>
      <c r="AN64" s="12"/>
      <c r="AO64" s="68"/>
      <c r="AP64" s="27"/>
      <c r="AQ64" s="12"/>
      <c r="AR64" s="12"/>
      <c r="AS64" s="12"/>
      <c r="AT64" s="12"/>
      <c r="AU64" s="68"/>
      <c r="AV64" s="27"/>
      <c r="AW64" s="68"/>
      <c r="AX64" s="69"/>
      <c r="AY64" s="27"/>
      <c r="AZ64" s="12"/>
      <c r="BA64" s="68"/>
      <c r="BB64" s="27"/>
      <c r="BC64" s="12"/>
      <c r="BD64" s="12"/>
      <c r="BE64" s="12"/>
      <c r="BF64" s="68"/>
    </row>
    <row r="65" spans="1:58" x14ac:dyDescent="0.2">
      <c r="A65" s="14" t="s">
        <v>93</v>
      </c>
      <c r="B65" s="30">
        <f t="shared" si="34"/>
        <v>-369618665.337506</v>
      </c>
      <c r="C65" s="30">
        <f t="shared" ref="C65:AW65" si="35">SUM(C57:C64)</f>
        <v>0</v>
      </c>
      <c r="D65" s="74">
        <f t="shared" si="35"/>
        <v>0</v>
      </c>
      <c r="E65" s="74">
        <f t="shared" si="35"/>
        <v>0</v>
      </c>
      <c r="F65" s="143">
        <f t="shared" si="35"/>
        <v>0</v>
      </c>
      <c r="G65" s="30">
        <f t="shared" si="35"/>
        <v>0</v>
      </c>
      <c r="H65" s="74">
        <f t="shared" si="35"/>
        <v>0</v>
      </c>
      <c r="I65" s="74">
        <f t="shared" si="35"/>
        <v>0</v>
      </c>
      <c r="J65" s="74">
        <f t="shared" si="35"/>
        <v>-2506736.237041242</v>
      </c>
      <c r="K65" s="74">
        <f t="shared" si="35"/>
        <v>0</v>
      </c>
      <c r="L65" s="75">
        <f t="shared" si="35"/>
        <v>0</v>
      </c>
      <c r="M65" s="30">
        <f t="shared" si="35"/>
        <v>0</v>
      </c>
      <c r="N65" s="74">
        <f t="shared" si="35"/>
        <v>0</v>
      </c>
      <c r="O65" s="74">
        <f t="shared" si="35"/>
        <v>0</v>
      </c>
      <c r="P65" s="74">
        <f t="shared" si="35"/>
        <v>0</v>
      </c>
      <c r="Q65" s="74">
        <f t="shared" si="35"/>
        <v>0</v>
      </c>
      <c r="R65" s="75">
        <f t="shared" si="35"/>
        <v>0</v>
      </c>
      <c r="S65" s="30">
        <f t="shared" ref="S65:T65" si="36">SUM(S57:S64)</f>
        <v>0</v>
      </c>
      <c r="T65" s="74">
        <f t="shared" si="36"/>
        <v>0</v>
      </c>
      <c r="U65" s="74">
        <f t="shared" si="35"/>
        <v>0</v>
      </c>
      <c r="V65" s="74">
        <f t="shared" ref="V65:W65" si="37">SUM(V57:V64)</f>
        <v>0</v>
      </c>
      <c r="W65" s="75">
        <f t="shared" si="37"/>
        <v>0</v>
      </c>
      <c r="X65" s="143">
        <f t="shared" si="35"/>
        <v>0</v>
      </c>
      <c r="Y65" s="30">
        <f t="shared" si="35"/>
        <v>-87697952.594275951</v>
      </c>
      <c r="Z65" s="74">
        <f t="shared" si="35"/>
        <v>0</v>
      </c>
      <c r="AA65" s="74">
        <f t="shared" si="35"/>
        <v>-12099335.422688095</v>
      </c>
      <c r="AB65" s="30">
        <f t="shared" si="35"/>
        <v>0</v>
      </c>
      <c r="AC65" s="75">
        <f t="shared" si="35"/>
        <v>0</v>
      </c>
      <c r="AD65" s="30">
        <f t="shared" si="35"/>
        <v>0</v>
      </c>
      <c r="AE65" s="74">
        <f t="shared" si="35"/>
        <v>-33187109.121946253</v>
      </c>
      <c r="AF65" s="74">
        <f t="shared" si="35"/>
        <v>0</v>
      </c>
      <c r="AG65" s="74">
        <f t="shared" si="35"/>
        <v>28172848</v>
      </c>
      <c r="AH65" s="74">
        <f t="shared" si="35"/>
        <v>0</v>
      </c>
      <c r="AI65" s="75">
        <f>SUM(AI57:AI64)</f>
        <v>13706021.444737714</v>
      </c>
      <c r="AJ65" s="30">
        <f t="shared" si="35"/>
        <v>0</v>
      </c>
      <c r="AK65" s="74">
        <f t="shared" ref="AK65" si="38">SUM(AK57:AK64)</f>
        <v>0</v>
      </c>
      <c r="AL65" s="30">
        <f t="shared" si="35"/>
        <v>0</v>
      </c>
      <c r="AM65" s="74">
        <f t="shared" si="35"/>
        <v>26268227.410129592</v>
      </c>
      <c r="AN65" s="74">
        <f t="shared" si="35"/>
        <v>0</v>
      </c>
      <c r="AO65" s="75">
        <f t="shared" si="35"/>
        <v>289567.51462348219</v>
      </c>
      <c r="AP65" s="30">
        <f t="shared" ref="AP65" si="39">SUM(AP57:AP64)</f>
        <v>0</v>
      </c>
      <c r="AQ65" s="74">
        <f t="shared" si="35"/>
        <v>0</v>
      </c>
      <c r="AR65" s="74">
        <f t="shared" si="35"/>
        <v>0</v>
      </c>
      <c r="AS65" s="74">
        <f t="shared" si="35"/>
        <v>0</v>
      </c>
      <c r="AT65" s="74">
        <f t="shared" si="35"/>
        <v>0</v>
      </c>
      <c r="AU65" s="75">
        <f t="shared" si="35"/>
        <v>-84303.833538720195</v>
      </c>
      <c r="AV65" s="30">
        <f t="shared" si="35"/>
        <v>-5246.4809077935133</v>
      </c>
      <c r="AW65" s="75">
        <f t="shared" si="35"/>
        <v>-86079.075470098556</v>
      </c>
      <c r="AX65" s="143">
        <f t="shared" ref="AX65:BA65" si="40">SUM(AX57:AX64)</f>
        <v>-195149.93985409159</v>
      </c>
      <c r="AY65" s="30">
        <f t="shared" si="40"/>
        <v>0</v>
      </c>
      <c r="AZ65" s="74">
        <f t="shared" si="40"/>
        <v>0</v>
      </c>
      <c r="BA65" s="75">
        <f t="shared" si="40"/>
        <v>0</v>
      </c>
      <c r="BB65" s="30">
        <f t="shared" ref="BB65:BF65" si="41">SUM(BB57:BB64)</f>
        <v>-2403737.8844386619</v>
      </c>
      <c r="BC65" s="74">
        <f t="shared" si="41"/>
        <v>-299666072.31202912</v>
      </c>
      <c r="BD65" s="74">
        <f t="shared" si="41"/>
        <v>-92327.12622610986</v>
      </c>
      <c r="BE65" s="74">
        <f t="shared" si="41"/>
        <v>-31279.678580632608</v>
      </c>
      <c r="BF65" s="75">
        <f t="shared" si="41"/>
        <v>0</v>
      </c>
    </row>
    <row r="66" spans="1:58" x14ac:dyDescent="0.2">
      <c r="A66" s="14"/>
      <c r="B66" s="27">
        <f t="shared" si="34"/>
        <v>0</v>
      </c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68"/>
      <c r="AX66" s="69"/>
      <c r="AY66" s="27"/>
      <c r="AZ66" s="12"/>
      <c r="BA66" s="68"/>
      <c r="BB66" s="27"/>
      <c r="BC66" s="12"/>
      <c r="BD66" s="12"/>
      <c r="BE66" s="12"/>
      <c r="BF66" s="68"/>
    </row>
    <row r="67" spans="1:58" ht="13.5" thickBot="1" x14ac:dyDescent="0.25">
      <c r="A67" s="14" t="s">
        <v>94</v>
      </c>
      <c r="B67" s="34">
        <f t="shared" si="34"/>
        <v>113165370.83905436</v>
      </c>
      <c r="C67" s="34">
        <f t="shared" ref="C67:AW67" si="42">C54+C65</f>
        <v>0</v>
      </c>
      <c r="D67" s="85">
        <f t="shared" si="42"/>
        <v>0</v>
      </c>
      <c r="E67" s="85">
        <f t="shared" si="42"/>
        <v>0</v>
      </c>
      <c r="F67" s="146">
        <f t="shared" si="42"/>
        <v>0</v>
      </c>
      <c r="G67" s="34">
        <f t="shared" si="42"/>
        <v>0</v>
      </c>
      <c r="H67" s="85">
        <f t="shared" si="42"/>
        <v>0</v>
      </c>
      <c r="I67" s="85">
        <f t="shared" si="42"/>
        <v>0</v>
      </c>
      <c r="J67" s="85">
        <f t="shared" si="42"/>
        <v>-2506736.237041242</v>
      </c>
      <c r="K67" s="85">
        <f t="shared" si="42"/>
        <v>0</v>
      </c>
      <c r="L67" s="147">
        <f t="shared" si="42"/>
        <v>0</v>
      </c>
      <c r="M67" s="34">
        <f t="shared" si="42"/>
        <v>0</v>
      </c>
      <c r="N67" s="85">
        <f t="shared" si="42"/>
        <v>0</v>
      </c>
      <c r="O67" s="85">
        <f t="shared" si="42"/>
        <v>0</v>
      </c>
      <c r="P67" s="85">
        <f t="shared" si="42"/>
        <v>0</v>
      </c>
      <c r="Q67" s="85">
        <f t="shared" si="42"/>
        <v>0</v>
      </c>
      <c r="R67" s="147">
        <f t="shared" si="42"/>
        <v>0</v>
      </c>
      <c r="S67" s="34">
        <f t="shared" ref="S67:T67" si="43">S54+S65</f>
        <v>0</v>
      </c>
      <c r="T67" s="85">
        <f t="shared" si="43"/>
        <v>0</v>
      </c>
      <c r="U67" s="85">
        <f t="shared" si="42"/>
        <v>0</v>
      </c>
      <c r="V67" s="85">
        <f t="shared" ref="V67:W67" si="44">V54+V65</f>
        <v>0</v>
      </c>
      <c r="W67" s="147">
        <f t="shared" si="44"/>
        <v>0</v>
      </c>
      <c r="X67" s="146">
        <f t="shared" si="42"/>
        <v>0</v>
      </c>
      <c r="Y67" s="34">
        <f t="shared" si="42"/>
        <v>-87697952.594275951</v>
      </c>
      <c r="Z67" s="85">
        <f t="shared" si="42"/>
        <v>0</v>
      </c>
      <c r="AA67" s="85">
        <f t="shared" si="42"/>
        <v>-12099335.422688095</v>
      </c>
      <c r="AB67" s="34">
        <f t="shared" si="42"/>
        <v>0</v>
      </c>
      <c r="AC67" s="147">
        <f t="shared" si="42"/>
        <v>0</v>
      </c>
      <c r="AD67" s="34">
        <f t="shared" si="42"/>
        <v>0</v>
      </c>
      <c r="AE67" s="85">
        <f t="shared" si="42"/>
        <v>-33187109.121946253</v>
      </c>
      <c r="AF67" s="85">
        <f t="shared" si="42"/>
        <v>0</v>
      </c>
      <c r="AG67" s="85">
        <f t="shared" si="42"/>
        <v>28172848</v>
      </c>
      <c r="AH67" s="85">
        <f t="shared" si="42"/>
        <v>0</v>
      </c>
      <c r="AI67" s="147">
        <f>AI54+AI65</f>
        <v>13706021.444737714</v>
      </c>
      <c r="AJ67" s="34">
        <f t="shared" si="42"/>
        <v>0</v>
      </c>
      <c r="AK67" s="85">
        <f t="shared" ref="AK67" si="45">AK54+AK65</f>
        <v>0</v>
      </c>
      <c r="AL67" s="34">
        <f t="shared" si="42"/>
        <v>0</v>
      </c>
      <c r="AM67" s="85">
        <f t="shared" si="42"/>
        <v>26317588.733462926</v>
      </c>
      <c r="AN67" s="85">
        <f t="shared" si="42"/>
        <v>0</v>
      </c>
      <c r="AO67" s="147">
        <f t="shared" si="42"/>
        <v>132944198.85970446</v>
      </c>
      <c r="AP67" s="34">
        <f t="shared" ref="AP67" si="46">AP54+AP65</f>
        <v>0</v>
      </c>
      <c r="AQ67" s="85">
        <f t="shared" si="42"/>
        <v>0</v>
      </c>
      <c r="AR67" s="85">
        <f t="shared" si="42"/>
        <v>0</v>
      </c>
      <c r="AS67" s="85">
        <f t="shared" si="42"/>
        <v>0</v>
      </c>
      <c r="AT67" s="85">
        <f t="shared" si="42"/>
        <v>0</v>
      </c>
      <c r="AU67" s="147">
        <f t="shared" si="42"/>
        <v>258581.45169274817</v>
      </c>
      <c r="AV67" s="34">
        <f t="shared" si="42"/>
        <v>2316422.0932725216</v>
      </c>
      <c r="AW67" s="147">
        <f t="shared" si="42"/>
        <v>37655292.732782446</v>
      </c>
      <c r="AX67" s="146">
        <f t="shared" ref="AX67:BA67" si="47">AX54+AX65</f>
        <v>-2800.5264279410185</v>
      </c>
      <c r="AY67" s="34">
        <f t="shared" si="47"/>
        <v>0</v>
      </c>
      <c r="AZ67" s="85">
        <f t="shared" si="47"/>
        <v>0</v>
      </c>
      <c r="BA67" s="147">
        <f t="shared" si="47"/>
        <v>0</v>
      </c>
      <c r="BB67" s="34">
        <f t="shared" ref="BB67:BF67" si="48">BB54+BB65</f>
        <v>-1281832.071774337</v>
      </c>
      <c r="BC67" s="85">
        <f t="shared" si="48"/>
        <v>797315.23569899797</v>
      </c>
      <c r="BD67" s="85">
        <f t="shared" si="48"/>
        <v>3711612.3428394538</v>
      </c>
      <c r="BE67" s="85">
        <f t="shared" si="48"/>
        <v>4061255.9190168967</v>
      </c>
      <c r="BF67" s="147">
        <f t="shared" si="48"/>
        <v>0</v>
      </c>
    </row>
    <row r="68" spans="1:58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68"/>
      <c r="AX68" s="69"/>
      <c r="AY68" s="27"/>
      <c r="AZ68" s="12"/>
      <c r="BA68" s="68"/>
      <c r="BB68" s="27"/>
      <c r="BC68" s="12"/>
      <c r="BD68" s="12"/>
      <c r="BE68" s="12"/>
      <c r="BF68" s="68"/>
    </row>
    <row r="69" spans="1:58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68"/>
      <c r="AX69" s="69"/>
      <c r="AY69" s="27"/>
      <c r="AZ69" s="12"/>
      <c r="BA69" s="68"/>
      <c r="BB69" s="27"/>
      <c r="BC69" s="12"/>
      <c r="BD69" s="12"/>
      <c r="BE69" s="12"/>
      <c r="BF69" s="68"/>
    </row>
    <row r="70" spans="1:58" s="177" customFormat="1" x14ac:dyDescent="0.2">
      <c r="A70" s="227" t="s">
        <v>147</v>
      </c>
      <c r="B70" s="17">
        <f t="shared" ref="B70:AW70" si="49">(((B40+Unadj_Op_revenue)/(B67+Unadj_rate_base))-Weighted_cost_debt-Weighted_cost_pref)/Percent_common-Unadj_ROE</f>
        <v>-3.3539587739068018E-2</v>
      </c>
      <c r="C70" s="17">
        <f t="shared" si="49"/>
        <v>0</v>
      </c>
      <c r="D70" s="16">
        <f t="shared" si="49"/>
        <v>0</v>
      </c>
      <c r="E70" s="16">
        <f t="shared" si="49"/>
        <v>1.9081720456461948E-3</v>
      </c>
      <c r="F70" s="19">
        <f t="shared" si="49"/>
        <v>0</v>
      </c>
      <c r="G70" s="17">
        <f t="shared" si="49"/>
        <v>0</v>
      </c>
      <c r="H70" s="16">
        <f t="shared" si="49"/>
        <v>-2.4204149699823263E-3</v>
      </c>
      <c r="I70" s="16">
        <f t="shared" si="49"/>
        <v>5.5523041692732977E-4</v>
      </c>
      <c r="J70" s="16">
        <f t="shared" si="49"/>
        <v>4.992570671705443E-3</v>
      </c>
      <c r="K70" s="16">
        <f t="shared" si="49"/>
        <v>0</v>
      </c>
      <c r="L70" s="18">
        <f t="shared" si="49"/>
        <v>0</v>
      </c>
      <c r="M70" s="17">
        <f t="shared" si="49"/>
        <v>0</v>
      </c>
      <c r="N70" s="16">
        <f t="shared" si="49"/>
        <v>0</v>
      </c>
      <c r="O70" s="16">
        <f t="shared" si="49"/>
        <v>0</v>
      </c>
      <c r="P70" s="16">
        <f t="shared" si="49"/>
        <v>0</v>
      </c>
      <c r="Q70" s="16">
        <f t="shared" si="49"/>
        <v>-9.8017154552959562E-5</v>
      </c>
      <c r="R70" s="18">
        <f t="shared" si="49"/>
        <v>-5.5320419617554961E-3</v>
      </c>
      <c r="S70" s="17">
        <f t="shared" ref="S70:T70" si="50">(((S40+Unadj_Op_revenue)/(S67+Unadj_rate_base))-Weighted_cost_debt-Weighted_cost_pref)/Percent_common-Unadj_ROE</f>
        <v>0</v>
      </c>
      <c r="T70" s="16">
        <f t="shared" si="50"/>
        <v>-4.9729979194575738E-2</v>
      </c>
      <c r="U70" s="16">
        <f t="shared" si="49"/>
        <v>3.5598242617518316E-4</v>
      </c>
      <c r="V70" s="16">
        <f t="shared" ref="V70:W70" si="51">(((V40+Unadj_Op_revenue)/(V67+Unadj_rate_base))-Weighted_cost_debt-Weighted_cost_pref)/Percent_common-Unadj_ROE</f>
        <v>-1.5288218539083465E-4</v>
      </c>
      <c r="W70" s="18">
        <f t="shared" si="51"/>
        <v>-5.0597818926162441E-5</v>
      </c>
      <c r="X70" s="19">
        <f t="shared" si="49"/>
        <v>2.090108658468956E-2</v>
      </c>
      <c r="Y70" s="17">
        <f t="shared" si="49"/>
        <v>9.5003942923278795E-3</v>
      </c>
      <c r="Z70" s="16">
        <f t="shared" si="49"/>
        <v>0</v>
      </c>
      <c r="AA70" s="16">
        <f t="shared" si="49"/>
        <v>2.078275435997104E-3</v>
      </c>
      <c r="AB70" s="17">
        <f t="shared" si="49"/>
        <v>9.363694583096327E-4</v>
      </c>
      <c r="AC70" s="18">
        <f t="shared" si="49"/>
        <v>-1.1302117219701702E-3</v>
      </c>
      <c r="AD70" s="17">
        <f t="shared" si="49"/>
        <v>2.8788508803263418E-2</v>
      </c>
      <c r="AE70" s="16">
        <f t="shared" si="49"/>
        <v>1.0175556948832667E-2</v>
      </c>
      <c r="AF70" s="16">
        <f t="shared" si="49"/>
        <v>-5.1209051509458481E-4</v>
      </c>
      <c r="AG70" s="16">
        <f t="shared" si="49"/>
        <v>-2.9565893554842487E-3</v>
      </c>
      <c r="AH70" s="16">
        <f t="shared" si="49"/>
        <v>0</v>
      </c>
      <c r="AI70" s="18">
        <f>(((AI40+Unadj_Op_revenue)/(AI67+Unadj_rate_base))-Weighted_cost_debt-Weighted_cost_pref)/Percent_common-Unadj_ROE</f>
        <v>-1.5515806465923564E-2</v>
      </c>
      <c r="AJ70" s="17">
        <f t="shared" si="49"/>
        <v>2.2330964709910139E-5</v>
      </c>
      <c r="AK70" s="16">
        <f t="shared" ref="AK70" si="52">(((AK40+Unadj_Op_revenue)/(AK67+Unadj_rate_base))-Weighted_cost_debt-Weighted_cost_pref)/Percent_common-Unadj_ROE</f>
        <v>-3.11448376158735E-4</v>
      </c>
      <c r="AL70" s="17">
        <f t="shared" si="49"/>
        <v>0</v>
      </c>
      <c r="AM70" s="16">
        <f t="shared" si="49"/>
        <v>-1.0628759859340288E-2</v>
      </c>
      <c r="AN70" s="16">
        <f t="shared" si="49"/>
        <v>0</v>
      </c>
      <c r="AO70" s="18">
        <f t="shared" si="49"/>
        <v>-1.1804138405476124E-2</v>
      </c>
      <c r="AP70" s="17">
        <f t="shared" ref="AP70" si="53">(((AP40+Unadj_Op_revenue)/(AP67+Unadj_rate_base))-Weighted_cost_debt-Weighted_cost_pref)/Percent_common-Unadj_ROE</f>
        <v>0</v>
      </c>
      <c r="AQ70" s="16">
        <f t="shared" si="49"/>
        <v>0</v>
      </c>
      <c r="AR70" s="16">
        <f t="shared" si="49"/>
        <v>0</v>
      </c>
      <c r="AS70" s="16">
        <f t="shared" si="49"/>
        <v>0</v>
      </c>
      <c r="AT70" s="16">
        <f t="shared" si="49"/>
        <v>0</v>
      </c>
      <c r="AU70" s="18">
        <f t="shared" si="49"/>
        <v>-1.2327489535834957E-4</v>
      </c>
      <c r="AV70" s="17">
        <f t="shared" si="49"/>
        <v>-5.3726178946508774E-4</v>
      </c>
      <c r="AW70" s="18">
        <f t="shared" si="49"/>
        <v>-4.4877593183427489E-3</v>
      </c>
      <c r="AX70" s="19">
        <f t="shared" ref="AX70:BF70" si="54">(((AX40+Unadj_Op_revenue)/(AX67+Unadj_rate_base))-Weighted_cost_debt-Weighted_cost_pref)/Percent_common-Unadj_ROE</f>
        <v>-1.4284427314514292E-3</v>
      </c>
      <c r="AY70" s="17">
        <f t="shared" si="54"/>
        <v>0</v>
      </c>
      <c r="AZ70" s="16">
        <f t="shared" si="54"/>
        <v>-5.6051211427833592E-4</v>
      </c>
      <c r="BA70" s="18">
        <f t="shared" si="54"/>
        <v>0</v>
      </c>
      <c r="BB70" s="17">
        <f t="shared" si="54"/>
        <v>1.2841922956427498E-4</v>
      </c>
      <c r="BC70" s="16">
        <f t="shared" si="54"/>
        <v>-3.8522603746723311E-3</v>
      </c>
      <c r="BD70" s="16">
        <f t="shared" si="54"/>
        <v>-4.4722813242385751E-4</v>
      </c>
      <c r="BE70" s="16">
        <f t="shared" si="54"/>
        <v>-4.6578925594918663E-4</v>
      </c>
      <c r="BF70" s="18">
        <f t="shared" si="54"/>
        <v>-1.3673144976918822E-3</v>
      </c>
    </row>
    <row r="71" spans="1:58" x14ac:dyDescent="0.2">
      <c r="A71" s="14" t="s">
        <v>42</v>
      </c>
      <c r="B71" s="35">
        <f>SUM(C71:BF71)</f>
        <v>31455725.54264411</v>
      </c>
      <c r="C71" s="35">
        <f t="shared" ref="C71:AW71" si="55">-(C40-(C67*Overall_ROR))/gross_up_factor</f>
        <v>0</v>
      </c>
      <c r="D71" s="86">
        <f t="shared" si="55"/>
        <v>0</v>
      </c>
      <c r="E71" s="86">
        <f t="shared" si="55"/>
        <v>-1496976.280623215</v>
      </c>
      <c r="F71" s="148">
        <f t="shared" si="55"/>
        <v>0</v>
      </c>
      <c r="G71" s="35">
        <f t="shared" si="55"/>
        <v>0</v>
      </c>
      <c r="H71" s="86">
        <f t="shared" si="55"/>
        <v>1898834.9649058471</v>
      </c>
      <c r="I71" s="86">
        <f t="shared" si="55"/>
        <v>-435582.71714398696</v>
      </c>
      <c r="J71" s="86">
        <f t="shared" si="55"/>
        <v>-3964780.145652093</v>
      </c>
      <c r="K71" s="86">
        <f t="shared" si="55"/>
        <v>0</v>
      </c>
      <c r="L71" s="149">
        <f t="shared" si="55"/>
        <v>0</v>
      </c>
      <c r="M71" s="35">
        <f t="shared" si="55"/>
        <v>0</v>
      </c>
      <c r="N71" s="86">
        <f t="shared" si="55"/>
        <v>0</v>
      </c>
      <c r="O71" s="86">
        <f t="shared" si="55"/>
        <v>0</v>
      </c>
      <c r="P71" s="86">
        <f t="shared" si="55"/>
        <v>0</v>
      </c>
      <c r="Q71" s="86">
        <f t="shared" si="55"/>
        <v>76895.244218030886</v>
      </c>
      <c r="R71" s="149">
        <f t="shared" si="55"/>
        <v>4339931.3070619255</v>
      </c>
      <c r="S71" s="35">
        <f t="shared" ref="S71:T71" si="56">-(S40-(S67*Overall_ROR))/gross_up_factor</f>
        <v>0</v>
      </c>
      <c r="T71" s="86">
        <f t="shared" si="56"/>
        <v>39013567.702149116</v>
      </c>
      <c r="U71" s="86">
        <f t="shared" si="55"/>
        <v>-279271.06967049756</v>
      </c>
      <c r="V71" s="86">
        <f t="shared" ref="V71:W71" si="57">-(V40-(V67*Overall_ROR))/gross_up_factor</f>
        <v>119937.30113702388</v>
      </c>
      <c r="W71" s="149">
        <f t="shared" si="57"/>
        <v>39694.394934957832</v>
      </c>
      <c r="X71" s="148">
        <f t="shared" si="55"/>
        <v>-16397070.132078577</v>
      </c>
      <c r="Y71" s="35">
        <f t="shared" si="55"/>
        <v>-8865212.946137337</v>
      </c>
      <c r="Z71" s="86">
        <f t="shared" si="55"/>
        <v>0</v>
      </c>
      <c r="AA71" s="86">
        <f t="shared" si="55"/>
        <v>-1886482.9393354808</v>
      </c>
      <c r="AB71" s="35">
        <f t="shared" si="55"/>
        <v>-734589.35329641204</v>
      </c>
      <c r="AC71" s="149">
        <f t="shared" si="55"/>
        <v>886660.16449198383</v>
      </c>
      <c r="AD71" s="35">
        <f t="shared" si="55"/>
        <v>-22584816.149742924</v>
      </c>
      <c r="AE71" s="86">
        <f t="shared" si="55"/>
        <v>-8501891.5067436006</v>
      </c>
      <c r="AF71" s="86">
        <f t="shared" si="55"/>
        <v>401739.1180097278</v>
      </c>
      <c r="AG71" s="86">
        <f t="shared" si="55"/>
        <v>3012423.7822883134</v>
      </c>
      <c r="AH71" s="86">
        <f t="shared" si="55"/>
        <v>0</v>
      </c>
      <c r="AI71" s="149">
        <f>-(AI40-(AI67*Overall_ROR))/gross_up_factor</f>
        <v>12626783.844271323</v>
      </c>
      <c r="AJ71" s="35">
        <f t="shared" si="55"/>
        <v>-17518.820994386951</v>
      </c>
      <c r="AK71" s="86">
        <f t="shared" ref="AK71" si="58">-(AK40-(AK67*Overall_ROR))/gross_up_factor</f>
        <v>244333.75009975792</v>
      </c>
      <c r="AL71" s="35">
        <f t="shared" si="55"/>
        <v>0</v>
      </c>
      <c r="AM71" s="86">
        <f t="shared" si="55"/>
        <v>9123363.6790960338</v>
      </c>
      <c r="AN71" s="86">
        <f t="shared" si="55"/>
        <v>0</v>
      </c>
      <c r="AO71" s="149">
        <f t="shared" si="55"/>
        <v>13332538.474749358</v>
      </c>
      <c r="AP71" s="35">
        <f t="shared" ref="AP71" si="59">-(AP40-(AP67*Overall_ROR))/gross_up_factor</f>
        <v>0</v>
      </c>
      <c r="AQ71" s="86">
        <f t="shared" si="55"/>
        <v>0</v>
      </c>
      <c r="AR71" s="86">
        <f t="shared" si="55"/>
        <v>0</v>
      </c>
      <c r="AS71" s="86">
        <f t="shared" si="55"/>
        <v>0</v>
      </c>
      <c r="AT71" s="86">
        <f t="shared" si="55"/>
        <v>0</v>
      </c>
      <c r="AU71" s="149">
        <f t="shared" si="55"/>
        <v>102570.74186541929</v>
      </c>
      <c r="AV71" s="35">
        <f t="shared" si="55"/>
        <v>474640.50010582193</v>
      </c>
      <c r="AW71" s="149">
        <f t="shared" si="55"/>
        <v>4486193.2892742585</v>
      </c>
      <c r="AX71" s="148">
        <f t="shared" ref="AX71:BF71" si="60">-(AX40-(AX67*Overall_ROR))/gross_up_factor</f>
        <v>1120558.8194699404</v>
      </c>
      <c r="AY71" s="35">
        <f t="shared" si="60"/>
        <v>0</v>
      </c>
      <c r="AZ71" s="86">
        <f t="shared" si="60"/>
        <v>439726.25109519105</v>
      </c>
      <c r="BA71" s="149">
        <f t="shared" si="60"/>
        <v>0</v>
      </c>
      <c r="BB71" s="35">
        <f t="shared" si="60"/>
        <v>-129577.87429816923</v>
      </c>
      <c r="BC71" s="86">
        <f t="shared" si="60"/>
        <v>3042227.4006808549</v>
      </c>
      <c r="BD71" s="86">
        <f t="shared" si="60"/>
        <v>435795.54389986472</v>
      </c>
      <c r="BE71" s="86">
        <f t="shared" si="60"/>
        <v>458410.0100422668</v>
      </c>
      <c r="BF71" s="149">
        <f t="shared" si="60"/>
        <v>1072669.1945137752</v>
      </c>
    </row>
    <row r="72" spans="1:58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8"/>
      <c r="AX72" s="19"/>
      <c r="AY72" s="17"/>
      <c r="AZ72" s="16"/>
      <c r="BA72" s="18"/>
      <c r="BB72" s="17"/>
      <c r="BC72" s="16"/>
      <c r="BD72" s="16"/>
      <c r="BE72" s="16"/>
      <c r="BF72" s="18"/>
    </row>
    <row r="73" spans="1:58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68"/>
      <c r="AX73" s="69"/>
      <c r="AY73" s="27"/>
      <c r="AZ73" s="12"/>
      <c r="BA73" s="68"/>
      <c r="BB73" s="27"/>
      <c r="BC73" s="12"/>
      <c r="BD73" s="12"/>
      <c r="BE73" s="12"/>
      <c r="BF73" s="68"/>
    </row>
    <row r="74" spans="1:58" x14ac:dyDescent="0.2">
      <c r="A74" s="14" t="s">
        <v>97</v>
      </c>
      <c r="B74" s="35">
        <f t="shared" ref="B74:B80" si="61">SUM(C74:BF74)</f>
        <v>-36654842.601693325</v>
      </c>
      <c r="C74" s="35">
        <f t="shared" ref="C74:AW74" si="62">C16-C29-C30-C31-C32-C37</f>
        <v>0</v>
      </c>
      <c r="D74" s="86">
        <f t="shared" si="62"/>
        <v>0</v>
      </c>
      <c r="E74" s="86">
        <f t="shared" si="62"/>
        <v>1424628.7434153743</v>
      </c>
      <c r="F74" s="148">
        <f t="shared" si="62"/>
        <v>0</v>
      </c>
      <c r="G74" s="35">
        <f t="shared" si="62"/>
        <v>0</v>
      </c>
      <c r="H74" s="86">
        <f>H16-H29-H30-H31-H32-H37</f>
        <v>-1807065.9535639419</v>
      </c>
      <c r="I74" s="86">
        <f t="shared" si="62"/>
        <v>414531.39038378769</v>
      </c>
      <c r="J74" s="86">
        <f t="shared" si="62"/>
        <v>3532011.4621380032</v>
      </c>
      <c r="K74" s="86">
        <f t="shared" si="62"/>
        <v>0</v>
      </c>
      <c r="L74" s="149">
        <f t="shared" si="62"/>
        <v>0</v>
      </c>
      <c r="M74" s="35">
        <f t="shared" si="62"/>
        <v>0</v>
      </c>
      <c r="N74" s="86">
        <f t="shared" si="62"/>
        <v>0</v>
      </c>
      <c r="O74" s="86">
        <f t="shared" si="62"/>
        <v>0</v>
      </c>
      <c r="P74" s="86">
        <f t="shared" si="62"/>
        <v>0</v>
      </c>
      <c r="Q74" s="86">
        <f t="shared" si="62"/>
        <v>-73178.965199999977</v>
      </c>
      <c r="R74" s="149">
        <f t="shared" si="62"/>
        <v>-4130186.2725003762</v>
      </c>
      <c r="S74" s="35">
        <f t="shared" ref="S74:T74" si="63">S16-S29-S30-S31-S32-S37</f>
        <v>0</v>
      </c>
      <c r="T74" s="86">
        <f t="shared" si="63"/>
        <v>-37128076.544088289</v>
      </c>
      <c r="U74" s="86">
        <f t="shared" si="62"/>
        <v>265774.14632870059</v>
      </c>
      <c r="V74" s="86">
        <f t="shared" ref="V74:W74" si="64">V16-V29-V30-V31-V32-V37</f>
        <v>-114140.83764662949</v>
      </c>
      <c r="W74" s="149">
        <f t="shared" si="64"/>
        <v>-37776</v>
      </c>
      <c r="X74" s="148">
        <f t="shared" si="62"/>
        <v>15604614.261644704</v>
      </c>
      <c r="Y74" s="35">
        <f t="shared" si="62"/>
        <v>0</v>
      </c>
      <c r="Z74" s="86">
        <f t="shared" si="62"/>
        <v>0</v>
      </c>
      <c r="AA74" s="86">
        <f t="shared" si="62"/>
        <v>0</v>
      </c>
      <c r="AB74" s="35">
        <f t="shared" si="62"/>
        <v>0</v>
      </c>
      <c r="AC74" s="149">
        <f t="shared" si="62"/>
        <v>-843808.66439033335</v>
      </c>
      <c r="AD74" s="35">
        <f t="shared" si="62"/>
        <v>0</v>
      </c>
      <c r="AE74" s="86">
        <f t="shared" si="62"/>
        <v>0</v>
      </c>
      <c r="AF74" s="86">
        <f t="shared" si="62"/>
        <v>0</v>
      </c>
      <c r="AG74" s="86">
        <f t="shared" si="62"/>
        <v>0</v>
      </c>
      <c r="AH74" s="86">
        <f t="shared" si="62"/>
        <v>0</v>
      </c>
      <c r="AI74" s="149">
        <f>AI16-AI29-AI30-AI31-AI32-AI37</f>
        <v>0</v>
      </c>
      <c r="AJ74" s="35">
        <f t="shared" si="62"/>
        <v>16672</v>
      </c>
      <c r="AK74" s="86">
        <f t="shared" ref="AK74" si="65">AK16-AK29-AK30-AK31-AK32-AK37</f>
        <v>-232524.95270601709</v>
      </c>
      <c r="AL74" s="35">
        <f t="shared" si="62"/>
        <v>0</v>
      </c>
      <c r="AM74" s="86">
        <f t="shared" si="62"/>
        <v>-7011257.8506784029</v>
      </c>
      <c r="AN74" s="86">
        <f t="shared" si="62"/>
        <v>0</v>
      </c>
      <c r="AO74" s="149">
        <f t="shared" si="62"/>
        <v>0</v>
      </c>
      <c r="AP74" s="35">
        <f t="shared" ref="AP74" si="66">AP16-AP29-AP30-AP31-AP32-AP37</f>
        <v>0</v>
      </c>
      <c r="AQ74" s="86">
        <f t="shared" si="62"/>
        <v>0</v>
      </c>
      <c r="AR74" s="86">
        <f t="shared" si="62"/>
        <v>0</v>
      </c>
      <c r="AS74" s="86">
        <f t="shared" si="62"/>
        <v>0</v>
      </c>
      <c r="AT74" s="86">
        <f t="shared" si="62"/>
        <v>0</v>
      </c>
      <c r="AU74" s="149">
        <f t="shared" si="62"/>
        <v>-76196.730051437393</v>
      </c>
      <c r="AV74" s="35">
        <f t="shared" si="62"/>
        <v>-228855.87557069294</v>
      </c>
      <c r="AW74" s="149">
        <f t="shared" si="62"/>
        <v>-646845.05196292081</v>
      </c>
      <c r="AX74" s="148">
        <f t="shared" ref="AX74:BF74" si="67">AX16-AX29-AX30-AX31-AX32-AX37</f>
        <v>-1108014.9153842642</v>
      </c>
      <c r="AY74" s="35">
        <f t="shared" si="67"/>
        <v>0</v>
      </c>
      <c r="AZ74" s="86">
        <f>AZ16-AZ29-AZ30-AZ31-AZ32-AZ37</f>
        <v>-418474.67101061583</v>
      </c>
      <c r="BA74" s="149">
        <f t="shared" si="67"/>
        <v>0</v>
      </c>
      <c r="BB74" s="35">
        <f t="shared" si="67"/>
        <v>0</v>
      </c>
      <c r="BC74" s="86">
        <f t="shared" si="67"/>
        <v>-2952540.8917818591</v>
      </c>
      <c r="BD74" s="86">
        <f t="shared" si="67"/>
        <v>-46519.892542761663</v>
      </c>
      <c r="BE74" s="86">
        <f t="shared" si="67"/>
        <v>-36782.493716064644</v>
      </c>
      <c r="BF74" s="149">
        <f t="shared" si="67"/>
        <v>-1020828.0428092993</v>
      </c>
    </row>
    <row r="75" spans="1:58" x14ac:dyDescent="0.2">
      <c r="A75" s="14" t="s">
        <v>98</v>
      </c>
      <c r="B75" s="35">
        <f t="shared" si="61"/>
        <v>0</v>
      </c>
      <c r="C75" s="27"/>
      <c r="D75" s="12"/>
      <c r="E75" s="12"/>
      <c r="F75" s="69"/>
      <c r="G75" s="27"/>
      <c r="H75" s="12"/>
      <c r="I75" s="12"/>
      <c r="J75" s="12"/>
      <c r="K75" s="12"/>
      <c r="L75" s="68"/>
      <c r="M75" s="27"/>
      <c r="N75" s="12"/>
      <c r="O75" s="12"/>
      <c r="P75" s="12"/>
      <c r="Q75" s="12"/>
      <c r="R75" s="68"/>
      <c r="S75" s="27"/>
      <c r="T75" s="12"/>
      <c r="U75" s="12"/>
      <c r="V75" s="12"/>
      <c r="W75" s="68"/>
      <c r="X75" s="69"/>
      <c r="Y75" s="27"/>
      <c r="Z75" s="12"/>
      <c r="AA75" s="12"/>
      <c r="AB75" s="27"/>
      <c r="AC75" s="68"/>
      <c r="AD75" s="27"/>
      <c r="AE75" s="12"/>
      <c r="AF75" s="12"/>
      <c r="AG75" s="12"/>
      <c r="AH75" s="12"/>
      <c r="AI75" s="68"/>
      <c r="AJ75" s="27"/>
      <c r="AK75" s="12"/>
      <c r="AL75" s="27"/>
      <c r="AM75" s="12"/>
      <c r="AN75" s="12"/>
      <c r="AO75" s="68"/>
      <c r="AP75" s="27"/>
      <c r="AQ75" s="12"/>
      <c r="AR75" s="12"/>
      <c r="AS75" s="12"/>
      <c r="AT75" s="12"/>
      <c r="AU75" s="68"/>
      <c r="AV75" s="27"/>
      <c r="AW75" s="68"/>
      <c r="AX75" s="69"/>
      <c r="AY75" s="27"/>
      <c r="AZ75" s="12"/>
      <c r="BA75" s="68"/>
      <c r="BB75" s="27"/>
      <c r="BC75" s="12"/>
      <c r="BD75" s="12"/>
      <c r="BE75" s="12"/>
      <c r="BF75" s="68"/>
    </row>
    <row r="76" spans="1:58" x14ac:dyDescent="0.2">
      <c r="A76" s="14" t="s">
        <v>99</v>
      </c>
      <c r="B76" s="35">
        <f t="shared" si="61"/>
        <v>0</v>
      </c>
      <c r="C76" s="28"/>
      <c r="D76" s="70"/>
      <c r="E76" s="70"/>
      <c r="F76" s="80"/>
      <c r="G76" s="28"/>
      <c r="H76" s="70"/>
      <c r="I76" s="70"/>
      <c r="J76" s="70"/>
      <c r="K76" s="70"/>
      <c r="L76" s="71"/>
      <c r="M76" s="28"/>
      <c r="N76" s="70"/>
      <c r="O76" s="70"/>
      <c r="P76" s="70"/>
      <c r="Q76" s="70"/>
      <c r="R76" s="71"/>
      <c r="S76" s="28"/>
      <c r="T76" s="70"/>
      <c r="U76" s="70"/>
      <c r="V76" s="70"/>
      <c r="W76" s="71"/>
      <c r="X76" s="80"/>
      <c r="Y76" s="28"/>
      <c r="Z76" s="70"/>
      <c r="AA76" s="70"/>
      <c r="AB76" s="28"/>
      <c r="AC76" s="71"/>
      <c r="AD76" s="28"/>
      <c r="AE76" s="70"/>
      <c r="AF76" s="70"/>
      <c r="AG76" s="70"/>
      <c r="AH76" s="70"/>
      <c r="AI76" s="71"/>
      <c r="AJ76" s="28"/>
      <c r="AK76" s="70"/>
      <c r="AL76" s="28"/>
      <c r="AM76" s="70"/>
      <c r="AN76" s="70"/>
      <c r="AO76" s="71"/>
      <c r="AP76" s="28"/>
      <c r="AQ76" s="70"/>
      <c r="AR76" s="70"/>
      <c r="AS76" s="70"/>
      <c r="AT76" s="70"/>
      <c r="AU76" s="71"/>
      <c r="AV76" s="28"/>
      <c r="AW76" s="71"/>
      <c r="AX76" s="80"/>
      <c r="AY76" s="28"/>
      <c r="AZ76" s="70"/>
      <c r="BA76" s="71"/>
      <c r="BB76" s="28"/>
      <c r="BC76" s="70"/>
      <c r="BD76" s="70"/>
      <c r="BE76" s="70"/>
      <c r="BF76" s="71"/>
    </row>
    <row r="77" spans="1:58" x14ac:dyDescent="0.2">
      <c r="A77" s="14" t="s">
        <v>100</v>
      </c>
      <c r="B77" s="35">
        <f t="shared" si="61"/>
        <v>2629899.8456919454</v>
      </c>
      <c r="C77" s="28"/>
      <c r="D77" s="70"/>
      <c r="E77" s="70"/>
      <c r="F77" s="80"/>
      <c r="G77" s="28"/>
      <c r="H77" s="70"/>
      <c r="I77" s="70"/>
      <c r="J77" s="70"/>
      <c r="K77" s="70"/>
      <c r="L77" s="71"/>
      <c r="M77" s="28"/>
      <c r="N77" s="70"/>
      <c r="O77" s="70"/>
      <c r="P77" s="70"/>
      <c r="Q77" s="70"/>
      <c r="R77" s="71"/>
      <c r="S77" s="28"/>
      <c r="T77" s="70"/>
      <c r="U77" s="70"/>
      <c r="V77" s="70"/>
      <c r="W77" s="71"/>
      <c r="X77" s="80"/>
      <c r="Y77" s="28"/>
      <c r="Z77" s="70"/>
      <c r="AA77" s="70"/>
      <c r="AB77" s="28">
        <f>'Interest Calc'!C26</f>
        <v>2629899.8456919454</v>
      </c>
      <c r="AC77" s="71"/>
      <c r="AD77" s="28"/>
      <c r="AE77" s="70"/>
      <c r="AF77" s="70"/>
      <c r="AG77" s="70"/>
      <c r="AH77" s="70"/>
      <c r="AI77" s="71"/>
      <c r="AJ77" s="28"/>
      <c r="AK77" s="70"/>
      <c r="AL77" s="28"/>
      <c r="AM77" s="70"/>
      <c r="AN77" s="70"/>
      <c r="AO77" s="71"/>
      <c r="AP77" s="28"/>
      <c r="AQ77" s="70"/>
      <c r="AR77" s="70"/>
      <c r="AS77" s="70"/>
      <c r="AT77" s="70"/>
      <c r="AU77" s="71"/>
      <c r="AV77" s="28"/>
      <c r="AW77" s="71"/>
      <c r="AX77" s="80"/>
      <c r="AY77" s="28"/>
      <c r="AZ77" s="70"/>
      <c r="BA77" s="71"/>
      <c r="BB77" s="28"/>
      <c r="BC77" s="70"/>
      <c r="BD77" s="70"/>
      <c r="BE77" s="70"/>
      <c r="BF77" s="71"/>
    </row>
    <row r="78" spans="1:58" x14ac:dyDescent="0.2">
      <c r="A78" s="14" t="s">
        <v>101</v>
      </c>
      <c r="B78" s="35">
        <f t="shared" si="61"/>
        <v>25893346.240085904</v>
      </c>
      <c r="C78" s="28"/>
      <c r="D78" s="70"/>
      <c r="E78" s="70"/>
      <c r="F78" s="80"/>
      <c r="G78" s="28"/>
      <c r="H78" s="70"/>
      <c r="I78" s="70"/>
      <c r="J78" s="70"/>
      <c r="K78" s="70"/>
      <c r="L78" s="71"/>
      <c r="M78" s="28"/>
      <c r="N78" s="70"/>
      <c r="O78" s="70"/>
      <c r="P78" s="70"/>
      <c r="Q78" s="70"/>
      <c r="R78" s="71"/>
      <c r="S78" s="28"/>
      <c r="T78" s="70"/>
      <c r="U78" s="70"/>
      <c r="V78" s="70"/>
      <c r="W78" s="71"/>
      <c r="X78" s="80"/>
      <c r="Y78" s="28"/>
      <c r="Z78" s="70"/>
      <c r="AA78" s="70"/>
      <c r="AB78" s="28"/>
      <c r="AC78" s="71"/>
      <c r="AD78" s="28"/>
      <c r="AE78" s="70">
        <f>SUM('[29]7.4'!$I$21:$I$26,'[29]7.4.1'!$I$10:$I$12)</f>
        <v>5729240.0773761515</v>
      </c>
      <c r="AF78" s="70">
        <f>SUM('[28]7.5'!$I$11:$I$12)</f>
        <v>-1400.0989234134249</v>
      </c>
      <c r="AG78" s="70"/>
      <c r="AH78" s="70"/>
      <c r="AI78" s="71"/>
      <c r="AJ78" s="28"/>
      <c r="AK78" s="70"/>
      <c r="AL78" s="28"/>
      <c r="AM78" s="70">
        <f>'[18]8.2'!$I$21</f>
        <v>17418111</v>
      </c>
      <c r="AN78" s="70"/>
      <c r="AO78" s="71">
        <f>'[16]8.4.1'!$J$33</f>
        <v>-364644.74643903616</v>
      </c>
      <c r="AP78" s="28"/>
      <c r="AQ78" s="70"/>
      <c r="AR78" s="70"/>
      <c r="AS78" s="70"/>
      <c r="AT78" s="70"/>
      <c r="AU78" s="71">
        <f>'[23]8.10'!$I$22</f>
        <v>76196.730051437393</v>
      </c>
      <c r="AV78" s="28"/>
      <c r="AW78" s="71"/>
      <c r="AX78" s="80"/>
      <c r="AY78" s="28"/>
      <c r="AZ78" s="70"/>
      <c r="BA78" s="71"/>
      <c r="BB78" s="28"/>
      <c r="BC78" s="70">
        <f>SUM('[7]10.5'!$I$16:$I$17)</f>
        <v>2952540.8917818591</v>
      </c>
      <c r="BD78" s="70">
        <f>SUM('[8]10.6'!$I$15:$I$17)</f>
        <v>46519.892542761663</v>
      </c>
      <c r="BE78" s="70">
        <f>'[9]10.7'!$I$29</f>
        <v>36782.493696145204</v>
      </c>
      <c r="BF78" s="71"/>
    </row>
    <row r="79" spans="1:58" x14ac:dyDescent="0.2">
      <c r="A79" s="14" t="s">
        <v>102</v>
      </c>
      <c r="B79" s="35">
        <f t="shared" si="61"/>
        <v>4659710.6852754867</v>
      </c>
      <c r="C79" s="87"/>
      <c r="D79" s="78"/>
      <c r="E79" s="78"/>
      <c r="F79" s="261"/>
      <c r="G79" s="87"/>
      <c r="H79" s="78"/>
      <c r="I79" s="78"/>
      <c r="J79" s="78"/>
      <c r="K79" s="78"/>
      <c r="L79" s="88"/>
      <c r="M79" s="87"/>
      <c r="N79" s="78"/>
      <c r="O79" s="78"/>
      <c r="P79" s="78"/>
      <c r="Q79" s="78"/>
      <c r="R79" s="88"/>
      <c r="S79" s="87"/>
      <c r="T79" s="78"/>
      <c r="U79" s="78"/>
      <c r="V79" s="78"/>
      <c r="W79" s="88"/>
      <c r="X79" s="261"/>
      <c r="Y79" s="87"/>
      <c r="Z79" s="78"/>
      <c r="AA79" s="78"/>
      <c r="AB79" s="87"/>
      <c r="AC79" s="88"/>
      <c r="AD79" s="87"/>
      <c r="AE79" s="78">
        <f>SUM('[29]7.4'!$I$27:$I$31,'[29]7.4.1'!$I$14:$I$16)</f>
        <v>9621089.1045668498</v>
      </c>
      <c r="AF79" s="78">
        <f>SUM('[28]7.5'!$I$16:$I$17)</f>
        <v>-1347050.6677747429</v>
      </c>
      <c r="AG79" s="78"/>
      <c r="AH79" s="78"/>
      <c r="AI79" s="88"/>
      <c r="AJ79" s="87"/>
      <c r="AK79" s="78"/>
      <c r="AL79" s="87"/>
      <c r="AM79" s="78">
        <f>'[18]8.2'!$I$25</f>
        <v>-1538649.2900000005</v>
      </c>
      <c r="AN79" s="78"/>
      <c r="AO79" s="88">
        <f>'[16]8.4.1'!$J$37</f>
        <v>-2597673.2248429107</v>
      </c>
      <c r="AP79" s="87"/>
      <c r="AQ79" s="78"/>
      <c r="AR79" s="78"/>
      <c r="AS79" s="78"/>
      <c r="AT79" s="78"/>
      <c r="AU79" s="88"/>
      <c r="AV79" s="87"/>
      <c r="AW79" s="88"/>
      <c r="AX79" s="261"/>
      <c r="AY79" s="87"/>
      <c r="AZ79" s="78"/>
      <c r="BA79" s="88"/>
      <c r="BB79" s="87"/>
      <c r="BC79" s="78"/>
      <c r="BD79" s="78">
        <f>SUM('[8]10.6'!$I$30,'[8]10.6'!$I$36,'[8]10.6'!$I$42)</f>
        <v>292054.70207093953</v>
      </c>
      <c r="BE79" s="78">
        <f>'[9]10.7'!$I$30</f>
        <v>229940.06125535205</v>
      </c>
      <c r="BF79" s="88"/>
    </row>
    <row r="80" spans="1:58" x14ac:dyDescent="0.2">
      <c r="A80" s="14" t="s">
        <v>103</v>
      </c>
      <c r="B80" s="255">
        <f t="shared" si="61"/>
        <v>-18051106.89257485</v>
      </c>
      <c r="C80" s="153">
        <f t="shared" ref="C80:AW80" si="68">C74-C76-C77+C78-C79</f>
        <v>0</v>
      </c>
      <c r="D80" s="13">
        <f t="shared" si="68"/>
        <v>0</v>
      </c>
      <c r="E80" s="13">
        <f t="shared" si="68"/>
        <v>1424628.7434153743</v>
      </c>
      <c r="F80" s="262">
        <f t="shared" si="68"/>
        <v>0</v>
      </c>
      <c r="G80" s="153">
        <f t="shared" si="68"/>
        <v>0</v>
      </c>
      <c r="H80" s="13">
        <f t="shared" si="68"/>
        <v>-1807065.9535639419</v>
      </c>
      <c r="I80" s="13">
        <f t="shared" si="68"/>
        <v>414531.39038378769</v>
      </c>
      <c r="J80" s="13">
        <f t="shared" si="68"/>
        <v>3532011.4621380032</v>
      </c>
      <c r="K80" s="13">
        <f t="shared" si="68"/>
        <v>0</v>
      </c>
      <c r="L80" s="154">
        <f t="shared" si="68"/>
        <v>0</v>
      </c>
      <c r="M80" s="153">
        <f t="shared" si="68"/>
        <v>0</v>
      </c>
      <c r="N80" s="13">
        <f t="shared" si="68"/>
        <v>0</v>
      </c>
      <c r="O80" s="13">
        <f t="shared" si="68"/>
        <v>0</v>
      </c>
      <c r="P80" s="13">
        <f t="shared" si="68"/>
        <v>0</v>
      </c>
      <c r="Q80" s="13">
        <f t="shared" si="68"/>
        <v>-73178.965199999977</v>
      </c>
      <c r="R80" s="154">
        <f t="shared" si="68"/>
        <v>-4130186.2725003762</v>
      </c>
      <c r="S80" s="153">
        <f t="shared" ref="S80:T80" si="69">S74-S76-S77+S78-S79</f>
        <v>0</v>
      </c>
      <c r="T80" s="13">
        <f t="shared" si="69"/>
        <v>-37128076.544088289</v>
      </c>
      <c r="U80" s="13">
        <f t="shared" si="68"/>
        <v>265774.14632870059</v>
      </c>
      <c r="V80" s="13">
        <f t="shared" ref="V80:W80" si="70">V74-V76-V77+V78-V79</f>
        <v>-114140.83764662949</v>
      </c>
      <c r="W80" s="154">
        <f t="shared" si="70"/>
        <v>-37776</v>
      </c>
      <c r="X80" s="262">
        <f t="shared" si="68"/>
        <v>15604614.261644704</v>
      </c>
      <c r="Y80" s="153">
        <f t="shared" si="68"/>
        <v>0</v>
      </c>
      <c r="Z80" s="13">
        <f t="shared" si="68"/>
        <v>0</v>
      </c>
      <c r="AA80" s="13">
        <f t="shared" si="68"/>
        <v>0</v>
      </c>
      <c r="AB80" s="153">
        <f t="shared" si="68"/>
        <v>-2629899.8456919454</v>
      </c>
      <c r="AC80" s="154">
        <f t="shared" si="68"/>
        <v>-843808.66439033335</v>
      </c>
      <c r="AD80" s="153">
        <f t="shared" si="68"/>
        <v>0</v>
      </c>
      <c r="AE80" s="13">
        <f t="shared" si="68"/>
        <v>-3891849.0271906983</v>
      </c>
      <c r="AF80" s="13">
        <f t="shared" si="68"/>
        <v>1345650.5688513296</v>
      </c>
      <c r="AG80" s="13">
        <f t="shared" si="68"/>
        <v>0</v>
      </c>
      <c r="AH80" s="13">
        <f t="shared" si="68"/>
        <v>0</v>
      </c>
      <c r="AI80" s="154">
        <f>AI74-AI76-AI77+AI78-AI79</f>
        <v>0</v>
      </c>
      <c r="AJ80" s="153">
        <f t="shared" si="68"/>
        <v>16672</v>
      </c>
      <c r="AK80" s="13">
        <f t="shared" ref="AK80" si="71">AK74-AK76-AK77+AK78-AK79</f>
        <v>-232524.95270601709</v>
      </c>
      <c r="AL80" s="153">
        <f t="shared" si="68"/>
        <v>0</v>
      </c>
      <c r="AM80" s="13">
        <f t="shared" si="68"/>
        <v>11945502.439321598</v>
      </c>
      <c r="AN80" s="13">
        <f t="shared" si="68"/>
        <v>0</v>
      </c>
      <c r="AO80" s="154">
        <f t="shared" si="68"/>
        <v>2233028.4784038747</v>
      </c>
      <c r="AP80" s="153">
        <f t="shared" ref="AP80" si="72">AP74-AP76-AP77+AP78-AP79</f>
        <v>0</v>
      </c>
      <c r="AQ80" s="13">
        <f t="shared" si="68"/>
        <v>0</v>
      </c>
      <c r="AR80" s="13">
        <f t="shared" si="68"/>
        <v>0</v>
      </c>
      <c r="AS80" s="13">
        <f t="shared" si="68"/>
        <v>0</v>
      </c>
      <c r="AT80" s="13">
        <f t="shared" si="68"/>
        <v>0</v>
      </c>
      <c r="AU80" s="154">
        <f t="shared" si="68"/>
        <v>0</v>
      </c>
      <c r="AV80" s="153">
        <f t="shared" si="68"/>
        <v>-228855.87557069294</v>
      </c>
      <c r="AW80" s="154">
        <f t="shared" si="68"/>
        <v>-646845.05196292081</v>
      </c>
      <c r="AX80" s="262">
        <f t="shared" ref="AX80:BF80" si="73">AX74-AX76-AX77+AX78-AX79</f>
        <v>-1108014.9153842642</v>
      </c>
      <c r="AY80" s="153">
        <f t="shared" si="73"/>
        <v>0</v>
      </c>
      <c r="AZ80" s="13">
        <f t="shared" si="73"/>
        <v>-418474.67101061583</v>
      </c>
      <c r="BA80" s="154">
        <f t="shared" si="73"/>
        <v>0</v>
      </c>
      <c r="BB80" s="153">
        <f t="shared" si="73"/>
        <v>0</v>
      </c>
      <c r="BC80" s="13">
        <f t="shared" si="73"/>
        <v>0</v>
      </c>
      <c r="BD80" s="13">
        <f t="shared" si="73"/>
        <v>-292054.70207093953</v>
      </c>
      <c r="BE80" s="13">
        <f t="shared" si="73"/>
        <v>-229940.0612752715</v>
      </c>
      <c r="BF80" s="154">
        <f t="shared" si="73"/>
        <v>-1020828.0428092993</v>
      </c>
    </row>
    <row r="81" spans="1:58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68"/>
      <c r="AX81" s="69"/>
      <c r="AY81" s="27"/>
      <c r="AZ81" s="12"/>
      <c r="BA81" s="68"/>
      <c r="BB81" s="27"/>
      <c r="BC81" s="12"/>
      <c r="BD81" s="12"/>
      <c r="BE81" s="12"/>
      <c r="BF81" s="68"/>
    </row>
    <row r="82" spans="1:58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68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</row>
    <row r="83" spans="1:58" x14ac:dyDescent="0.2">
      <c r="A83" s="14" t="s">
        <v>105</v>
      </c>
      <c r="B83" s="36">
        <f>SUM(C83:BF83)</f>
        <v>-18051106.89257485</v>
      </c>
      <c r="C83" s="27">
        <f>C80-C82</f>
        <v>0</v>
      </c>
      <c r="D83" s="12">
        <f t="shared" ref="D83:AW83" si="74">D80-D82</f>
        <v>0</v>
      </c>
      <c r="E83" s="12">
        <f t="shared" si="74"/>
        <v>1424628.7434153743</v>
      </c>
      <c r="F83" s="69">
        <f t="shared" si="74"/>
        <v>0</v>
      </c>
      <c r="G83" s="27">
        <f t="shared" si="74"/>
        <v>0</v>
      </c>
      <c r="H83" s="12">
        <f t="shared" si="74"/>
        <v>-1807065.9535639419</v>
      </c>
      <c r="I83" s="12">
        <f t="shared" si="74"/>
        <v>414531.39038378769</v>
      </c>
      <c r="J83" s="12">
        <f t="shared" si="74"/>
        <v>3532011.4621380032</v>
      </c>
      <c r="K83" s="12">
        <f t="shared" si="74"/>
        <v>0</v>
      </c>
      <c r="L83" s="68">
        <f t="shared" si="74"/>
        <v>0</v>
      </c>
      <c r="M83" s="27">
        <f t="shared" si="74"/>
        <v>0</v>
      </c>
      <c r="N83" s="12">
        <f t="shared" si="74"/>
        <v>0</v>
      </c>
      <c r="O83" s="12">
        <f t="shared" si="74"/>
        <v>0</v>
      </c>
      <c r="P83" s="12">
        <f t="shared" si="74"/>
        <v>0</v>
      </c>
      <c r="Q83" s="12">
        <f t="shared" si="74"/>
        <v>-73178.965199999977</v>
      </c>
      <c r="R83" s="68">
        <f t="shared" si="74"/>
        <v>-4130186.2725003762</v>
      </c>
      <c r="S83" s="27">
        <f t="shared" ref="S83:T83" si="75">S80-S82</f>
        <v>0</v>
      </c>
      <c r="T83" s="12">
        <f t="shared" si="75"/>
        <v>-37128076.544088289</v>
      </c>
      <c r="U83" s="12">
        <f t="shared" si="74"/>
        <v>265774.14632870059</v>
      </c>
      <c r="V83" s="12">
        <f t="shared" ref="V83:W83" si="76">V80-V82</f>
        <v>-114140.83764662949</v>
      </c>
      <c r="W83" s="68">
        <f t="shared" si="76"/>
        <v>-37776</v>
      </c>
      <c r="X83" s="69">
        <f t="shared" si="74"/>
        <v>15604614.261644704</v>
      </c>
      <c r="Y83" s="27">
        <f t="shared" si="74"/>
        <v>0</v>
      </c>
      <c r="Z83" s="12">
        <f t="shared" si="74"/>
        <v>0</v>
      </c>
      <c r="AA83" s="12">
        <f t="shared" si="74"/>
        <v>0</v>
      </c>
      <c r="AB83" s="27">
        <f t="shared" si="74"/>
        <v>-2629899.8456919454</v>
      </c>
      <c r="AC83" s="68">
        <f t="shared" si="74"/>
        <v>-843808.66439033335</v>
      </c>
      <c r="AD83" s="27">
        <f t="shared" si="74"/>
        <v>0</v>
      </c>
      <c r="AE83" s="12">
        <f t="shared" si="74"/>
        <v>-3891849.0271906983</v>
      </c>
      <c r="AF83" s="12">
        <f t="shared" si="74"/>
        <v>1345650.5688513296</v>
      </c>
      <c r="AG83" s="12">
        <f t="shared" si="74"/>
        <v>0</v>
      </c>
      <c r="AH83" s="12">
        <f t="shared" si="74"/>
        <v>0</v>
      </c>
      <c r="AI83" s="68">
        <f>AI80-AI82</f>
        <v>0</v>
      </c>
      <c r="AJ83" s="27">
        <f t="shared" si="74"/>
        <v>16672</v>
      </c>
      <c r="AK83" s="12">
        <f t="shared" ref="AK83" si="77">AK80-AK82</f>
        <v>-232524.95270601709</v>
      </c>
      <c r="AL83" s="27">
        <f t="shared" si="74"/>
        <v>0</v>
      </c>
      <c r="AM83" s="12">
        <f t="shared" si="74"/>
        <v>11945502.439321598</v>
      </c>
      <c r="AN83" s="12">
        <f t="shared" si="74"/>
        <v>0</v>
      </c>
      <c r="AO83" s="68">
        <f t="shared" si="74"/>
        <v>2233028.4784038747</v>
      </c>
      <c r="AP83" s="27">
        <f t="shared" ref="AP83" si="78">AP80-AP82</f>
        <v>0</v>
      </c>
      <c r="AQ83" s="12">
        <f t="shared" si="74"/>
        <v>0</v>
      </c>
      <c r="AR83" s="12">
        <f t="shared" si="74"/>
        <v>0</v>
      </c>
      <c r="AS83" s="12">
        <f t="shared" si="74"/>
        <v>0</v>
      </c>
      <c r="AT83" s="12">
        <f t="shared" si="74"/>
        <v>0</v>
      </c>
      <c r="AU83" s="68">
        <f t="shared" si="74"/>
        <v>0</v>
      </c>
      <c r="AV83" s="27">
        <f t="shared" si="74"/>
        <v>-228855.87557069294</v>
      </c>
      <c r="AW83" s="68">
        <f t="shared" si="74"/>
        <v>-646845.05196292081</v>
      </c>
      <c r="AX83" s="69">
        <f t="shared" ref="AX83:BA83" si="79">AX80-AX82</f>
        <v>-1108014.9153842642</v>
      </c>
      <c r="AY83" s="27">
        <f t="shared" si="79"/>
        <v>0</v>
      </c>
      <c r="AZ83" s="12">
        <f t="shared" si="79"/>
        <v>-418474.67101061583</v>
      </c>
      <c r="BA83" s="68">
        <f t="shared" si="79"/>
        <v>0</v>
      </c>
      <c r="BB83" s="27">
        <f t="shared" ref="BB83:BF83" si="80">BB80-BB82</f>
        <v>0</v>
      </c>
      <c r="BC83" s="12">
        <f t="shared" si="80"/>
        <v>0</v>
      </c>
      <c r="BD83" s="12">
        <f t="shared" si="80"/>
        <v>-292054.70207093953</v>
      </c>
      <c r="BE83" s="12">
        <f t="shared" si="80"/>
        <v>-229940.0612752715</v>
      </c>
      <c r="BF83" s="68">
        <f t="shared" si="80"/>
        <v>-1020828.0428092993</v>
      </c>
    </row>
    <row r="84" spans="1:58" x14ac:dyDescent="0.2">
      <c r="A84" s="14"/>
      <c r="B84" s="36"/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68"/>
      <c r="AX84" s="69"/>
      <c r="AY84" s="27"/>
      <c r="AZ84" s="12"/>
      <c r="BA84" s="68"/>
      <c r="BB84" s="27"/>
      <c r="BC84" s="12"/>
      <c r="BD84" s="12"/>
      <c r="BE84" s="12"/>
      <c r="BF84" s="68"/>
    </row>
    <row r="85" spans="1:58" x14ac:dyDescent="0.2">
      <c r="A85" s="14" t="s">
        <v>129</v>
      </c>
      <c r="B85" s="36">
        <f>SUM(C85:BF85)</f>
        <v>-3790732.4474407202</v>
      </c>
      <c r="C85" s="27">
        <f>C83*0.21</f>
        <v>0</v>
      </c>
      <c r="D85" s="12">
        <f t="shared" ref="D85:AW85" si="81">D83*0.21</f>
        <v>0</v>
      </c>
      <c r="E85" s="12">
        <f t="shared" si="81"/>
        <v>299172.03611722862</v>
      </c>
      <c r="F85" s="69">
        <f t="shared" si="81"/>
        <v>0</v>
      </c>
      <c r="G85" s="27">
        <f t="shared" si="81"/>
        <v>0</v>
      </c>
      <c r="H85" s="12">
        <f t="shared" si="81"/>
        <v>-379483.85024842777</v>
      </c>
      <c r="I85" s="12">
        <f t="shared" si="81"/>
        <v>87051.591980595404</v>
      </c>
      <c r="J85" s="12">
        <f t="shared" si="81"/>
        <v>741722.40704898059</v>
      </c>
      <c r="K85" s="12">
        <f t="shared" si="81"/>
        <v>0</v>
      </c>
      <c r="L85" s="68">
        <f t="shared" si="81"/>
        <v>0</v>
      </c>
      <c r="M85" s="27">
        <f t="shared" si="81"/>
        <v>0</v>
      </c>
      <c r="N85" s="12">
        <f t="shared" si="81"/>
        <v>0</v>
      </c>
      <c r="O85" s="12">
        <f t="shared" si="81"/>
        <v>0</v>
      </c>
      <c r="P85" s="12">
        <f t="shared" si="81"/>
        <v>0</v>
      </c>
      <c r="Q85" s="12">
        <f t="shared" si="81"/>
        <v>-15367.582691999994</v>
      </c>
      <c r="R85" s="68">
        <f t="shared" si="81"/>
        <v>-867339.11722507898</v>
      </c>
      <c r="S85" s="27">
        <f t="shared" ref="S85:T85" si="82">S83*0.21</f>
        <v>0</v>
      </c>
      <c r="T85" s="12">
        <f t="shared" si="82"/>
        <v>-7796896.0742585408</v>
      </c>
      <c r="U85" s="12">
        <f t="shared" si="81"/>
        <v>55812.570729027124</v>
      </c>
      <c r="V85" s="12">
        <f t="shared" ref="V85:W85" si="83">V83*0.21</f>
        <v>-23969.57590579219</v>
      </c>
      <c r="W85" s="68">
        <f t="shared" si="83"/>
        <v>-7932.96</v>
      </c>
      <c r="X85" s="69">
        <f t="shared" si="81"/>
        <v>3276968.9949453878</v>
      </c>
      <c r="Y85" s="27">
        <f t="shared" si="81"/>
        <v>0</v>
      </c>
      <c r="Z85" s="12">
        <f t="shared" si="81"/>
        <v>0</v>
      </c>
      <c r="AA85" s="12">
        <f t="shared" si="81"/>
        <v>0</v>
      </c>
      <c r="AB85" s="27">
        <f t="shared" si="81"/>
        <v>-552278.96759530855</v>
      </c>
      <c r="AC85" s="68">
        <f t="shared" si="81"/>
        <v>-177199.81952197</v>
      </c>
      <c r="AD85" s="27">
        <f t="shared" si="81"/>
        <v>0</v>
      </c>
      <c r="AE85" s="12">
        <f t="shared" si="81"/>
        <v>-817288.29571004666</v>
      </c>
      <c r="AF85" s="12">
        <f t="shared" si="81"/>
        <v>282586.61945877923</v>
      </c>
      <c r="AG85" s="12">
        <f t="shared" si="81"/>
        <v>0</v>
      </c>
      <c r="AH85" s="12">
        <f t="shared" si="81"/>
        <v>0</v>
      </c>
      <c r="AI85" s="68">
        <f>AI83*0.21</f>
        <v>0</v>
      </c>
      <c r="AJ85" s="27">
        <f t="shared" si="81"/>
        <v>3501.12</v>
      </c>
      <c r="AK85" s="12">
        <f t="shared" ref="AK85" si="84">AK83*0.21</f>
        <v>-48830.240068263585</v>
      </c>
      <c r="AL85" s="27">
        <f t="shared" si="81"/>
        <v>0</v>
      </c>
      <c r="AM85" s="12">
        <f t="shared" si="81"/>
        <v>2508555.5122575355</v>
      </c>
      <c r="AN85" s="12">
        <f t="shared" si="81"/>
        <v>0</v>
      </c>
      <c r="AO85" s="68">
        <f t="shared" si="81"/>
        <v>468935.98046481365</v>
      </c>
      <c r="AP85" s="27">
        <f t="shared" si="81"/>
        <v>0</v>
      </c>
      <c r="AQ85" s="12">
        <f t="shared" si="81"/>
        <v>0</v>
      </c>
      <c r="AR85" s="12">
        <f t="shared" si="81"/>
        <v>0</v>
      </c>
      <c r="AS85" s="12">
        <f t="shared" si="81"/>
        <v>0</v>
      </c>
      <c r="AT85" s="12">
        <f t="shared" si="81"/>
        <v>0</v>
      </c>
      <c r="AU85" s="68">
        <f t="shared" si="81"/>
        <v>0</v>
      </c>
      <c r="AV85" s="27">
        <f t="shared" si="81"/>
        <v>-48059.733869845513</v>
      </c>
      <c r="AW85" s="68">
        <f t="shared" si="81"/>
        <v>-135837.46091221337</v>
      </c>
      <c r="AX85" s="69">
        <f t="shared" ref="AX85:BA85" si="85">AX83*0.21</f>
        <v>-232683.13223069548</v>
      </c>
      <c r="AY85" s="27">
        <f t="shared" si="85"/>
        <v>0</v>
      </c>
      <c r="AZ85" s="12">
        <f t="shared" si="85"/>
        <v>-87879.68091222932</v>
      </c>
      <c r="BA85" s="68">
        <f t="shared" si="85"/>
        <v>0</v>
      </c>
      <c r="BB85" s="27">
        <f t="shared" ref="BB85:BF85" si="86">BB83*0.21</f>
        <v>0</v>
      </c>
      <c r="BC85" s="12">
        <f t="shared" si="86"/>
        <v>0</v>
      </c>
      <c r="BD85" s="12">
        <f t="shared" si="86"/>
        <v>-61331.487434897295</v>
      </c>
      <c r="BE85" s="12">
        <f t="shared" si="86"/>
        <v>-48287.412867807012</v>
      </c>
      <c r="BF85" s="68">
        <f t="shared" si="86"/>
        <v>-214373.88898995286</v>
      </c>
    </row>
    <row r="86" spans="1:58" x14ac:dyDescent="0.2">
      <c r="A86" s="14" t="s">
        <v>297</v>
      </c>
      <c r="B86" s="36">
        <f>SUM(C86:BF86)</f>
        <v>-16992928.004947588</v>
      </c>
      <c r="C86" s="27"/>
      <c r="D86" s="12"/>
      <c r="E86" s="12"/>
      <c r="F86" s="69"/>
      <c r="G86" s="27"/>
      <c r="H86" s="12"/>
      <c r="I86" s="12"/>
      <c r="J86" s="12"/>
      <c r="K86" s="12"/>
      <c r="L86" s="68"/>
      <c r="M86" s="27"/>
      <c r="N86" s="12"/>
      <c r="O86" s="12"/>
      <c r="P86" s="12"/>
      <c r="Q86" s="12"/>
      <c r="R86" s="68"/>
      <c r="S86" s="27"/>
      <c r="T86" s="12"/>
      <c r="U86" s="12"/>
      <c r="V86" s="12"/>
      <c r="W86" s="68"/>
      <c r="X86" s="69"/>
      <c r="Y86" s="27"/>
      <c r="Z86" s="12"/>
      <c r="AA86" s="12"/>
      <c r="AB86" s="27"/>
      <c r="AC86" s="68"/>
      <c r="AD86" s="27">
        <f>'[30]7.3'!$I$14</f>
        <v>-16979716.477699727</v>
      </c>
      <c r="AE86" s="12"/>
      <c r="AF86" s="12">
        <f>SUM('[28]7.5'!$I$19:$I$20)</f>
        <v>19448.884243294335</v>
      </c>
      <c r="AG86" s="12"/>
      <c r="AH86" s="12"/>
      <c r="AI86" s="68"/>
      <c r="AJ86" s="27"/>
      <c r="AK86" s="12"/>
      <c r="AL86" s="27"/>
      <c r="AM86" s="12"/>
      <c r="AN86" s="12"/>
      <c r="AO86" s="68"/>
      <c r="AP86" s="27"/>
      <c r="AQ86" s="12"/>
      <c r="AR86" s="12"/>
      <c r="AS86" s="12"/>
      <c r="AT86" s="12"/>
      <c r="AU86" s="68"/>
      <c r="AV86" s="27"/>
      <c r="AW86" s="68"/>
      <c r="AX86" s="69">
        <f>'[11]9.1 - 9.1.1'!$I$88</f>
        <v>-32660.411491154693</v>
      </c>
      <c r="AY86" s="27"/>
      <c r="AZ86" s="12"/>
      <c r="BA86" s="68"/>
      <c r="BB86" s="27"/>
      <c r="BC86" s="12"/>
      <c r="BD86" s="12"/>
      <c r="BE86" s="12"/>
      <c r="BF86" s="68"/>
    </row>
    <row r="87" spans="1:58" s="2" customFormat="1" ht="13.5" thickBot="1" x14ac:dyDescent="0.25">
      <c r="A87" s="14" t="s">
        <v>131</v>
      </c>
      <c r="B87" s="256">
        <f>SUM(C87:BF87)</f>
        <v>-20783660.452388309</v>
      </c>
      <c r="C87" s="91">
        <f>C85+C86</f>
        <v>0</v>
      </c>
      <c r="D87" s="89">
        <f t="shared" ref="D87:AW87" si="87">D85+D86</f>
        <v>0</v>
      </c>
      <c r="E87" s="89">
        <f t="shared" si="87"/>
        <v>299172.03611722862</v>
      </c>
      <c r="F87" s="263">
        <f t="shared" si="87"/>
        <v>0</v>
      </c>
      <c r="G87" s="91">
        <f t="shared" si="87"/>
        <v>0</v>
      </c>
      <c r="H87" s="89">
        <f t="shared" si="87"/>
        <v>-379483.85024842777</v>
      </c>
      <c r="I87" s="89">
        <f t="shared" si="87"/>
        <v>87051.591980595404</v>
      </c>
      <c r="J87" s="89">
        <f t="shared" si="87"/>
        <v>741722.40704898059</v>
      </c>
      <c r="K87" s="89">
        <f t="shared" si="87"/>
        <v>0</v>
      </c>
      <c r="L87" s="90">
        <f t="shared" si="87"/>
        <v>0</v>
      </c>
      <c r="M87" s="91">
        <f t="shared" si="87"/>
        <v>0</v>
      </c>
      <c r="N87" s="89">
        <f t="shared" si="87"/>
        <v>0</v>
      </c>
      <c r="O87" s="89">
        <f t="shared" si="87"/>
        <v>0</v>
      </c>
      <c r="P87" s="89">
        <f t="shared" si="87"/>
        <v>0</v>
      </c>
      <c r="Q87" s="89">
        <f t="shared" si="87"/>
        <v>-15367.582691999994</v>
      </c>
      <c r="R87" s="90">
        <f t="shared" si="87"/>
        <v>-867339.11722507898</v>
      </c>
      <c r="S87" s="91">
        <f t="shared" ref="S87:T87" si="88">S85+S86</f>
        <v>0</v>
      </c>
      <c r="T87" s="89">
        <f t="shared" si="88"/>
        <v>-7796896.0742585408</v>
      </c>
      <c r="U87" s="89">
        <f t="shared" si="87"/>
        <v>55812.570729027124</v>
      </c>
      <c r="V87" s="89">
        <f t="shared" ref="V87:W87" si="89">V85+V86</f>
        <v>-23969.57590579219</v>
      </c>
      <c r="W87" s="90">
        <f t="shared" si="89"/>
        <v>-7932.96</v>
      </c>
      <c r="X87" s="263">
        <f t="shared" si="87"/>
        <v>3276968.9949453878</v>
      </c>
      <c r="Y87" s="91">
        <f t="shared" si="87"/>
        <v>0</v>
      </c>
      <c r="Z87" s="89">
        <f t="shared" si="87"/>
        <v>0</v>
      </c>
      <c r="AA87" s="89">
        <f t="shared" si="87"/>
        <v>0</v>
      </c>
      <c r="AB87" s="91">
        <f t="shared" si="87"/>
        <v>-552278.96759530855</v>
      </c>
      <c r="AC87" s="90">
        <f t="shared" si="87"/>
        <v>-177199.81952197</v>
      </c>
      <c r="AD87" s="91">
        <f t="shared" si="87"/>
        <v>-16979716.477699727</v>
      </c>
      <c r="AE87" s="89">
        <f t="shared" si="87"/>
        <v>-817288.29571004666</v>
      </c>
      <c r="AF87" s="89">
        <f t="shared" si="87"/>
        <v>302035.50370207359</v>
      </c>
      <c r="AG87" s="89">
        <f t="shared" si="87"/>
        <v>0</v>
      </c>
      <c r="AH87" s="89">
        <f t="shared" si="87"/>
        <v>0</v>
      </c>
      <c r="AI87" s="90">
        <f>AI85+AI86</f>
        <v>0</v>
      </c>
      <c r="AJ87" s="91">
        <f t="shared" si="87"/>
        <v>3501.12</v>
      </c>
      <c r="AK87" s="89">
        <f t="shared" ref="AK87" si="90">AK85+AK86</f>
        <v>-48830.240068263585</v>
      </c>
      <c r="AL87" s="91">
        <f t="shared" si="87"/>
        <v>0</v>
      </c>
      <c r="AM87" s="89">
        <f t="shared" si="87"/>
        <v>2508555.5122575355</v>
      </c>
      <c r="AN87" s="89">
        <f t="shared" si="87"/>
        <v>0</v>
      </c>
      <c r="AO87" s="90">
        <f t="shared" si="87"/>
        <v>468935.98046481365</v>
      </c>
      <c r="AP87" s="91">
        <f t="shared" ref="AP87" si="91">AP85+AP86</f>
        <v>0</v>
      </c>
      <c r="AQ87" s="89">
        <f t="shared" si="87"/>
        <v>0</v>
      </c>
      <c r="AR87" s="89">
        <f t="shared" si="87"/>
        <v>0</v>
      </c>
      <c r="AS87" s="89">
        <f t="shared" si="87"/>
        <v>0</v>
      </c>
      <c r="AT87" s="89">
        <f t="shared" si="87"/>
        <v>0</v>
      </c>
      <c r="AU87" s="90">
        <f t="shared" si="87"/>
        <v>0</v>
      </c>
      <c r="AV87" s="91">
        <f t="shared" si="87"/>
        <v>-48059.733869845513</v>
      </c>
      <c r="AW87" s="90">
        <f t="shared" si="87"/>
        <v>-135837.46091221337</v>
      </c>
      <c r="AX87" s="263">
        <f t="shared" ref="AX87:BA87" si="92">AX85+AX86</f>
        <v>-265343.54372185015</v>
      </c>
      <c r="AY87" s="91">
        <f t="shared" si="92"/>
        <v>0</v>
      </c>
      <c r="AZ87" s="89">
        <f t="shared" si="92"/>
        <v>-87879.68091222932</v>
      </c>
      <c r="BA87" s="90">
        <f t="shared" si="92"/>
        <v>0</v>
      </c>
      <c r="BB87" s="91">
        <f t="shared" ref="BB87:BF87" si="93">BB85+BB86</f>
        <v>0</v>
      </c>
      <c r="BC87" s="89">
        <f t="shared" si="93"/>
        <v>0</v>
      </c>
      <c r="BD87" s="89">
        <f t="shared" si="93"/>
        <v>-61331.487434897295</v>
      </c>
      <c r="BE87" s="89">
        <f t="shared" si="93"/>
        <v>-48287.412867807012</v>
      </c>
      <c r="BF87" s="90">
        <f t="shared" si="93"/>
        <v>-214373.88898995286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52"/>
    </row>
  </sheetData>
  <mergeCells count="13">
    <mergeCell ref="BB7:BF7"/>
    <mergeCell ref="AY7:BA7"/>
    <mergeCell ref="AB7:AC7"/>
    <mergeCell ref="AJ7:AK7"/>
    <mergeCell ref="C7:E7"/>
    <mergeCell ref="G7:L7"/>
    <mergeCell ref="M7:R7"/>
    <mergeCell ref="S7:W7"/>
    <mergeCell ref="Y7:AA7"/>
    <mergeCell ref="AD7:AI7"/>
    <mergeCell ref="AL7:AO7"/>
    <mergeCell ref="AP7:AU7"/>
    <mergeCell ref="AV7:AW7"/>
  </mergeCells>
  <pageMargins left="1" right="0.5" top="1" bottom="0.5" header="0.4" footer="0.5"/>
  <pageSetup scale="61" firstPageNumber="27" fitToWidth="0" orientation="portrait" useFirstPageNumber="1" r:id="rId1"/>
  <headerFooter alignWithMargins="0">
    <oddHeader xml:space="preserve">&amp;L&amp;"Arial,Bold"&amp;11PacifiCorp
Washington 2023 General Rate Case
Summary of Pro Forma Adjustments - Rate Year &amp;"Arial,Regular"&amp;12 1&amp;10
&amp;R&amp;12Page 1.&amp;P
&amp;10
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D31"/>
  <sheetViews>
    <sheetView workbookViewId="0">
      <selection activeCell="BD50" sqref="BD50"/>
    </sheetView>
  </sheetViews>
  <sheetFormatPr defaultColWidth="9.140625" defaultRowHeight="12.75" x14ac:dyDescent="0.2"/>
  <cols>
    <col min="1" max="1" width="3.140625" style="20" customWidth="1"/>
    <col min="2" max="2" width="42.28515625" style="20" customWidth="1"/>
    <col min="3" max="3" width="16.28515625" style="20" customWidth="1"/>
    <col min="4" max="4" width="26.28515625" style="281" customWidth="1"/>
    <col min="5" max="5" width="14" style="20" bestFit="1" customWidth="1"/>
    <col min="6" max="16384" width="9.140625" style="20"/>
  </cols>
  <sheetData>
    <row r="1" spans="2:4" x14ac:dyDescent="0.2">
      <c r="B1" s="25" t="s">
        <v>41</v>
      </c>
    </row>
    <row r="2" spans="2:4" x14ac:dyDescent="0.2">
      <c r="B2" s="25" t="s">
        <v>264</v>
      </c>
    </row>
    <row r="3" spans="2:4" x14ac:dyDescent="0.2">
      <c r="B3" s="25" t="s">
        <v>122</v>
      </c>
    </row>
    <row r="5" spans="2:4" x14ac:dyDescent="0.2">
      <c r="B5" s="26" t="s">
        <v>145</v>
      </c>
      <c r="D5" s="289" t="s">
        <v>154</v>
      </c>
    </row>
    <row r="6" spans="2:4" x14ac:dyDescent="0.2">
      <c r="B6" s="20" t="s">
        <v>123</v>
      </c>
      <c r="C6" s="3">
        <f>Summary!B74</f>
        <v>27945749.878154576</v>
      </c>
      <c r="D6" s="244" t="s">
        <v>241</v>
      </c>
    </row>
    <row r="7" spans="2:4" x14ac:dyDescent="0.2">
      <c r="D7" s="290"/>
    </row>
    <row r="8" spans="2:4" x14ac:dyDescent="0.2">
      <c r="D8" s="290"/>
    </row>
    <row r="9" spans="2:4" x14ac:dyDescent="0.2">
      <c r="B9" s="26" t="s">
        <v>128</v>
      </c>
      <c r="D9" s="290"/>
    </row>
    <row r="10" spans="2:4" x14ac:dyDescent="0.2">
      <c r="B10" s="20" t="s">
        <v>124</v>
      </c>
      <c r="C10" s="3">
        <f>Summary!F64</f>
        <v>987258975.86132431</v>
      </c>
      <c r="D10" s="244" t="s">
        <v>242</v>
      </c>
    </row>
    <row r="11" spans="2:4" x14ac:dyDescent="0.2">
      <c r="B11" s="20" t="s">
        <v>125</v>
      </c>
      <c r="C11" s="54">
        <f>Variables!$E$8</f>
        <v>2.323944E-2</v>
      </c>
      <c r="D11" s="281" t="s">
        <v>155</v>
      </c>
    </row>
    <row r="12" spans="2:4" x14ac:dyDescent="0.2">
      <c r="B12" s="20" t="s">
        <v>126</v>
      </c>
      <c r="C12" s="3">
        <f>C10*C11</f>
        <v>22943345.733990695</v>
      </c>
      <c r="D12" s="244" t="s">
        <v>243</v>
      </c>
    </row>
    <row r="14" spans="2:4" x14ac:dyDescent="0.2">
      <c r="B14" s="20" t="s">
        <v>123</v>
      </c>
      <c r="C14" s="3">
        <f>Summary!B74</f>
        <v>27945749.878154576</v>
      </c>
      <c r="D14" s="281" t="s">
        <v>153</v>
      </c>
    </row>
    <row r="15" spans="2:4" x14ac:dyDescent="0.2">
      <c r="D15" s="290"/>
    </row>
    <row r="16" spans="2:4" x14ac:dyDescent="0.2">
      <c r="B16" s="20" t="s">
        <v>127</v>
      </c>
      <c r="C16" s="3">
        <f>C12-C14</f>
        <v>-5002404.1441638805</v>
      </c>
      <c r="D16" s="281" t="s">
        <v>350</v>
      </c>
    </row>
    <row r="17" spans="2:4" x14ac:dyDescent="0.2">
      <c r="D17" s="290"/>
    </row>
    <row r="18" spans="2:4" x14ac:dyDescent="0.2">
      <c r="D18" s="290"/>
    </row>
    <row r="19" spans="2:4" x14ac:dyDescent="0.2">
      <c r="B19" s="26" t="s">
        <v>217</v>
      </c>
      <c r="D19" s="290"/>
    </row>
    <row r="20" spans="2:4" x14ac:dyDescent="0.2">
      <c r="B20" s="20" t="s">
        <v>218</v>
      </c>
      <c r="C20" s="3">
        <f>Summary!J64</f>
        <v>1100424346.7003784</v>
      </c>
      <c r="D20" s="244" t="s">
        <v>244</v>
      </c>
    </row>
    <row r="21" spans="2:4" x14ac:dyDescent="0.2">
      <c r="B21" s="20" t="s">
        <v>125</v>
      </c>
      <c r="C21" s="54">
        <f>Variables!$E$8</f>
        <v>2.323944E-2</v>
      </c>
      <c r="D21" s="281" t="s">
        <v>155</v>
      </c>
    </row>
    <row r="22" spans="2:4" x14ac:dyDescent="0.2">
      <c r="B22" s="20" t="s">
        <v>219</v>
      </c>
      <c r="C22" s="3">
        <f>C20*C21</f>
        <v>25573245.579682641</v>
      </c>
      <c r="D22" s="244" t="s">
        <v>245</v>
      </c>
    </row>
    <row r="24" spans="2:4" x14ac:dyDescent="0.2">
      <c r="B24" s="20" t="s">
        <v>126</v>
      </c>
      <c r="C24" s="3">
        <f>C12</f>
        <v>22943345.733990695</v>
      </c>
      <c r="D24" s="244" t="s">
        <v>153</v>
      </c>
    </row>
    <row r="25" spans="2:4" x14ac:dyDescent="0.2">
      <c r="D25" s="290"/>
    </row>
    <row r="26" spans="2:4" x14ac:dyDescent="0.2">
      <c r="B26" s="20" t="s">
        <v>220</v>
      </c>
      <c r="C26" s="3">
        <f>C22-C24</f>
        <v>2629899.8456919454</v>
      </c>
      <c r="D26" s="281" t="s">
        <v>350</v>
      </c>
    </row>
    <row r="27" spans="2:4" x14ac:dyDescent="0.2">
      <c r="D27" s="290"/>
    </row>
    <row r="28" spans="2:4" x14ac:dyDescent="0.2">
      <c r="D28" s="290"/>
    </row>
    <row r="29" spans="2:4" x14ac:dyDescent="0.2">
      <c r="D29" s="290"/>
    </row>
    <row r="30" spans="2:4" x14ac:dyDescent="0.2">
      <c r="D30" s="290"/>
    </row>
    <row r="31" spans="2:4" x14ac:dyDescent="0.2">
      <c r="D31" s="290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workbookViewId="0">
      <selection activeCell="BD50" sqref="BD50"/>
    </sheetView>
  </sheetViews>
  <sheetFormatPr defaultColWidth="9.140625" defaultRowHeight="12.75" x14ac:dyDescent="0.2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 x14ac:dyDescent="0.2">
      <c r="B1" s="25" t="s">
        <v>41</v>
      </c>
    </row>
    <row r="2" spans="2:5" x14ac:dyDescent="0.2">
      <c r="B2" s="25" t="s">
        <v>264</v>
      </c>
    </row>
    <row r="3" spans="2:5" x14ac:dyDescent="0.2">
      <c r="B3" s="25" t="s">
        <v>148</v>
      </c>
    </row>
    <row r="6" spans="2:5" x14ac:dyDescent="0.2">
      <c r="B6" s="43" t="s">
        <v>146</v>
      </c>
      <c r="C6" s="49"/>
      <c r="D6" s="49"/>
      <c r="E6" s="49"/>
    </row>
    <row r="7" spans="2:5" s="51" customFormat="1" x14ac:dyDescent="0.2">
      <c r="B7" s="44"/>
      <c r="C7" s="44" t="s">
        <v>27</v>
      </c>
      <c r="D7" s="45" t="s">
        <v>28</v>
      </c>
      <c r="E7" s="44" t="s">
        <v>29</v>
      </c>
    </row>
    <row r="8" spans="2:5" x14ac:dyDescent="0.2">
      <c r="B8" s="46" t="s">
        <v>30</v>
      </c>
      <c r="C8" s="173">
        <f>[1]Variables!G3</f>
        <v>0.48720000000000002</v>
      </c>
      <c r="D8" s="174">
        <f>[1]Variables!G7</f>
        <v>4.7699999999999999E-2</v>
      </c>
      <c r="E8" s="228">
        <f>C8*D8</f>
        <v>2.323944E-2</v>
      </c>
    </row>
    <row r="9" spans="2:5" x14ac:dyDescent="0.2">
      <c r="B9" s="46" t="s">
        <v>31</v>
      </c>
      <c r="C9" s="173">
        <f>[1]Variables!G4</f>
        <v>1E-4</v>
      </c>
      <c r="D9" s="174">
        <f>[1]Variables!G8</f>
        <v>6.7500000000000004E-2</v>
      </c>
      <c r="E9" s="228">
        <f>C9*D9</f>
        <v>6.7500000000000006E-6</v>
      </c>
    </row>
    <row r="10" spans="2:5" x14ac:dyDescent="0.2">
      <c r="B10" s="47" t="s">
        <v>32</v>
      </c>
      <c r="C10" s="175">
        <f>[1]Variables!G5</f>
        <v>0.51270000000000004</v>
      </c>
      <c r="D10" s="176">
        <f>[1]Variables!G9</f>
        <v>0.10299999999999999</v>
      </c>
      <c r="E10" s="229">
        <f>C10*D10</f>
        <v>5.2808100000000004E-2</v>
      </c>
    </row>
    <row r="11" spans="2:5" x14ac:dyDescent="0.2">
      <c r="E11" s="230">
        <f>ROUNDDOWN(SUM(E8:E10),4)</f>
        <v>7.5999999999999998E-2</v>
      </c>
    </row>
    <row r="16" spans="2:5" x14ac:dyDescent="0.2">
      <c r="B16" s="26" t="s">
        <v>142</v>
      </c>
      <c r="C16" s="52"/>
    </row>
    <row r="17" spans="2:6" x14ac:dyDescent="0.2">
      <c r="B17" s="20" t="s">
        <v>97</v>
      </c>
      <c r="D17" s="37">
        <v>1</v>
      </c>
    </row>
    <row r="18" spans="2:6" x14ac:dyDescent="0.2">
      <c r="D18" s="37"/>
    </row>
    <row r="19" spans="2:6" x14ac:dyDescent="0.2">
      <c r="B19" s="20" t="s">
        <v>136</v>
      </c>
      <c r="D19" s="37"/>
    </row>
    <row r="20" spans="2:6" x14ac:dyDescent="0.2">
      <c r="B20" s="20" t="s">
        <v>137</v>
      </c>
      <c r="D20" s="177">
        <f>[1]Results!D153</f>
        <v>5.5958046338404543E-3</v>
      </c>
      <c r="F20" s="57"/>
    </row>
    <row r="21" spans="2:6" x14ac:dyDescent="0.2">
      <c r="B21" s="20" t="s">
        <v>135</v>
      </c>
      <c r="D21" s="177">
        <f>[1]Results!D154</f>
        <v>4.0000000000000001E-3</v>
      </c>
    </row>
    <row r="22" spans="2:6" x14ac:dyDescent="0.2">
      <c r="B22" s="20" t="s">
        <v>230</v>
      </c>
      <c r="D22" s="177">
        <f>[1]Results!D155</f>
        <v>3.8733999999999998E-2</v>
      </c>
    </row>
    <row r="23" spans="2:6" x14ac:dyDescent="0.2">
      <c r="B23" s="20" t="s">
        <v>138</v>
      </c>
      <c r="D23" s="177">
        <f>[1]Results!D156</f>
        <v>0</v>
      </c>
    </row>
    <row r="24" spans="2:6" x14ac:dyDescent="0.2">
      <c r="B24" s="20" t="s">
        <v>139</v>
      </c>
      <c r="D24" s="176">
        <f>[1]Results!D157</f>
        <v>0</v>
      </c>
    </row>
    <row r="25" spans="2:6" x14ac:dyDescent="0.2">
      <c r="D25" s="37"/>
    </row>
    <row r="26" spans="2:6" x14ac:dyDescent="0.2">
      <c r="B26" s="20" t="s">
        <v>140</v>
      </c>
      <c r="D26" s="53">
        <f>D17-SUM(D19:D24)</f>
        <v>0.95167019536615949</v>
      </c>
    </row>
    <row r="27" spans="2:6" x14ac:dyDescent="0.2">
      <c r="D27" s="37"/>
    </row>
    <row r="28" spans="2:6" x14ac:dyDescent="0.2">
      <c r="B28" s="20" t="s">
        <v>143</v>
      </c>
      <c r="D28" s="38">
        <v>0</v>
      </c>
    </row>
    <row r="29" spans="2:6" x14ac:dyDescent="0.2">
      <c r="D29" s="37"/>
    </row>
    <row r="30" spans="2:6" x14ac:dyDescent="0.2">
      <c r="B30" s="20" t="s">
        <v>140</v>
      </c>
      <c r="D30" s="53">
        <f>D26-D28</f>
        <v>0.95167019536615949</v>
      </c>
    </row>
    <row r="31" spans="2:6" x14ac:dyDescent="0.2">
      <c r="D31" s="37"/>
    </row>
    <row r="32" spans="2:6" x14ac:dyDescent="0.2">
      <c r="B32" s="20" t="s">
        <v>247</v>
      </c>
      <c r="D32" s="38">
        <f>D30*0.21</f>
        <v>0.19985074102689349</v>
      </c>
    </row>
    <row r="33" spans="2:4" x14ac:dyDescent="0.2">
      <c r="D33" s="54"/>
    </row>
    <row r="34" spans="2:4" ht="13.5" thickBot="1" x14ac:dyDescent="0.25">
      <c r="B34" s="20" t="s">
        <v>141</v>
      </c>
      <c r="D34" s="55">
        <f>ROUND(D30-D32,5)</f>
        <v>0.75182000000000004</v>
      </c>
    </row>
    <row r="35" spans="2:4" ht="13.5" thickTop="1" x14ac:dyDescent="0.2">
      <c r="D35" s="56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X144"/>
  <sheetViews>
    <sheetView zoomScale="90" zoomScaleNormal="90" workbookViewId="0">
      <pane xSplit="1" ySplit="7" topLeftCell="O8" activePane="bottomRight" state="frozen"/>
      <selection activeCell="BD50" sqref="BD50"/>
      <selection pane="topRight" activeCell="BD50" sqref="BD50"/>
      <selection pane="bottomLeft" activeCell="BD50" sqref="BD50"/>
      <selection pane="bottomRight" activeCell="BD50" sqref="BD50"/>
    </sheetView>
  </sheetViews>
  <sheetFormatPr defaultColWidth="9.140625" defaultRowHeight="12.75" x14ac:dyDescent="0.2"/>
  <cols>
    <col min="1" max="1" width="36.85546875" style="281" customWidth="1"/>
    <col min="2" max="3" width="15.7109375" style="281" bestFit="1" customWidth="1"/>
    <col min="4" max="4" width="13.85546875" style="281" customWidth="1"/>
    <col min="5" max="5" width="3.140625" style="281" customWidth="1"/>
    <col min="6" max="6" width="13.85546875" style="281" customWidth="1"/>
    <col min="7" max="7" width="14" style="281" bestFit="1" customWidth="1"/>
    <col min="8" max="8" width="13.85546875" style="281" customWidth="1"/>
    <col min="9" max="9" width="3.140625" style="281" customWidth="1"/>
    <col min="10" max="11" width="15.7109375" style="281" bestFit="1" customWidth="1"/>
    <col min="12" max="12" width="13.85546875" style="281" customWidth="1"/>
    <col min="13" max="13" width="3.5703125" style="281" customWidth="1"/>
    <col min="14" max="16" width="13.85546875" style="281" customWidth="1"/>
    <col min="17" max="17" width="3.5703125" style="281" customWidth="1"/>
    <col min="18" max="19" width="15.7109375" style="281" bestFit="1" customWidth="1"/>
    <col min="20" max="20" width="13.85546875" style="281" customWidth="1"/>
    <col min="21" max="21" width="3.5703125" style="281" customWidth="1"/>
    <col min="22" max="24" width="13.85546875" style="281" customWidth="1"/>
    <col min="25" max="16384" width="9.140625" style="281"/>
  </cols>
  <sheetData>
    <row r="1" spans="1:24" x14ac:dyDescent="0.2">
      <c r="A1" s="141" t="s">
        <v>41</v>
      </c>
    </row>
    <row r="2" spans="1:24" x14ac:dyDescent="0.2">
      <c r="A2" s="138" t="s">
        <v>264</v>
      </c>
      <c r="P2" s="15"/>
    </row>
    <row r="3" spans="1:24" x14ac:dyDescent="0.2">
      <c r="A3" s="138" t="s">
        <v>152</v>
      </c>
    </row>
    <row r="4" spans="1:24" x14ac:dyDescent="0.2">
      <c r="A4" s="138"/>
    </row>
    <row r="5" spans="1:24" x14ac:dyDescent="0.2">
      <c r="A5" s="138"/>
    </row>
    <row r="6" spans="1:24" x14ac:dyDescent="0.2">
      <c r="A6" s="282"/>
      <c r="B6" s="283" t="s">
        <v>145</v>
      </c>
      <c r="C6" s="284"/>
      <c r="D6" s="284"/>
      <c r="F6" s="283" t="s">
        <v>109</v>
      </c>
      <c r="G6" s="284"/>
      <c r="H6" s="284"/>
      <c r="J6" s="283" t="s">
        <v>128</v>
      </c>
      <c r="K6" s="284"/>
      <c r="L6" s="284"/>
      <c r="N6" s="283" t="s">
        <v>215</v>
      </c>
      <c r="O6" s="284"/>
      <c r="P6" s="284"/>
      <c r="R6" s="283" t="s">
        <v>217</v>
      </c>
      <c r="S6" s="284"/>
      <c r="T6" s="284"/>
      <c r="V6" s="283" t="s">
        <v>132</v>
      </c>
      <c r="W6" s="284"/>
      <c r="X6" s="284"/>
    </row>
    <row r="7" spans="1:24" ht="38.25" x14ac:dyDescent="0.2">
      <c r="A7" s="151"/>
      <c r="B7" s="285" t="s">
        <v>150</v>
      </c>
      <c r="C7" s="285" t="s">
        <v>151</v>
      </c>
      <c r="D7" s="285" t="s">
        <v>149</v>
      </c>
      <c r="F7" s="285" t="s">
        <v>150</v>
      </c>
      <c r="G7" s="285" t="s">
        <v>151</v>
      </c>
      <c r="H7" s="285" t="s">
        <v>149</v>
      </c>
      <c r="J7" s="285" t="s">
        <v>150</v>
      </c>
      <c r="K7" s="285" t="s">
        <v>151</v>
      </c>
      <c r="L7" s="285" t="s">
        <v>149</v>
      </c>
      <c r="N7" s="285" t="s">
        <v>150</v>
      </c>
      <c r="O7" s="285" t="s">
        <v>151</v>
      </c>
      <c r="P7" s="285" t="s">
        <v>149</v>
      </c>
      <c r="R7" s="285" t="s">
        <v>150</v>
      </c>
      <c r="S7" s="285" t="s">
        <v>151</v>
      </c>
      <c r="T7" s="285" t="s">
        <v>149</v>
      </c>
      <c r="V7" s="285" t="s">
        <v>150</v>
      </c>
      <c r="W7" s="285" t="s">
        <v>151</v>
      </c>
      <c r="X7" s="285" t="s">
        <v>149</v>
      </c>
    </row>
    <row r="8" spans="1:24" x14ac:dyDescent="0.2">
      <c r="A8" s="14" t="s">
        <v>44</v>
      </c>
      <c r="B8" s="13"/>
      <c r="C8" s="13"/>
      <c r="D8" s="13"/>
      <c r="F8" s="13"/>
      <c r="G8" s="13"/>
      <c r="H8" s="13"/>
      <c r="J8" s="13"/>
      <c r="K8" s="13"/>
      <c r="L8" s="13"/>
      <c r="N8" s="13"/>
      <c r="O8" s="13"/>
      <c r="P8" s="13"/>
      <c r="R8" s="13"/>
      <c r="S8" s="13"/>
      <c r="T8" s="13"/>
      <c r="V8" s="13"/>
      <c r="W8" s="13"/>
      <c r="X8" s="13"/>
    </row>
    <row r="9" spans="1:24" x14ac:dyDescent="0.2">
      <c r="A9" s="14" t="s">
        <v>45</v>
      </c>
      <c r="B9" s="13">
        <f>Summary!$B$9</f>
        <v>373551615.56999999</v>
      </c>
      <c r="C9" s="13">
        <f>[2]Results!C11</f>
        <v>373551615.56999999</v>
      </c>
      <c r="D9" s="13">
        <f>C9-B9</f>
        <v>0</v>
      </c>
      <c r="F9" s="13">
        <f>Summary!$D$9</f>
        <v>31472700.330736585</v>
      </c>
      <c r="G9" s="13">
        <f>[2]Results!D11</f>
        <v>31472700.330736585</v>
      </c>
      <c r="H9" s="13">
        <f>ROUND(G9-F9,0)</f>
        <v>0</v>
      </c>
      <c r="J9" s="13">
        <f>Summary!$F$9</f>
        <v>405024315.90073657</v>
      </c>
      <c r="K9" s="13">
        <f>[2]Results!E11</f>
        <v>405024315.90073657</v>
      </c>
      <c r="L9" s="13">
        <f>K9-J9</f>
        <v>0</v>
      </c>
      <c r="N9" s="13">
        <f>Summary!$H$9</f>
        <v>0</v>
      </c>
      <c r="O9" s="13">
        <f>[2]Results!H11</f>
        <v>0</v>
      </c>
      <c r="P9" s="13">
        <f>O9-N9</f>
        <v>0</v>
      </c>
      <c r="R9" s="13">
        <f>Summary!$J$9</f>
        <v>405024315.90073657</v>
      </c>
      <c r="S9" s="13">
        <f>[2]Results!I11</f>
        <v>405024315.90073657</v>
      </c>
      <c r="T9" s="13">
        <f>S9-R9</f>
        <v>0</v>
      </c>
      <c r="V9" s="13">
        <f>Summary!$L$9</f>
        <v>26763219.120570686</v>
      </c>
      <c r="W9" s="13">
        <f>[2]Results!H100</f>
        <v>26763219.025179867</v>
      </c>
      <c r="X9" s="13">
        <f>W9-V9</f>
        <v>-9.5390819013118744E-2</v>
      </c>
    </row>
    <row r="10" spans="1:24" x14ac:dyDescent="0.2">
      <c r="A10" s="14" t="s">
        <v>46</v>
      </c>
      <c r="B10" s="13">
        <f>Summary!$B$10</f>
        <v>0</v>
      </c>
      <c r="C10" s="13">
        <f>[2]Results!C12</f>
        <v>0</v>
      </c>
      <c r="D10" s="13">
        <f t="shared" ref="D10:D13" si="0">C10-B10</f>
        <v>0</v>
      </c>
      <c r="F10" s="13">
        <f>Summary!$D$10</f>
        <v>0</v>
      </c>
      <c r="G10" s="13">
        <f>[2]Results!D12</f>
        <v>0</v>
      </c>
      <c r="H10" s="13">
        <f t="shared" ref="H10:H12" si="1">ROUND(G10-F10,0)</f>
        <v>0</v>
      </c>
      <c r="J10" s="13">
        <f>Summary!$F$10</f>
        <v>0</v>
      </c>
      <c r="K10" s="13">
        <f>[2]Results!E12</f>
        <v>0</v>
      </c>
      <c r="L10" s="13">
        <f t="shared" ref="L10:L13" si="2">K10-J10</f>
        <v>0</v>
      </c>
      <c r="N10" s="13">
        <f>Summary!$H$10</f>
        <v>0</v>
      </c>
      <c r="O10" s="13">
        <f>[2]Results!H12</f>
        <v>0</v>
      </c>
      <c r="P10" s="13">
        <f t="shared" ref="P10:P13" si="3">O10-N10</f>
        <v>0</v>
      </c>
      <c r="R10" s="13">
        <f>Summary!$J$10</f>
        <v>0</v>
      </c>
      <c r="S10" s="13">
        <f>[2]Results!I12</f>
        <v>0</v>
      </c>
      <c r="T10" s="13">
        <f t="shared" ref="T10:T13" si="4">S10-R10</f>
        <v>0</v>
      </c>
      <c r="V10" s="13">
        <f>Summary!$L$10</f>
        <v>0</v>
      </c>
      <c r="W10" s="13">
        <f>[2]Results!H101</f>
        <v>0</v>
      </c>
      <c r="X10" s="13">
        <f t="shared" ref="X10:X13" si="5">W10-V10</f>
        <v>0</v>
      </c>
    </row>
    <row r="11" spans="1:24" x14ac:dyDescent="0.2">
      <c r="A11" s="14" t="s">
        <v>47</v>
      </c>
      <c r="B11" s="13">
        <f>Summary!$B$11</f>
        <v>1285828.8120363725</v>
      </c>
      <c r="C11" s="13">
        <f>[2]Results!C13</f>
        <v>1285828.8120363725</v>
      </c>
      <c r="D11" s="13">
        <f t="shared" si="0"/>
        <v>0</v>
      </c>
      <c r="F11" s="13">
        <f>Summary!$D$11</f>
        <v>0</v>
      </c>
      <c r="G11" s="13">
        <f>[2]Results!D13</f>
        <v>0</v>
      </c>
      <c r="H11" s="13">
        <f t="shared" si="1"/>
        <v>0</v>
      </c>
      <c r="J11" s="13">
        <f>Summary!$F$11</f>
        <v>1285828.8120363725</v>
      </c>
      <c r="K11" s="13">
        <f>[2]Results!E13</f>
        <v>1285828.8120363725</v>
      </c>
      <c r="L11" s="13">
        <f t="shared" si="2"/>
        <v>0</v>
      </c>
      <c r="N11" s="13">
        <f>Summary!$H$11</f>
        <v>19148484.22576125</v>
      </c>
      <c r="O11" s="13">
        <f>[2]Results!H13</f>
        <v>19148484.22576125</v>
      </c>
      <c r="P11" s="13">
        <f t="shared" si="3"/>
        <v>0</v>
      </c>
      <c r="R11" s="13">
        <f>Summary!$J$11</f>
        <v>20434313.037797622</v>
      </c>
      <c r="S11" s="13">
        <f>[2]Results!I13</f>
        <v>20434313.037797622</v>
      </c>
      <c r="T11" s="13">
        <f t="shared" si="4"/>
        <v>0</v>
      </c>
      <c r="V11" s="13">
        <f>Summary!$L$11</f>
        <v>0</v>
      </c>
      <c r="W11" s="13">
        <f>[2]Results!H102</f>
        <v>0</v>
      </c>
      <c r="X11" s="13">
        <f t="shared" si="5"/>
        <v>0</v>
      </c>
    </row>
    <row r="12" spans="1:24" x14ac:dyDescent="0.2">
      <c r="A12" s="14" t="s">
        <v>48</v>
      </c>
      <c r="B12" s="13">
        <f>Summary!$B$12</f>
        <v>20011924.237952776</v>
      </c>
      <c r="C12" s="13">
        <f>[2]Results!C14</f>
        <v>20011924.237952776</v>
      </c>
      <c r="D12" s="13">
        <f t="shared" si="0"/>
        <v>0</v>
      </c>
      <c r="F12" s="13">
        <f>Summary!$D$12</f>
        <v>-21606.74304644515</v>
      </c>
      <c r="G12" s="13">
        <f>[2]Results!D14</f>
        <v>-21606.74304644515</v>
      </c>
      <c r="H12" s="13">
        <f t="shared" si="1"/>
        <v>0</v>
      </c>
      <c r="J12" s="13">
        <f>Summary!$F$12</f>
        <v>19990317.494906332</v>
      </c>
      <c r="K12" s="13">
        <f>[2]Results!E14</f>
        <v>19990317.494906332</v>
      </c>
      <c r="L12" s="13">
        <f t="shared" si="2"/>
        <v>0</v>
      </c>
      <c r="N12" s="13">
        <f>Summary!$H$12</f>
        <v>664041.95894274942</v>
      </c>
      <c r="O12" s="13">
        <f>[2]Results!H14</f>
        <v>664041.95894274942</v>
      </c>
      <c r="P12" s="13">
        <f t="shared" si="3"/>
        <v>0</v>
      </c>
      <c r="R12" s="13">
        <f>Summary!$J$12</f>
        <v>20654359.453849081</v>
      </c>
      <c r="S12" s="13">
        <f>[2]Results!I14</f>
        <v>20654359.453849081</v>
      </c>
      <c r="T12" s="13">
        <f t="shared" si="4"/>
        <v>0</v>
      </c>
      <c r="V12" s="13">
        <f>Summary!$L$12</f>
        <v>0</v>
      </c>
      <c r="W12" s="13">
        <f>[2]Results!H103</f>
        <v>0</v>
      </c>
      <c r="X12" s="13">
        <f t="shared" si="5"/>
        <v>0</v>
      </c>
    </row>
    <row r="13" spans="1:24" ht="13.5" thickBot="1" x14ac:dyDescent="0.25">
      <c r="A13" s="14" t="s">
        <v>49</v>
      </c>
      <c r="B13" s="180">
        <f>Summary!$B$13</f>
        <v>394849368.61998916</v>
      </c>
      <c r="C13" s="180">
        <f>[2]Results!C15</f>
        <v>394849368.61998916</v>
      </c>
      <c r="D13" s="180">
        <f t="shared" si="0"/>
        <v>0</v>
      </c>
      <c r="F13" s="180">
        <f>Summary!$D$13</f>
        <v>31451093.587690141</v>
      </c>
      <c r="G13" s="180">
        <f>[2]Results!D15</f>
        <v>31451093.587690141</v>
      </c>
      <c r="H13" s="180">
        <f t="shared" ref="H13" si="6">G13-F13</f>
        <v>0</v>
      </c>
      <c r="J13" s="180">
        <f>Summary!$F$13</f>
        <v>426300462.20767927</v>
      </c>
      <c r="K13" s="180">
        <f>[2]Results!E15</f>
        <v>426300462.20767927</v>
      </c>
      <c r="L13" s="180">
        <f t="shared" si="2"/>
        <v>0</v>
      </c>
      <c r="N13" s="180">
        <f>Summary!$H$13</f>
        <v>19812526.184703998</v>
      </c>
      <c r="O13" s="180">
        <f>[2]Results!H15</f>
        <v>19812526.184703998</v>
      </c>
      <c r="P13" s="180">
        <f t="shared" si="3"/>
        <v>0</v>
      </c>
      <c r="R13" s="180">
        <f>Summary!$J$13</f>
        <v>446112988.39238328</v>
      </c>
      <c r="S13" s="180">
        <f>[2]Results!I15</f>
        <v>446112988.39238328</v>
      </c>
      <c r="T13" s="180">
        <f t="shared" si="4"/>
        <v>0</v>
      </c>
      <c r="V13" s="180">
        <f>Summary!$L$13</f>
        <v>26763219.120570686</v>
      </c>
      <c r="W13" s="180">
        <f>W9</f>
        <v>26763219.025179867</v>
      </c>
      <c r="X13" s="180">
        <f t="shared" si="5"/>
        <v>-9.5390819013118744E-2</v>
      </c>
    </row>
    <row r="14" spans="1:24" ht="13.5" thickTop="1" x14ac:dyDescent="0.2">
      <c r="A14" s="14"/>
      <c r="B14" s="13"/>
      <c r="C14" s="13"/>
      <c r="D14" s="13"/>
      <c r="F14" s="13"/>
      <c r="G14" s="13"/>
      <c r="H14" s="13"/>
      <c r="J14" s="13"/>
      <c r="K14" s="13"/>
      <c r="L14" s="13"/>
      <c r="N14" s="13"/>
      <c r="O14" s="13"/>
      <c r="P14" s="13"/>
      <c r="R14" s="13"/>
      <c r="S14" s="13"/>
      <c r="T14" s="13"/>
      <c r="V14" s="13"/>
      <c r="W14" s="13"/>
      <c r="X14" s="13"/>
    </row>
    <row r="15" spans="1:24" x14ac:dyDescent="0.2">
      <c r="A15" s="14" t="s">
        <v>50</v>
      </c>
      <c r="B15" s="13"/>
      <c r="C15" s="13"/>
      <c r="D15" s="13"/>
      <c r="F15" s="13"/>
      <c r="G15" s="13"/>
      <c r="H15" s="13"/>
      <c r="J15" s="13"/>
      <c r="K15" s="13"/>
      <c r="L15" s="13"/>
      <c r="N15" s="13"/>
      <c r="O15" s="13"/>
      <c r="P15" s="13"/>
      <c r="R15" s="13"/>
      <c r="S15" s="13"/>
      <c r="T15" s="13"/>
      <c r="V15" s="13"/>
      <c r="W15" s="13"/>
      <c r="X15" s="13"/>
    </row>
    <row r="16" spans="1:24" x14ac:dyDescent="0.2">
      <c r="A16" s="14" t="s">
        <v>51</v>
      </c>
      <c r="B16" s="13">
        <f>Summary!$B$16</f>
        <v>59399957.533967733</v>
      </c>
      <c r="C16" s="13">
        <f>[2]Results!C18</f>
        <v>59399957.533967733</v>
      </c>
      <c r="D16" s="13">
        <f t="shared" ref="D16:D35" si="7">C16-B16</f>
        <v>0</v>
      </c>
      <c r="F16" s="13">
        <f>Summary!$D$16</f>
        <v>1095325.7945093364</v>
      </c>
      <c r="G16" s="13">
        <f>[2]Results!D18</f>
        <v>1095325.7945093364</v>
      </c>
      <c r="H16" s="13">
        <f t="shared" ref="H16:H35" si="8">G16-F16</f>
        <v>0</v>
      </c>
      <c r="J16" s="13">
        <f>Summary!$F$16</f>
        <v>60495283.32847707</v>
      </c>
      <c r="K16" s="13">
        <f>[2]Results!E18</f>
        <v>60495283.32847707</v>
      </c>
      <c r="L16" s="13">
        <f t="shared" ref="L16:L35" si="9">K16-J16</f>
        <v>0</v>
      </c>
      <c r="N16" s="13">
        <f>Summary!$H$16</f>
        <v>-1663761.8632297679</v>
      </c>
      <c r="O16" s="13">
        <f>[2]Results!H18</f>
        <v>-1663761.8632297679</v>
      </c>
      <c r="P16" s="13">
        <f t="shared" ref="P16:P35" si="10">O16-N16</f>
        <v>0</v>
      </c>
      <c r="R16" s="13">
        <f>Summary!$J$16</f>
        <v>58831521.465247303</v>
      </c>
      <c r="S16" s="13">
        <f>[2]Results!I18</f>
        <v>58831521.465247303</v>
      </c>
      <c r="T16" s="13">
        <f t="shared" ref="T16:T35" si="11">S16-R16</f>
        <v>0</v>
      </c>
      <c r="V16" s="13">
        <f>Summary!$L$16</f>
        <v>0</v>
      </c>
      <c r="W16" s="13">
        <f>[2]Results!H107</f>
        <v>0</v>
      </c>
      <c r="X16" s="13">
        <f t="shared" ref="X16:X35" si="12">W16-V16</f>
        <v>0</v>
      </c>
    </row>
    <row r="17" spans="1:24" x14ac:dyDescent="0.2">
      <c r="A17" s="14" t="s">
        <v>52</v>
      </c>
      <c r="B17" s="13">
        <f>Summary!$B$17</f>
        <v>0</v>
      </c>
      <c r="C17" s="13">
        <f>[2]Results!C19</f>
        <v>0</v>
      </c>
      <c r="D17" s="13">
        <f t="shared" si="7"/>
        <v>0</v>
      </c>
      <c r="F17" s="13">
        <f>Summary!$D$17</f>
        <v>0</v>
      </c>
      <c r="G17" s="13">
        <f>[2]Results!D19</f>
        <v>0</v>
      </c>
      <c r="H17" s="13">
        <f t="shared" si="8"/>
        <v>0</v>
      </c>
      <c r="J17" s="13">
        <f>Summary!$F$17</f>
        <v>0</v>
      </c>
      <c r="K17" s="13">
        <f>[2]Results!E19</f>
        <v>0</v>
      </c>
      <c r="L17" s="13">
        <f t="shared" si="9"/>
        <v>0</v>
      </c>
      <c r="N17" s="13">
        <f>Summary!$H$17</f>
        <v>0</v>
      </c>
      <c r="O17" s="13">
        <f>[2]Results!H19</f>
        <v>0</v>
      </c>
      <c r="P17" s="13">
        <f t="shared" si="10"/>
        <v>0</v>
      </c>
      <c r="R17" s="13">
        <f>Summary!$J$17</f>
        <v>0</v>
      </c>
      <c r="S17" s="13">
        <f>[2]Results!I19</f>
        <v>0</v>
      </c>
      <c r="T17" s="13">
        <f t="shared" si="11"/>
        <v>0</v>
      </c>
      <c r="V17" s="13">
        <f>Summary!$L$17</f>
        <v>0</v>
      </c>
      <c r="W17" s="13">
        <f>[2]Results!H108</f>
        <v>0</v>
      </c>
      <c r="X17" s="13">
        <f t="shared" si="12"/>
        <v>0</v>
      </c>
    </row>
    <row r="18" spans="1:24" x14ac:dyDescent="0.2">
      <c r="A18" s="14" t="s">
        <v>53</v>
      </c>
      <c r="B18" s="13">
        <f>Summary!$B$18</f>
        <v>1451885.6553336573</v>
      </c>
      <c r="C18" s="13">
        <f>[2]Results!C20</f>
        <v>1451885.6553336573</v>
      </c>
      <c r="D18" s="13">
        <f t="shared" si="7"/>
        <v>0</v>
      </c>
      <c r="F18" s="13">
        <f>Summary!$D$18</f>
        <v>1776039.1875827373</v>
      </c>
      <c r="G18" s="13">
        <f>[2]Results!D20</f>
        <v>1776039.1875827373</v>
      </c>
      <c r="H18" s="13">
        <f t="shared" si="8"/>
        <v>0</v>
      </c>
      <c r="J18" s="13">
        <f>Summary!$F$18</f>
        <v>3227924.8429163946</v>
      </c>
      <c r="K18" s="13">
        <f>[2]Results!E20</f>
        <v>3227924.8429163946</v>
      </c>
      <c r="L18" s="13">
        <f t="shared" si="9"/>
        <v>0</v>
      </c>
      <c r="N18" s="13">
        <f>Summary!$H$18</f>
        <v>216688.95872025812</v>
      </c>
      <c r="O18" s="13">
        <f>[2]Results!H20</f>
        <v>216688.95872025812</v>
      </c>
      <c r="P18" s="13">
        <f t="shared" si="10"/>
        <v>0</v>
      </c>
      <c r="R18" s="13">
        <f>Summary!$J$18</f>
        <v>3444613.8016366526</v>
      </c>
      <c r="S18" s="13">
        <f>[2]Results!I20</f>
        <v>3444613.8016366526</v>
      </c>
      <c r="T18" s="13">
        <f t="shared" si="11"/>
        <v>0</v>
      </c>
      <c r="V18" s="13">
        <f>Summary!$L$18</f>
        <v>0</v>
      </c>
      <c r="W18" s="13">
        <f>[2]Results!H109</f>
        <v>0</v>
      </c>
      <c r="X18" s="13">
        <f t="shared" si="12"/>
        <v>0</v>
      </c>
    </row>
    <row r="19" spans="1:24" x14ac:dyDescent="0.2">
      <c r="A19" s="14" t="s">
        <v>54</v>
      </c>
      <c r="B19" s="13">
        <f>Summary!$B$19</f>
        <v>124223582.91229668</v>
      </c>
      <c r="C19" s="13">
        <f>[2]Results!C21</f>
        <v>124223582.91229668</v>
      </c>
      <c r="D19" s="13">
        <f t="shared" si="7"/>
        <v>0</v>
      </c>
      <c r="F19" s="13">
        <f>Summary!$D$19</f>
        <v>-7171811.8867383823</v>
      </c>
      <c r="G19" s="13">
        <f>[2]Results!D21</f>
        <v>-7171811.8867383823</v>
      </c>
      <c r="H19" s="13">
        <f t="shared" si="8"/>
        <v>0</v>
      </c>
      <c r="J19" s="13">
        <f>Summary!$F$19</f>
        <v>117051771.02555829</v>
      </c>
      <c r="K19" s="13">
        <f>[2]Results!E21</f>
        <v>117051771.02555829</v>
      </c>
      <c r="L19" s="13">
        <f t="shared" si="9"/>
        <v>0</v>
      </c>
      <c r="N19" s="13">
        <f>Summary!$H$19</f>
        <v>59052667.089417547</v>
      </c>
      <c r="O19" s="13">
        <f>[2]Results!H21</f>
        <v>59052667.089417547</v>
      </c>
      <c r="P19" s="13">
        <f t="shared" si="10"/>
        <v>0</v>
      </c>
      <c r="R19" s="13">
        <f>Summary!$J$19</f>
        <v>176104438.11497584</v>
      </c>
      <c r="S19" s="13">
        <f>[2]Results!I21</f>
        <v>176104438.11497584</v>
      </c>
      <c r="T19" s="13">
        <f t="shared" si="11"/>
        <v>0</v>
      </c>
      <c r="V19" s="13">
        <f>Summary!$L$19</f>
        <v>0</v>
      </c>
      <c r="W19" s="13">
        <f>[2]Results!H110</f>
        <v>0</v>
      </c>
      <c r="X19" s="13">
        <f t="shared" si="12"/>
        <v>0</v>
      </c>
    </row>
    <row r="20" spans="1:24" x14ac:dyDescent="0.2">
      <c r="A20" s="14" t="s">
        <v>55</v>
      </c>
      <c r="B20" s="13">
        <f>Summary!$B$20</f>
        <v>18668674.704801075</v>
      </c>
      <c r="C20" s="13">
        <f>[2]Results!C22</f>
        <v>18668674.704801075</v>
      </c>
      <c r="D20" s="13">
        <f t="shared" si="7"/>
        <v>0</v>
      </c>
      <c r="F20" s="13">
        <f>Summary!$D$20</f>
        <v>37087.187348888561</v>
      </c>
      <c r="G20" s="13">
        <f>[2]Results!D22</f>
        <v>37087.187348888576</v>
      </c>
      <c r="H20" s="13">
        <f t="shared" si="8"/>
        <v>0</v>
      </c>
      <c r="J20" s="13">
        <f>Summary!$F$20</f>
        <v>18705761.892149962</v>
      </c>
      <c r="K20" s="13">
        <f>[2]Results!E22</f>
        <v>18705761.892149962</v>
      </c>
      <c r="L20" s="13">
        <f t="shared" si="9"/>
        <v>0</v>
      </c>
      <c r="N20" s="13">
        <f>Summary!$H$20</f>
        <v>1276344.0453904099</v>
      </c>
      <c r="O20" s="13">
        <f>[2]Results!H22</f>
        <v>1276344.0453904101</v>
      </c>
      <c r="P20" s="13">
        <f t="shared" si="10"/>
        <v>0</v>
      </c>
      <c r="R20" s="13">
        <f>Summary!$J$20</f>
        <v>19982105.937540371</v>
      </c>
      <c r="S20" s="13">
        <f>[2]Results!I22</f>
        <v>19982105.937540371</v>
      </c>
      <c r="T20" s="13">
        <f t="shared" si="11"/>
        <v>0</v>
      </c>
      <c r="V20" s="13">
        <f>Summary!$L$20</f>
        <v>0</v>
      </c>
      <c r="W20" s="13">
        <f>[2]Results!H111</f>
        <v>0</v>
      </c>
      <c r="X20" s="13">
        <f t="shared" si="12"/>
        <v>0</v>
      </c>
    </row>
    <row r="21" spans="1:24" x14ac:dyDescent="0.2">
      <c r="A21" s="14" t="s">
        <v>56</v>
      </c>
      <c r="B21" s="13">
        <f>Summary!$B$21</f>
        <v>14095287.65784201</v>
      </c>
      <c r="C21" s="13">
        <f>[2]Results!C23</f>
        <v>14095287.65784201</v>
      </c>
      <c r="D21" s="13">
        <f t="shared" si="7"/>
        <v>0</v>
      </c>
      <c r="F21" s="13">
        <f>Summary!$D$21</f>
        <v>149316.59718380499</v>
      </c>
      <c r="G21" s="13">
        <f>[2]Results!D23</f>
        <v>149316.59718380499</v>
      </c>
      <c r="H21" s="13">
        <f t="shared" si="8"/>
        <v>0</v>
      </c>
      <c r="J21" s="13">
        <f>Summary!$F$21</f>
        <v>14244604.255025815</v>
      </c>
      <c r="K21" s="13">
        <f>[2]Results!E23</f>
        <v>14244604.255025815</v>
      </c>
      <c r="L21" s="13">
        <f t="shared" si="9"/>
        <v>0</v>
      </c>
      <c r="N21" s="13">
        <f>Summary!$H$21</f>
        <v>4346285.8129516896</v>
      </c>
      <c r="O21" s="13">
        <f>[2]Results!H23</f>
        <v>4346285.8129516905</v>
      </c>
      <c r="P21" s="13">
        <f t="shared" si="10"/>
        <v>0</v>
      </c>
      <c r="R21" s="13">
        <f>Summary!$J$21</f>
        <v>18590890.067977503</v>
      </c>
      <c r="S21" s="13">
        <f>[2]Results!I23</f>
        <v>18590890.067977507</v>
      </c>
      <c r="T21" s="13">
        <f t="shared" si="11"/>
        <v>0</v>
      </c>
      <c r="V21" s="13">
        <f>Summary!$L$21</f>
        <v>0</v>
      </c>
      <c r="W21" s="13">
        <f>[2]Results!H112</f>
        <v>0</v>
      </c>
      <c r="X21" s="13">
        <f t="shared" si="12"/>
        <v>0</v>
      </c>
    </row>
    <row r="22" spans="1:24" x14ac:dyDescent="0.2">
      <c r="A22" s="14" t="s">
        <v>57</v>
      </c>
      <c r="B22" s="13">
        <f>Summary!$B$22</f>
        <v>6726004.9395781606</v>
      </c>
      <c r="C22" s="13">
        <f>[2]Results!C24</f>
        <v>6726004.9395781606</v>
      </c>
      <c r="D22" s="13">
        <f t="shared" si="7"/>
        <v>0</v>
      </c>
      <c r="F22" s="13">
        <f>Summary!$D$22</f>
        <v>-197738.65332847723</v>
      </c>
      <c r="G22" s="13">
        <f>[2]Results!D24</f>
        <v>-197738.65332847723</v>
      </c>
      <c r="H22" s="13">
        <f t="shared" si="8"/>
        <v>0</v>
      </c>
      <c r="J22" s="13">
        <f>Summary!$F$22</f>
        <v>6528266.2862496832</v>
      </c>
      <c r="K22" s="13">
        <f>[2]Results!E24</f>
        <v>6528266.2862496832</v>
      </c>
      <c r="L22" s="13">
        <f t="shared" si="9"/>
        <v>0</v>
      </c>
      <c r="N22" s="13">
        <f>Summary!$H$22</f>
        <v>225350.65996252821</v>
      </c>
      <c r="O22" s="13">
        <f>[2]Results!H24</f>
        <v>225350.65996252824</v>
      </c>
      <c r="P22" s="13">
        <f t="shared" si="10"/>
        <v>0</v>
      </c>
      <c r="R22" s="13">
        <f>Summary!$J$22</f>
        <v>6753616.9462122116</v>
      </c>
      <c r="S22" s="13">
        <f>[2]Results!I24</f>
        <v>6753616.9462122116</v>
      </c>
      <c r="T22" s="13">
        <f t="shared" si="11"/>
        <v>0</v>
      </c>
      <c r="V22" s="13">
        <f>Summary!$L$22</f>
        <v>149761.7455713769</v>
      </c>
      <c r="W22" s="13">
        <f>[2]Results!H113</f>
        <v>149761.74503758849</v>
      </c>
      <c r="X22" s="13">
        <f t="shared" si="12"/>
        <v>-5.3378840675577521E-4</v>
      </c>
    </row>
    <row r="23" spans="1:24" x14ac:dyDescent="0.2">
      <c r="A23" s="14" t="s">
        <v>58</v>
      </c>
      <c r="B23" s="13">
        <f>Summary!$B$23</f>
        <v>664976.96386129013</v>
      </c>
      <c r="C23" s="13">
        <f>[2]Results!C25</f>
        <v>664976.96386129013</v>
      </c>
      <c r="D23" s="13">
        <f t="shared" si="7"/>
        <v>0</v>
      </c>
      <c r="F23" s="13">
        <f>Summary!$D$23</f>
        <v>21803.306990815341</v>
      </c>
      <c r="G23" s="13">
        <f>[2]Results!D25</f>
        <v>21803.306990815341</v>
      </c>
      <c r="H23" s="13">
        <f t="shared" si="8"/>
        <v>0</v>
      </c>
      <c r="J23" s="13">
        <f>Summary!$F$23</f>
        <v>686780.27085210546</v>
      </c>
      <c r="K23" s="13">
        <f>[2]Results!E25</f>
        <v>686780.27085210546</v>
      </c>
      <c r="L23" s="13">
        <f t="shared" si="9"/>
        <v>0</v>
      </c>
      <c r="N23" s="13">
        <f>Summary!$H$23</f>
        <v>22913.064438068472</v>
      </c>
      <c r="O23" s="13">
        <f>[2]Results!H25</f>
        <v>22913.064438068475</v>
      </c>
      <c r="P23" s="13">
        <f t="shared" si="10"/>
        <v>0</v>
      </c>
      <c r="R23" s="13">
        <f>Summary!$J$23</f>
        <v>709693.33529017388</v>
      </c>
      <c r="S23" s="13">
        <f>[2]Results!I25</f>
        <v>709693.33529017388</v>
      </c>
      <c r="T23" s="13">
        <f t="shared" si="11"/>
        <v>0</v>
      </c>
      <c r="V23" s="13">
        <f>Summary!$L$23</f>
        <v>0</v>
      </c>
      <c r="W23" s="13">
        <f>[2]Results!H114</f>
        <v>0</v>
      </c>
      <c r="X23" s="13">
        <f t="shared" si="12"/>
        <v>0</v>
      </c>
    </row>
    <row r="24" spans="1:24" x14ac:dyDescent="0.2">
      <c r="A24" s="14" t="s">
        <v>59</v>
      </c>
      <c r="B24" s="13">
        <f>Summary!$B$24</f>
        <v>0</v>
      </c>
      <c r="C24" s="13">
        <f>[2]Results!C26</f>
        <v>0</v>
      </c>
      <c r="D24" s="13">
        <f t="shared" si="7"/>
        <v>0</v>
      </c>
      <c r="F24" s="13">
        <f>Summary!$D$24</f>
        <v>0</v>
      </c>
      <c r="G24" s="13">
        <f>[2]Results!D26</f>
        <v>0</v>
      </c>
      <c r="H24" s="13">
        <f t="shared" si="8"/>
        <v>0</v>
      </c>
      <c r="J24" s="13">
        <f>Summary!$F$24</f>
        <v>0</v>
      </c>
      <c r="K24" s="13">
        <f>[2]Results!E26</f>
        <v>0</v>
      </c>
      <c r="L24" s="13">
        <f t="shared" si="9"/>
        <v>0</v>
      </c>
      <c r="N24" s="13">
        <f>Summary!$H$24</f>
        <v>0</v>
      </c>
      <c r="O24" s="13">
        <f>[2]Results!H26</f>
        <v>0</v>
      </c>
      <c r="P24" s="13">
        <f t="shared" si="10"/>
        <v>0</v>
      </c>
      <c r="R24" s="13">
        <f>Summary!$J$24</f>
        <v>0</v>
      </c>
      <c r="S24" s="13">
        <f>[2]Results!I26</f>
        <v>0</v>
      </c>
      <c r="T24" s="13">
        <f t="shared" si="11"/>
        <v>0</v>
      </c>
      <c r="V24" s="13">
        <f>Summary!$L$24</f>
        <v>0</v>
      </c>
      <c r="W24" s="13">
        <f>[2]Results!H115</f>
        <v>0</v>
      </c>
      <c r="X24" s="13">
        <f t="shared" si="12"/>
        <v>0</v>
      </c>
    </row>
    <row r="25" spans="1:24" x14ac:dyDescent="0.2">
      <c r="A25" s="14" t="s">
        <v>60</v>
      </c>
      <c r="B25" s="13">
        <f>Summary!$B$25</f>
        <v>17574535.448868852</v>
      </c>
      <c r="C25" s="13">
        <f>[2]Results!C27</f>
        <v>17574535.448868852</v>
      </c>
      <c r="D25" s="13">
        <f t="shared" si="7"/>
        <v>0</v>
      </c>
      <c r="F25" s="13">
        <f>Summary!$D$25</f>
        <v>1397511.8869547788</v>
      </c>
      <c r="G25" s="13">
        <f>[2]Results!D27</f>
        <v>1397511.8869547788</v>
      </c>
      <c r="H25" s="13">
        <f t="shared" si="8"/>
        <v>0</v>
      </c>
      <c r="J25" s="13">
        <f>Summary!$F$25</f>
        <v>18972047.335823633</v>
      </c>
      <c r="K25" s="13">
        <f>[2]Results!E27</f>
        <v>18972047.335823633</v>
      </c>
      <c r="L25" s="13">
        <f t="shared" si="9"/>
        <v>0</v>
      </c>
      <c r="N25" s="13">
        <f>Summary!$H$25</f>
        <v>-3774965.298066901</v>
      </c>
      <c r="O25" s="13">
        <f>[2]Results!H27</f>
        <v>-3774965.298066901</v>
      </c>
      <c r="P25" s="13">
        <f t="shared" si="10"/>
        <v>0</v>
      </c>
      <c r="R25" s="13">
        <f>Summary!$J$25</f>
        <v>15197082.037756732</v>
      </c>
      <c r="S25" s="13">
        <f>[2]Results!I27</f>
        <v>15197082.037756732</v>
      </c>
      <c r="T25" s="13">
        <f t="shared" si="11"/>
        <v>0</v>
      </c>
      <c r="V25" s="13">
        <f>Summary!$L$25</f>
        <v>0</v>
      </c>
      <c r="W25" s="13">
        <f>[2]Results!H116</f>
        <v>0</v>
      </c>
      <c r="X25" s="13">
        <f t="shared" si="12"/>
        <v>0</v>
      </c>
    </row>
    <row r="26" spans="1:24" x14ac:dyDescent="0.2">
      <c r="A26" s="14" t="s">
        <v>61</v>
      </c>
      <c r="B26" s="179">
        <f>Summary!$B$26</f>
        <v>242804905.81654945</v>
      </c>
      <c r="C26" s="179">
        <f>[2]Results!C28</f>
        <v>242804905.81654945</v>
      </c>
      <c r="D26" s="179">
        <f t="shared" si="7"/>
        <v>0</v>
      </c>
      <c r="F26" s="179">
        <f>Summary!$D$26</f>
        <v>-2892466.5794964992</v>
      </c>
      <c r="G26" s="179">
        <f>[2]Results!D28</f>
        <v>-2892466.5794964992</v>
      </c>
      <c r="H26" s="179">
        <f t="shared" si="8"/>
        <v>0</v>
      </c>
      <c r="J26" s="179">
        <f>Summary!$F$26</f>
        <v>239912439.23705295</v>
      </c>
      <c r="K26" s="179">
        <f>[2]Results!E28</f>
        <v>239912439.23705295</v>
      </c>
      <c r="L26" s="179">
        <f t="shared" si="9"/>
        <v>0</v>
      </c>
      <c r="N26" s="179">
        <f>Summary!$H$26</f>
        <v>59701522.469583839</v>
      </c>
      <c r="O26" s="179">
        <f>[2]Results!H28</f>
        <v>59701522.469583839</v>
      </c>
      <c r="P26" s="179">
        <f t="shared" si="10"/>
        <v>0</v>
      </c>
      <c r="R26" s="179">
        <f>Summary!$J$26</f>
        <v>299613961.70663685</v>
      </c>
      <c r="S26" s="179">
        <f>[2]Results!I28</f>
        <v>299613961.70663685</v>
      </c>
      <c r="T26" s="179">
        <f t="shared" si="11"/>
        <v>0</v>
      </c>
      <c r="V26" s="179">
        <f>Summary!$L$26</f>
        <v>149761.7455713769</v>
      </c>
      <c r="W26" s="179">
        <f>W22</f>
        <v>149761.74503758849</v>
      </c>
      <c r="X26" s="179">
        <f t="shared" si="12"/>
        <v>-5.3378840675577521E-4</v>
      </c>
    </row>
    <row r="27" spans="1:24" x14ac:dyDescent="0.2">
      <c r="A27" s="14" t="s">
        <v>62</v>
      </c>
      <c r="B27" s="13">
        <f>Summary!$B$27</f>
        <v>67617924.859086528</v>
      </c>
      <c r="C27" s="13">
        <f>[2]Results!C29</f>
        <v>67617924.859086528</v>
      </c>
      <c r="D27" s="13">
        <f t="shared" si="7"/>
        <v>0</v>
      </c>
      <c r="F27" s="13">
        <f>Summary!$D$27</f>
        <v>0</v>
      </c>
      <c r="G27" s="13">
        <f>[2]Results!D29</f>
        <v>0</v>
      </c>
      <c r="H27" s="13">
        <f t="shared" si="8"/>
        <v>0</v>
      </c>
      <c r="J27" s="13">
        <f>Summary!$F$27</f>
        <v>67617924.859086528</v>
      </c>
      <c r="K27" s="13">
        <f>[2]Results!E29</f>
        <v>67617924.859086528</v>
      </c>
      <c r="L27" s="13">
        <f t="shared" si="9"/>
        <v>0</v>
      </c>
      <c r="N27" s="13">
        <f>Summary!$H$27</f>
        <v>-11998389.233632291</v>
      </c>
      <c r="O27" s="13">
        <f>[2]Results!H29</f>
        <v>-11998389.233632291</v>
      </c>
      <c r="P27" s="13">
        <f t="shared" si="10"/>
        <v>0</v>
      </c>
      <c r="R27" s="13">
        <f>Summary!$J$27</f>
        <v>55619535.62545424</v>
      </c>
      <c r="S27" s="13">
        <f>[2]Results!I29</f>
        <v>55619535.62545424</v>
      </c>
      <c r="T27" s="13">
        <f t="shared" si="11"/>
        <v>0</v>
      </c>
      <c r="V27" s="13">
        <f>Summary!$L$27</f>
        <v>0</v>
      </c>
      <c r="W27" s="13">
        <f>[2]Results!H118</f>
        <v>0</v>
      </c>
      <c r="X27" s="13">
        <f t="shared" si="12"/>
        <v>0</v>
      </c>
    </row>
    <row r="28" spans="1:24" x14ac:dyDescent="0.2">
      <c r="A28" s="14" t="s">
        <v>63</v>
      </c>
      <c r="B28" s="13">
        <f>Summary!$B$28</f>
        <v>4068762.4448733251</v>
      </c>
      <c r="C28" s="13">
        <f>[2]Results!C30</f>
        <v>4068762.4448733251</v>
      </c>
      <c r="D28" s="13">
        <f t="shared" si="7"/>
        <v>0</v>
      </c>
      <c r="F28" s="13">
        <f>Summary!$D$28</f>
        <v>3700582.6343244445</v>
      </c>
      <c r="G28" s="13">
        <f>[2]Results!D30</f>
        <v>3700582.6343244445</v>
      </c>
      <c r="H28" s="13">
        <f t="shared" si="8"/>
        <v>0</v>
      </c>
      <c r="J28" s="13">
        <f>Summary!$F$28</f>
        <v>7769345.07919777</v>
      </c>
      <c r="K28" s="13">
        <f>[2]Results!E30</f>
        <v>7769345.07919777</v>
      </c>
      <c r="L28" s="13">
        <f t="shared" si="9"/>
        <v>0</v>
      </c>
      <c r="N28" s="13">
        <f>Summary!$H$28</f>
        <v>7703313.6481057769</v>
      </c>
      <c r="O28" s="13">
        <f>[2]Results!H30</f>
        <v>7703313.6481057769</v>
      </c>
      <c r="P28" s="13">
        <f t="shared" si="10"/>
        <v>0</v>
      </c>
      <c r="R28" s="13">
        <f>Summary!$J$28</f>
        <v>15472658.727303546</v>
      </c>
      <c r="S28" s="13">
        <f>[2]Results!I30</f>
        <v>15472658.727303546</v>
      </c>
      <c r="T28" s="13">
        <f t="shared" si="11"/>
        <v>0</v>
      </c>
      <c r="V28" s="13">
        <f>Summary!$L$28</f>
        <v>0</v>
      </c>
      <c r="W28" s="13">
        <f>[2]Results!H119</f>
        <v>0</v>
      </c>
      <c r="X28" s="13">
        <f t="shared" si="12"/>
        <v>0</v>
      </c>
    </row>
    <row r="29" spans="1:24" x14ac:dyDescent="0.2">
      <c r="A29" s="14" t="s">
        <v>64</v>
      </c>
      <c r="B29" s="13">
        <f>Summary!$B$29</f>
        <v>26622826.535992358</v>
      </c>
      <c r="C29" s="13">
        <f>[2]Results!C31</f>
        <v>26622826.535992358</v>
      </c>
      <c r="D29" s="13">
        <f t="shared" si="7"/>
        <v>0</v>
      </c>
      <c r="F29" s="13">
        <f>Summary!$D$29</f>
        <v>1214411.2456543308</v>
      </c>
      <c r="G29" s="13">
        <f>[2]Results!D31</f>
        <v>1214411.2456543308</v>
      </c>
      <c r="H29" s="13">
        <f t="shared" si="8"/>
        <v>0</v>
      </c>
      <c r="J29" s="13">
        <f>Summary!$F$29</f>
        <v>27837237.781646688</v>
      </c>
      <c r="K29" s="13">
        <f>[2]Results!E31</f>
        <v>27837237.781646688</v>
      </c>
      <c r="L29" s="13">
        <f t="shared" si="9"/>
        <v>0</v>
      </c>
      <c r="N29" s="13">
        <f>Summary!$H$29</f>
        <v>1060921.9023400173</v>
      </c>
      <c r="O29" s="13">
        <f>[2]Results!H31</f>
        <v>1060921.9023400173</v>
      </c>
      <c r="P29" s="13">
        <f t="shared" si="10"/>
        <v>0</v>
      </c>
      <c r="R29" s="13">
        <f>Summary!$J$29</f>
        <v>28898159.683986705</v>
      </c>
      <c r="S29" s="13">
        <f>[2]Results!I31</f>
        <v>28898159.683986705</v>
      </c>
      <c r="T29" s="13">
        <f t="shared" si="11"/>
        <v>0</v>
      </c>
      <c r="V29" s="13">
        <f>Summary!$L$29</f>
        <v>1143699.4058984676</v>
      </c>
      <c r="W29" s="13">
        <f>[2]Results!H120</f>
        <v>1143699.4018220364</v>
      </c>
      <c r="X29" s="13">
        <f t="shared" si="12"/>
        <v>-4.0764312725514174E-3</v>
      </c>
    </row>
    <row r="30" spans="1:24" x14ac:dyDescent="0.2">
      <c r="A30" s="14" t="s">
        <v>65</v>
      </c>
      <c r="B30" s="13">
        <f>Summary!$B$30</f>
        <v>-11584544.100133309</v>
      </c>
      <c r="C30" s="13">
        <f>[2]Results!C32</f>
        <v>-11584544.100133309</v>
      </c>
      <c r="D30" s="13">
        <f t="shared" si="7"/>
        <v>0</v>
      </c>
      <c r="F30" s="13">
        <f>Summary!$D$30</f>
        <v>18175763.888751026</v>
      </c>
      <c r="G30" s="13">
        <f>[2]Results!D32</f>
        <v>18175763.888751026</v>
      </c>
      <c r="H30" s="13">
        <f t="shared" si="8"/>
        <v>0</v>
      </c>
      <c r="J30" s="13">
        <f>Summary!$F$30</f>
        <v>6591219.7886177115</v>
      </c>
      <c r="K30" s="13">
        <f>[2]Results!E32</f>
        <v>6591219.7886177171</v>
      </c>
      <c r="L30" s="13">
        <f t="shared" si="9"/>
        <v>0</v>
      </c>
      <c r="N30" s="13">
        <f>Summary!$H$30</f>
        <v>-20783660.452388313</v>
      </c>
      <c r="O30" s="13">
        <f>[2]Results!H32</f>
        <v>-20783660.484868456</v>
      </c>
      <c r="P30" s="13">
        <f t="shared" si="10"/>
        <v>-3.2480143010616302E-2</v>
      </c>
      <c r="R30" s="13">
        <f>Summary!$J$30</f>
        <v>-14192440.624534005</v>
      </c>
      <c r="S30" s="13">
        <f>[2]Results!I32</f>
        <v>-14192440.696250739</v>
      </c>
      <c r="T30" s="13">
        <f t="shared" si="11"/>
        <v>-7.1716733276844025E-2</v>
      </c>
      <c r="V30" s="13">
        <f>Summary!$L$30</f>
        <v>5348649.1735111764</v>
      </c>
      <c r="W30" s="13">
        <f>[2]Results!H121</f>
        <v>5348649.1544472501</v>
      </c>
      <c r="X30" s="13">
        <f t="shared" si="12"/>
        <v>-1.9063926301896572E-2</v>
      </c>
    </row>
    <row r="31" spans="1:24" x14ac:dyDescent="0.2">
      <c r="A31" s="14" t="s">
        <v>66</v>
      </c>
      <c r="B31" s="13">
        <f>Summary!$B$31</f>
        <v>0</v>
      </c>
      <c r="C31" s="13">
        <f>[2]Results!C33</f>
        <v>0</v>
      </c>
      <c r="D31" s="13">
        <f t="shared" si="7"/>
        <v>0</v>
      </c>
      <c r="F31" s="13">
        <f>Summary!$D$31</f>
        <v>0</v>
      </c>
      <c r="G31" s="13">
        <f>[2]Results!D33</f>
        <v>0</v>
      </c>
      <c r="H31" s="13">
        <f t="shared" si="8"/>
        <v>0</v>
      </c>
      <c r="J31" s="13">
        <f>Summary!$F$31</f>
        <v>0</v>
      </c>
      <c r="K31" s="13">
        <f>[2]Results!E33</f>
        <v>0</v>
      </c>
      <c r="L31" s="13">
        <f t="shared" si="9"/>
        <v>0</v>
      </c>
      <c r="N31" s="13">
        <f>Summary!$H$31</f>
        <v>0</v>
      </c>
      <c r="O31" s="13">
        <f>[2]Results!H33</f>
        <v>0</v>
      </c>
      <c r="P31" s="13">
        <f t="shared" si="10"/>
        <v>0</v>
      </c>
      <c r="R31" s="13">
        <f>Summary!$J$31</f>
        <v>0</v>
      </c>
      <c r="S31" s="13">
        <f>[2]Results!I33</f>
        <v>0</v>
      </c>
      <c r="T31" s="13">
        <f t="shared" si="11"/>
        <v>0</v>
      </c>
      <c r="V31" s="13">
        <f>Summary!$L$31</f>
        <v>0</v>
      </c>
      <c r="W31" s="13">
        <f>[2]Results!H122</f>
        <v>0</v>
      </c>
      <c r="X31" s="13">
        <f t="shared" si="12"/>
        <v>0</v>
      </c>
    </row>
    <row r="32" spans="1:24" x14ac:dyDescent="0.2">
      <c r="A32" s="14" t="s">
        <v>67</v>
      </c>
      <c r="B32" s="13">
        <f>Summary!$B$32</f>
        <v>-2401026.3881861214</v>
      </c>
      <c r="C32" s="13">
        <f>[2]Results!C34</f>
        <v>-2401026.3881861214</v>
      </c>
      <c r="D32" s="13">
        <f t="shared" si="7"/>
        <v>0</v>
      </c>
      <c r="F32" s="13">
        <f>Summary!$D$32</f>
        <v>511979.77277357085</v>
      </c>
      <c r="G32" s="13">
        <f>[2]Results!D34</f>
        <v>511979.77277357085</v>
      </c>
      <c r="H32" s="13">
        <f t="shared" si="8"/>
        <v>0</v>
      </c>
      <c r="J32" s="13">
        <f>Summary!$F$32</f>
        <v>-1889046.6154125505</v>
      </c>
      <c r="K32" s="13">
        <f>[2]Results!E34</f>
        <v>-1889046.6154125505</v>
      </c>
      <c r="L32" s="13">
        <f t="shared" si="9"/>
        <v>0</v>
      </c>
      <c r="N32" s="13">
        <f>Summary!$H$32</f>
        <v>-822707.8968957602</v>
      </c>
      <c r="O32" s="13">
        <f>[2]Results!H34</f>
        <v>-822707.89689576149</v>
      </c>
      <c r="P32" s="13">
        <f t="shared" si="10"/>
        <v>-1.280568540096283E-9</v>
      </c>
      <c r="R32" s="13">
        <f>Summary!$J$32</f>
        <v>-2711754.5123083107</v>
      </c>
      <c r="S32" s="13">
        <f>[2]Results!I34</f>
        <v>-2711754.5123083121</v>
      </c>
      <c r="T32" s="13">
        <f t="shared" si="11"/>
        <v>0</v>
      </c>
      <c r="V32" s="13">
        <f>Summary!$L$32</f>
        <v>0</v>
      </c>
      <c r="W32" s="13">
        <f>[2]Results!H123</f>
        <v>0</v>
      </c>
      <c r="X32" s="13">
        <f t="shared" si="12"/>
        <v>0</v>
      </c>
    </row>
    <row r="33" spans="1:24" x14ac:dyDescent="0.2">
      <c r="A33" s="14" t="s">
        <v>68</v>
      </c>
      <c r="B33" s="13">
        <f>Summary!$B$33</f>
        <v>0</v>
      </c>
      <c r="C33" s="13">
        <f>[2]Results!C35</f>
        <v>0</v>
      </c>
      <c r="D33" s="13">
        <f t="shared" si="7"/>
        <v>0</v>
      </c>
      <c r="F33" s="13">
        <f>Summary!$D$33</f>
        <v>0</v>
      </c>
      <c r="G33" s="13">
        <f>[2]Results!D35</f>
        <v>0</v>
      </c>
      <c r="H33" s="13">
        <f t="shared" si="8"/>
        <v>0</v>
      </c>
      <c r="J33" s="13">
        <f>Summary!$F$33</f>
        <v>0</v>
      </c>
      <c r="K33" s="13">
        <f>[2]Results!E35</f>
        <v>0</v>
      </c>
      <c r="L33" s="13">
        <f t="shared" si="9"/>
        <v>0</v>
      </c>
      <c r="N33" s="13">
        <f>Summary!$H$33</f>
        <v>0</v>
      </c>
      <c r="O33" s="13">
        <f>[2]Results!H35</f>
        <v>0</v>
      </c>
      <c r="P33" s="13">
        <f t="shared" si="10"/>
        <v>0</v>
      </c>
      <c r="R33" s="13">
        <f>Summary!$J$33</f>
        <v>0</v>
      </c>
      <c r="S33" s="13">
        <f>[2]Results!I35</f>
        <v>0</v>
      </c>
      <c r="T33" s="13">
        <f t="shared" si="11"/>
        <v>0</v>
      </c>
      <c r="V33" s="13">
        <f>Summary!$L$33</f>
        <v>0</v>
      </c>
      <c r="W33" s="13">
        <f>[2]Results!H124</f>
        <v>0</v>
      </c>
      <c r="X33" s="13">
        <f t="shared" si="12"/>
        <v>0</v>
      </c>
    </row>
    <row r="34" spans="1:24" x14ac:dyDescent="0.2">
      <c r="A34" s="14" t="s">
        <v>69</v>
      </c>
      <c r="B34" s="13">
        <f>Summary!$B$34</f>
        <v>-180134.20441316953</v>
      </c>
      <c r="C34" s="13">
        <f>[2]Results!C36</f>
        <v>-180134.20441316953</v>
      </c>
      <c r="D34" s="13">
        <f t="shared" si="7"/>
        <v>0</v>
      </c>
      <c r="F34" s="13">
        <f>Summary!$D$34</f>
        <v>81875.040256100925</v>
      </c>
      <c r="G34" s="13">
        <f>[2]Results!D36</f>
        <v>81875.040256100925</v>
      </c>
      <c r="H34" s="13">
        <f t="shared" si="8"/>
        <v>0</v>
      </c>
      <c r="J34" s="13">
        <f>Summary!$F$34</f>
        <v>-98259.164157068604</v>
      </c>
      <c r="K34" s="13">
        <f>[2]Results!E36</f>
        <v>-98259.164157068604</v>
      </c>
      <c r="L34" s="13">
        <f t="shared" si="9"/>
        <v>0</v>
      </c>
      <c r="N34" s="13">
        <f>Summary!$H$34</f>
        <v>0</v>
      </c>
      <c r="O34" s="13">
        <f>[2]Results!H36</f>
        <v>0</v>
      </c>
      <c r="P34" s="13">
        <f t="shared" si="10"/>
        <v>0</v>
      </c>
      <c r="R34" s="13">
        <f>Summary!$J$34</f>
        <v>-98259.164157068604</v>
      </c>
      <c r="S34" s="13">
        <f>[2]Results!I36</f>
        <v>-98259.164157068604</v>
      </c>
      <c r="T34" s="13">
        <f t="shared" si="11"/>
        <v>0</v>
      </c>
      <c r="V34" s="13">
        <f>Summary!$L$34</f>
        <v>0</v>
      </c>
      <c r="W34" s="13">
        <f>[2]Results!H125</f>
        <v>0</v>
      </c>
      <c r="X34" s="13">
        <f t="shared" si="12"/>
        <v>0</v>
      </c>
    </row>
    <row r="35" spans="1:24" x14ac:dyDescent="0.2">
      <c r="A35" s="14" t="s">
        <v>70</v>
      </c>
      <c r="B35" s="179">
        <f>Summary!$B$35</f>
        <v>326948714.96376914</v>
      </c>
      <c r="C35" s="179">
        <f>[2]Results!C37</f>
        <v>326948714.96376914</v>
      </c>
      <c r="D35" s="179">
        <f t="shared" si="7"/>
        <v>0</v>
      </c>
      <c r="F35" s="179">
        <f>Summary!$D$35</f>
        <v>20792146.002262976</v>
      </c>
      <c r="G35" s="179">
        <f>[2]Results!D37</f>
        <v>20792146.002262976</v>
      </c>
      <c r="H35" s="179">
        <f t="shared" si="8"/>
        <v>0</v>
      </c>
      <c r="J35" s="179">
        <f>Summary!$F$35</f>
        <v>347740860.96603203</v>
      </c>
      <c r="K35" s="179">
        <f>[2]Results!E37</f>
        <v>347740860.96603203</v>
      </c>
      <c r="L35" s="179">
        <f t="shared" si="9"/>
        <v>0</v>
      </c>
      <c r="N35" s="179">
        <f>Summary!$H$35</f>
        <v>34861000.437113278</v>
      </c>
      <c r="O35" s="179">
        <f>[2]Results!H37</f>
        <v>34861000.404633127</v>
      </c>
      <c r="P35" s="179">
        <f t="shared" si="10"/>
        <v>-3.2480150461196899E-2</v>
      </c>
      <c r="R35" s="179">
        <f>Summary!$J$35</f>
        <v>382601861.44238198</v>
      </c>
      <c r="S35" s="179">
        <f>[2]Results!I37</f>
        <v>382601861.37066525</v>
      </c>
      <c r="T35" s="179">
        <f t="shared" si="11"/>
        <v>-7.1716725826263428E-2</v>
      </c>
      <c r="V35" s="179">
        <f>Summary!$L$35</f>
        <v>6642110.3249810208</v>
      </c>
      <c r="W35" s="179">
        <f>[2]Results!H126</f>
        <v>6642110.3013068754</v>
      </c>
      <c r="X35" s="179">
        <f t="shared" si="12"/>
        <v>-2.3674145340919495E-2</v>
      </c>
    </row>
    <row r="36" spans="1:24" x14ac:dyDescent="0.2">
      <c r="A36" s="14"/>
      <c r="B36" s="13"/>
      <c r="C36" s="13"/>
      <c r="D36" s="13"/>
      <c r="F36" s="13"/>
      <c r="G36" s="13"/>
      <c r="H36" s="13"/>
      <c r="J36" s="13"/>
      <c r="K36" s="13"/>
      <c r="L36" s="13"/>
      <c r="N36" s="13"/>
      <c r="O36" s="13"/>
      <c r="P36" s="13"/>
      <c r="R36" s="13"/>
      <c r="S36" s="13"/>
      <c r="T36" s="13"/>
      <c r="V36" s="13"/>
      <c r="W36" s="13"/>
      <c r="X36" s="13"/>
    </row>
    <row r="37" spans="1:24" ht="13.5" thickBot="1" x14ac:dyDescent="0.25">
      <c r="A37" s="14" t="s">
        <v>71</v>
      </c>
      <c r="B37" s="180">
        <f>Summary!$B$37</f>
        <v>67900653.656220019</v>
      </c>
      <c r="C37" s="180">
        <f>[2]Results!C39</f>
        <v>67900653.656220019</v>
      </c>
      <c r="D37" s="180">
        <f>C37-B37</f>
        <v>0</v>
      </c>
      <c r="F37" s="180">
        <f>Summary!$D$37</f>
        <v>10658947.585427165</v>
      </c>
      <c r="G37" s="180">
        <f>[2]Results!D39</f>
        <v>10658947.585427165</v>
      </c>
      <c r="H37" s="180">
        <f>G37-F37</f>
        <v>0</v>
      </c>
      <c r="J37" s="180">
        <f>Summary!$F$37</f>
        <v>78559601.241647243</v>
      </c>
      <c r="K37" s="180">
        <f>[2]Results!E39</f>
        <v>78559601.241647243</v>
      </c>
      <c r="L37" s="180">
        <f>K37-J37</f>
        <v>0</v>
      </c>
      <c r="N37" s="180">
        <f>Summary!$H$37</f>
        <v>-15048474.252409279</v>
      </c>
      <c r="O37" s="180">
        <f>[2]Results!H39</f>
        <v>-15048474.219929129</v>
      </c>
      <c r="P37" s="180">
        <f>O37-N37</f>
        <v>3.2480150461196899E-2</v>
      </c>
      <c r="R37" s="180">
        <f>Summary!$J$37</f>
        <v>63511126.950001299</v>
      </c>
      <c r="S37" s="180">
        <f>[2]Results!I39</f>
        <v>63511127.021718025</v>
      </c>
      <c r="T37" s="180">
        <f>S37-R37</f>
        <v>7.1716725826263428E-2</v>
      </c>
      <c r="V37" s="180">
        <f>Summary!$L$37</f>
        <v>20121108.795589663</v>
      </c>
      <c r="W37" s="180">
        <f>[2]Results!H128</f>
        <v>20121108.723872989</v>
      </c>
      <c r="X37" s="180">
        <f>W37-V37</f>
        <v>-7.1716673672199249E-2</v>
      </c>
    </row>
    <row r="38" spans="1:24" ht="13.5" thickTop="1" x14ac:dyDescent="0.2">
      <c r="A38" s="14"/>
      <c r="B38" s="13"/>
      <c r="C38" s="13"/>
      <c r="D38" s="13"/>
      <c r="F38" s="13"/>
      <c r="G38" s="13"/>
      <c r="H38" s="13"/>
      <c r="J38" s="13"/>
      <c r="K38" s="13"/>
      <c r="L38" s="13"/>
      <c r="N38" s="13"/>
      <c r="O38" s="13"/>
      <c r="P38" s="13"/>
      <c r="R38" s="13"/>
      <c r="S38" s="13"/>
      <c r="T38" s="13"/>
      <c r="V38" s="13"/>
      <c r="W38" s="13"/>
      <c r="X38" s="13"/>
    </row>
    <row r="39" spans="1:24" x14ac:dyDescent="0.2">
      <c r="A39" s="14" t="s">
        <v>72</v>
      </c>
      <c r="B39" s="13"/>
      <c r="C39" s="13"/>
      <c r="D39" s="13"/>
      <c r="F39" s="13"/>
      <c r="G39" s="13"/>
      <c r="H39" s="13"/>
      <c r="J39" s="13"/>
      <c r="K39" s="13"/>
      <c r="L39" s="13"/>
      <c r="N39" s="13"/>
      <c r="O39" s="13"/>
      <c r="P39" s="13"/>
      <c r="R39" s="13"/>
      <c r="S39" s="13"/>
      <c r="T39" s="13"/>
      <c r="V39" s="13"/>
      <c r="W39" s="13"/>
      <c r="X39" s="13"/>
    </row>
    <row r="40" spans="1:24" x14ac:dyDescent="0.2">
      <c r="A40" s="14" t="s">
        <v>73</v>
      </c>
      <c r="B40" s="13">
        <f>Summary!$B$40</f>
        <v>2263546946.4584427</v>
      </c>
      <c r="C40" s="13">
        <f>[2]Results!C42</f>
        <v>2263546946.4584427</v>
      </c>
      <c r="D40" s="13">
        <f t="shared" ref="D40:D51" si="13">C40-B40</f>
        <v>0</v>
      </c>
      <c r="F40" s="13">
        <f>Summary!$D$40</f>
        <v>-337397047.2847805</v>
      </c>
      <c r="G40" s="13">
        <f>[2]Results!D42</f>
        <v>-337397047.28478056</v>
      </c>
      <c r="H40" s="13">
        <f t="shared" ref="H40:H51" si="14">G40-F40</f>
        <v>0</v>
      </c>
      <c r="J40" s="13">
        <f>Summary!$F$40</f>
        <v>1926149899.1736622</v>
      </c>
      <c r="K40" s="13">
        <f>[2]Results!E42</f>
        <v>1926149899.1736622</v>
      </c>
      <c r="L40" s="13">
        <f t="shared" ref="L40:L51" si="15">K40-J40</f>
        <v>0</v>
      </c>
      <c r="N40" s="13">
        <f>Summary!$H$40</f>
        <v>482391789.56799555</v>
      </c>
      <c r="O40" s="13">
        <f>[2]Results!H42</f>
        <v>482391789.56799567</v>
      </c>
      <c r="P40" s="13">
        <f t="shared" ref="P40:P51" si="16">O40-N40</f>
        <v>0</v>
      </c>
      <c r="R40" s="13">
        <f>Summary!$J$40</f>
        <v>2408541688.7416577</v>
      </c>
      <c r="S40" s="13">
        <f>[2]Results!I42</f>
        <v>2408541688.7416577</v>
      </c>
      <c r="T40" s="13">
        <f t="shared" ref="T40:T51" si="17">S40-R40</f>
        <v>0</v>
      </c>
      <c r="V40" s="13">
        <f>Summary!$L$40</f>
        <v>0</v>
      </c>
      <c r="W40" s="13">
        <f>[2]Results!H131</f>
        <v>0</v>
      </c>
      <c r="X40" s="13">
        <f t="shared" ref="X40:X51" si="18">W40-V40</f>
        <v>0</v>
      </c>
    </row>
    <row r="41" spans="1:24" x14ac:dyDescent="0.2">
      <c r="A41" s="14" t="s">
        <v>74</v>
      </c>
      <c r="B41" s="13">
        <f>Summary!$B$41</f>
        <v>467184.71621561563</v>
      </c>
      <c r="C41" s="13">
        <f>[2]Results!C43</f>
        <v>467184.71621561563</v>
      </c>
      <c r="D41" s="13">
        <f t="shared" si="13"/>
        <v>0</v>
      </c>
      <c r="F41" s="13">
        <f>Summary!$D$41</f>
        <v>0</v>
      </c>
      <c r="G41" s="13">
        <f>[2]Results!D43</f>
        <v>0</v>
      </c>
      <c r="H41" s="13">
        <f t="shared" si="14"/>
        <v>0</v>
      </c>
      <c r="J41" s="13">
        <f>Summary!$F$41</f>
        <v>467184.71621561563</v>
      </c>
      <c r="K41" s="13">
        <f>[2]Results!E43</f>
        <v>467184.71621561563</v>
      </c>
      <c r="L41" s="13">
        <f t="shared" si="15"/>
        <v>0</v>
      </c>
      <c r="N41" s="13">
        <f>Summary!$H$41</f>
        <v>0</v>
      </c>
      <c r="O41" s="13">
        <f>[2]Results!H43</f>
        <v>0</v>
      </c>
      <c r="P41" s="13">
        <f t="shared" si="16"/>
        <v>0</v>
      </c>
      <c r="R41" s="13">
        <f>Summary!$J$41</f>
        <v>467184.71621561563</v>
      </c>
      <c r="S41" s="13">
        <f>[2]Results!I43</f>
        <v>467184.71621561563</v>
      </c>
      <c r="T41" s="13">
        <f t="shared" si="17"/>
        <v>0</v>
      </c>
      <c r="V41" s="13">
        <f>Summary!$L$41</f>
        <v>0</v>
      </c>
      <c r="W41" s="13">
        <f>[2]Results!H132</f>
        <v>0</v>
      </c>
      <c r="X41" s="13">
        <f t="shared" si="18"/>
        <v>0</v>
      </c>
    </row>
    <row r="42" spans="1:24" x14ac:dyDescent="0.2">
      <c r="A42" s="14" t="s">
        <v>75</v>
      </c>
      <c r="B42" s="13">
        <f>Summary!$B$42</f>
        <v>9959813.7233746387</v>
      </c>
      <c r="C42" s="13">
        <f>[2]Results!C44</f>
        <v>9959813.7233746387</v>
      </c>
      <c r="D42" s="13">
        <f t="shared" si="13"/>
        <v>0</v>
      </c>
      <c r="F42" s="13">
        <f>Summary!$D$42</f>
        <v>-9959813.7233746424</v>
      </c>
      <c r="G42" s="13">
        <f>[2]Results!D44</f>
        <v>-9959813.7233746424</v>
      </c>
      <c r="H42" s="13">
        <f t="shared" si="14"/>
        <v>0</v>
      </c>
      <c r="J42" s="13">
        <f>Summary!$F$42</f>
        <v>0</v>
      </c>
      <c r="K42" s="13">
        <f>[2]Results!E44</f>
        <v>0</v>
      </c>
      <c r="L42" s="13">
        <f t="shared" si="15"/>
        <v>0</v>
      </c>
      <c r="N42" s="13">
        <f>Summary!$H$42</f>
        <v>392246.6085648014</v>
      </c>
      <c r="O42" s="13">
        <f>[2]Results!H44</f>
        <v>392246.6085648014</v>
      </c>
      <c r="P42" s="13">
        <f t="shared" si="16"/>
        <v>0</v>
      </c>
      <c r="R42" s="13">
        <f>Summary!$J$42</f>
        <v>392246.6085648014</v>
      </c>
      <c r="S42" s="13">
        <f>[2]Results!I44</f>
        <v>392246.6085648014</v>
      </c>
      <c r="T42" s="13">
        <f t="shared" si="17"/>
        <v>0</v>
      </c>
      <c r="V42" s="13">
        <f>Summary!$L$42</f>
        <v>0</v>
      </c>
      <c r="W42" s="13">
        <f>[2]Results!H133</f>
        <v>0</v>
      </c>
      <c r="X42" s="13">
        <f t="shared" si="18"/>
        <v>0</v>
      </c>
    </row>
    <row r="43" spans="1:24" x14ac:dyDescent="0.2">
      <c r="A43" s="14" t="s">
        <v>76</v>
      </c>
      <c r="B43" s="13">
        <f>Summary!$B$43</f>
        <v>115844.19848648913</v>
      </c>
      <c r="C43" s="13">
        <f>[2]Results!C45</f>
        <v>115844.19848648913</v>
      </c>
      <c r="D43" s="13">
        <f t="shared" si="13"/>
        <v>0</v>
      </c>
      <c r="F43" s="13">
        <f>Summary!$D$43</f>
        <v>0</v>
      </c>
      <c r="G43" s="13">
        <f>[2]Results!D45</f>
        <v>0</v>
      </c>
      <c r="H43" s="13">
        <f t="shared" si="14"/>
        <v>0</v>
      </c>
      <c r="J43" s="13">
        <f>Summary!$F$43</f>
        <v>115844.19848648913</v>
      </c>
      <c r="K43" s="13">
        <f>[2]Results!E45</f>
        <v>115844.19848648913</v>
      </c>
      <c r="L43" s="13">
        <f t="shared" si="15"/>
        <v>0</v>
      </c>
      <c r="N43" s="13">
        <f>Summary!$H$43</f>
        <v>0</v>
      </c>
      <c r="O43" s="13">
        <f>[2]Results!H45</f>
        <v>0</v>
      </c>
      <c r="P43" s="13">
        <f t="shared" si="16"/>
        <v>0</v>
      </c>
      <c r="R43" s="13">
        <f>Summary!$J$43</f>
        <v>115844.19848648913</v>
      </c>
      <c r="S43" s="13">
        <f>[2]Results!I45</f>
        <v>115844.19848648913</v>
      </c>
      <c r="T43" s="13">
        <f t="shared" si="17"/>
        <v>0</v>
      </c>
      <c r="V43" s="13">
        <f>Summary!$L$43</f>
        <v>0</v>
      </c>
      <c r="W43" s="13">
        <f>[2]Results!H134</f>
        <v>0</v>
      </c>
      <c r="X43" s="13">
        <f t="shared" si="18"/>
        <v>0</v>
      </c>
    </row>
    <row r="44" spans="1:24" x14ac:dyDescent="0.2">
      <c r="A44" s="14" t="s">
        <v>77</v>
      </c>
      <c r="B44" s="13">
        <f>Summary!$B$44</f>
        <v>0</v>
      </c>
      <c r="C44" s="13">
        <f>[2]Results!C46</f>
        <v>0</v>
      </c>
      <c r="D44" s="13">
        <f t="shared" si="13"/>
        <v>0</v>
      </c>
      <c r="F44" s="13">
        <f>Summary!$D$44</f>
        <v>0</v>
      </c>
      <c r="G44" s="13">
        <f>[2]Results!D46</f>
        <v>0</v>
      </c>
      <c r="H44" s="13">
        <f t="shared" si="14"/>
        <v>0</v>
      </c>
      <c r="J44" s="13">
        <f>Summary!$F$44</f>
        <v>0</v>
      </c>
      <c r="K44" s="13">
        <f>[2]Results!E46</f>
        <v>0</v>
      </c>
      <c r="L44" s="13">
        <f t="shared" si="15"/>
        <v>0</v>
      </c>
      <c r="N44" s="13">
        <f>Summary!$H$44</f>
        <v>0</v>
      </c>
      <c r="O44" s="13">
        <f>[2]Results!H46</f>
        <v>0</v>
      </c>
      <c r="P44" s="13">
        <f t="shared" si="16"/>
        <v>0</v>
      </c>
      <c r="R44" s="13">
        <f>Summary!$J$44</f>
        <v>0</v>
      </c>
      <c r="S44" s="13">
        <f>[2]Results!I46</f>
        <v>0</v>
      </c>
      <c r="T44" s="13">
        <f t="shared" si="17"/>
        <v>0</v>
      </c>
      <c r="V44" s="13">
        <f>Summary!$L$44</f>
        <v>0</v>
      </c>
      <c r="W44" s="13">
        <f>[2]Results!H135</f>
        <v>0</v>
      </c>
      <c r="X44" s="13">
        <f t="shared" si="18"/>
        <v>0</v>
      </c>
    </row>
    <row r="45" spans="1:24" x14ac:dyDescent="0.2">
      <c r="A45" s="14" t="s">
        <v>78</v>
      </c>
      <c r="B45" s="13">
        <f>Summary!$B$45</f>
        <v>3284761.1438008379</v>
      </c>
      <c r="C45" s="13">
        <f>[2]Results!C47</f>
        <v>3284761.1438008379</v>
      </c>
      <c r="D45" s="13">
        <f t="shared" si="13"/>
        <v>0</v>
      </c>
      <c r="F45" s="13">
        <f>Summary!$D$45</f>
        <v>-3284761.1438008333</v>
      </c>
      <c r="G45" s="13">
        <f>[2]Results!D47</f>
        <v>-3284761.1438008333</v>
      </c>
      <c r="H45" s="13">
        <f t="shared" si="14"/>
        <v>0</v>
      </c>
      <c r="J45" s="13">
        <f>Summary!$F$45</f>
        <v>4.6566128730773926E-9</v>
      </c>
      <c r="K45" s="13">
        <f>[2]Results!E47</f>
        <v>4.6566128730773926E-9</v>
      </c>
      <c r="L45" s="13">
        <f t="shared" si="15"/>
        <v>0</v>
      </c>
      <c r="N45" s="13">
        <f>Summary!$H$45</f>
        <v>0</v>
      </c>
      <c r="O45" s="13">
        <f>[2]Results!H47</f>
        <v>0</v>
      </c>
      <c r="P45" s="13">
        <f t="shared" si="16"/>
        <v>0</v>
      </c>
      <c r="R45" s="13">
        <f>Summary!$J$45</f>
        <v>4.6566128730773926E-9</v>
      </c>
      <c r="S45" s="13">
        <f>[2]Results!I47</f>
        <v>4.6566128730773926E-9</v>
      </c>
      <c r="T45" s="13">
        <f t="shared" si="17"/>
        <v>0</v>
      </c>
      <c r="V45" s="13">
        <f>Summary!$L$45</f>
        <v>0</v>
      </c>
      <c r="W45" s="13">
        <f>[2]Results!H136</f>
        <v>0</v>
      </c>
      <c r="X45" s="13">
        <f t="shared" si="18"/>
        <v>0</v>
      </c>
    </row>
    <row r="46" spans="1:24" x14ac:dyDescent="0.2">
      <c r="A46" s="14" t="s">
        <v>79</v>
      </c>
      <c r="B46" s="13">
        <f>Summary!$B$46</f>
        <v>9196314.682773713</v>
      </c>
      <c r="C46" s="13">
        <f>[2]Results!C48</f>
        <v>9196314.682773713</v>
      </c>
      <c r="D46" s="13">
        <f t="shared" si="13"/>
        <v>0</v>
      </c>
      <c r="F46" s="13">
        <f>Summary!$D$46</f>
        <v>-9196314.6827737149</v>
      </c>
      <c r="G46" s="13">
        <f>[2]Results!D48</f>
        <v>-9196314.6827737149</v>
      </c>
      <c r="H46" s="13">
        <f t="shared" si="14"/>
        <v>0</v>
      </c>
      <c r="J46" s="13">
        <f>Summary!$F$46</f>
        <v>0</v>
      </c>
      <c r="K46" s="13">
        <f>[2]Results!E48</f>
        <v>0</v>
      </c>
      <c r="L46" s="13">
        <f t="shared" si="15"/>
        <v>0</v>
      </c>
      <c r="N46" s="13">
        <f>Summary!$H$46</f>
        <v>0</v>
      </c>
      <c r="O46" s="13">
        <f>[2]Results!H48</f>
        <v>0</v>
      </c>
      <c r="P46" s="13">
        <f t="shared" si="16"/>
        <v>0</v>
      </c>
      <c r="R46" s="13">
        <f>Summary!$J$46</f>
        <v>0</v>
      </c>
      <c r="S46" s="13">
        <f>[2]Results!I48</f>
        <v>0</v>
      </c>
      <c r="T46" s="13">
        <f t="shared" si="17"/>
        <v>0</v>
      </c>
      <c r="V46" s="13">
        <f>Summary!$L$46</f>
        <v>0</v>
      </c>
      <c r="W46" s="13">
        <f>[2]Results!H137</f>
        <v>0</v>
      </c>
      <c r="X46" s="13">
        <f t="shared" si="18"/>
        <v>0</v>
      </c>
    </row>
    <row r="47" spans="1:24" x14ac:dyDescent="0.2">
      <c r="A47" s="14" t="s">
        <v>80</v>
      </c>
      <c r="B47" s="13">
        <f>Summary!$B$47</f>
        <v>12260466.638808388</v>
      </c>
      <c r="C47" s="13">
        <f>[2]Results!C49</f>
        <v>12260466.638808388</v>
      </c>
      <c r="D47" s="13">
        <f t="shared" si="13"/>
        <v>0</v>
      </c>
      <c r="F47" s="13">
        <f>Summary!$D$47</f>
        <v>-12260466.638721503</v>
      </c>
      <c r="G47" s="13">
        <f>[2]Results!D49</f>
        <v>-12260466.638721503</v>
      </c>
      <c r="H47" s="13">
        <f t="shared" si="14"/>
        <v>0</v>
      </c>
      <c r="J47" s="13">
        <f>Summary!$F$47</f>
        <v>8.6884945631027222E-5</v>
      </c>
      <c r="K47" s="13">
        <f>[2]Results!E49</f>
        <v>8.6884945631027222E-5</v>
      </c>
      <c r="L47" s="13">
        <f t="shared" si="15"/>
        <v>0</v>
      </c>
      <c r="N47" s="13">
        <f>Summary!$H$47</f>
        <v>0</v>
      </c>
      <c r="O47" s="13">
        <f>[2]Results!H49</f>
        <v>0</v>
      </c>
      <c r="P47" s="13">
        <f t="shared" si="16"/>
        <v>0</v>
      </c>
      <c r="R47" s="13">
        <f>Summary!$J$47</f>
        <v>8.6884945631027222E-5</v>
      </c>
      <c r="S47" s="13">
        <f>[2]Results!I49</f>
        <v>8.6884945631027222E-5</v>
      </c>
      <c r="T47" s="13">
        <f t="shared" si="17"/>
        <v>0</v>
      </c>
      <c r="V47" s="13">
        <f>Summary!$L$47</f>
        <v>0</v>
      </c>
      <c r="W47" s="13">
        <f>[2]Results!H138</f>
        <v>0</v>
      </c>
      <c r="X47" s="13">
        <f t="shared" si="18"/>
        <v>0</v>
      </c>
    </row>
    <row r="48" spans="1:24" x14ac:dyDescent="0.2">
      <c r="A48" s="14" t="s">
        <v>81</v>
      </c>
      <c r="B48" s="13">
        <f>Summary!$B$48</f>
        <v>2747159.4147250163</v>
      </c>
      <c r="C48" s="13">
        <f>[2]Results!C50</f>
        <v>2747159.4147250163</v>
      </c>
      <c r="D48" s="13">
        <f t="shared" si="13"/>
        <v>0</v>
      </c>
      <c r="F48" s="13">
        <f>Summary!$D$48</f>
        <v>27126509.002465546</v>
      </c>
      <c r="G48" s="13">
        <f>[2]Results!D50</f>
        <v>27126509.002465546</v>
      </c>
      <c r="H48" s="13">
        <f t="shared" si="14"/>
        <v>0</v>
      </c>
      <c r="J48" s="13">
        <f>Summary!$F$48</f>
        <v>29873668.417190563</v>
      </c>
      <c r="K48" s="13">
        <f>[2]Results!E50</f>
        <v>29873668.417190563</v>
      </c>
      <c r="L48" s="13">
        <f t="shared" si="15"/>
        <v>0</v>
      </c>
      <c r="N48" s="13">
        <f>Summary!$H$48</f>
        <v>0</v>
      </c>
      <c r="O48" s="13">
        <f>[2]Results!H50</f>
        <v>0</v>
      </c>
      <c r="P48" s="13">
        <f t="shared" si="16"/>
        <v>0</v>
      </c>
      <c r="R48" s="13">
        <f>Summary!$J$48</f>
        <v>29873668.417190563</v>
      </c>
      <c r="S48" s="13">
        <f>[2]Results!I50</f>
        <v>29873668.417190563</v>
      </c>
      <c r="T48" s="13">
        <f t="shared" si="17"/>
        <v>0</v>
      </c>
      <c r="V48" s="13">
        <f>Summary!$L$48</f>
        <v>0</v>
      </c>
      <c r="W48" s="13">
        <f>[2]Results!H139</f>
        <v>0</v>
      </c>
      <c r="X48" s="13">
        <f t="shared" si="18"/>
        <v>0</v>
      </c>
    </row>
    <row r="49" spans="1:24" x14ac:dyDescent="0.2">
      <c r="A49" s="14" t="s">
        <v>82</v>
      </c>
      <c r="B49" s="13">
        <f>Summary!$B$49</f>
        <v>3311.89</v>
      </c>
      <c r="C49" s="13">
        <f>[2]Results!C51</f>
        <v>3311.89</v>
      </c>
      <c r="D49" s="13">
        <f t="shared" si="13"/>
        <v>0</v>
      </c>
      <c r="F49" s="13">
        <f>Summary!$D$49</f>
        <v>0</v>
      </c>
      <c r="G49" s="13">
        <f>[2]Results!D51</f>
        <v>0</v>
      </c>
      <c r="H49" s="13">
        <f t="shared" si="14"/>
        <v>0</v>
      </c>
      <c r="J49" s="13">
        <f>Summary!$F$49</f>
        <v>3311.89</v>
      </c>
      <c r="K49" s="13">
        <f>[2]Results!E51</f>
        <v>3311.89</v>
      </c>
      <c r="L49" s="13">
        <f t="shared" si="15"/>
        <v>0</v>
      </c>
      <c r="N49" s="13">
        <f>Summary!$H$49</f>
        <v>0</v>
      </c>
      <c r="O49" s="13">
        <f>[2]Results!H51</f>
        <v>0</v>
      </c>
      <c r="P49" s="13">
        <f t="shared" si="16"/>
        <v>0</v>
      </c>
      <c r="R49" s="13">
        <f>Summary!$J$49</f>
        <v>3311.89</v>
      </c>
      <c r="S49" s="13">
        <f>[2]Results!I51</f>
        <v>3311.89</v>
      </c>
      <c r="T49" s="13">
        <f t="shared" si="17"/>
        <v>0</v>
      </c>
      <c r="V49" s="13">
        <f>Summary!$L$49</f>
        <v>0</v>
      </c>
      <c r="W49" s="13">
        <f>[2]Results!H140</f>
        <v>0</v>
      </c>
      <c r="X49" s="13">
        <f t="shared" si="18"/>
        <v>0</v>
      </c>
    </row>
    <row r="50" spans="1:24" x14ac:dyDescent="0.2">
      <c r="A50" s="14" t="s">
        <v>83</v>
      </c>
      <c r="B50" s="13">
        <f>Summary!$B$50</f>
        <v>0</v>
      </c>
      <c r="C50" s="13">
        <f>[2]Results!C52</f>
        <v>0</v>
      </c>
      <c r="D50" s="13">
        <f t="shared" si="13"/>
        <v>0</v>
      </c>
      <c r="F50" s="13">
        <f>Summary!$D$50</f>
        <v>0</v>
      </c>
      <c r="G50" s="13">
        <f>[2]Results!D52</f>
        <v>0</v>
      </c>
      <c r="H50" s="13">
        <f t="shared" si="14"/>
        <v>0</v>
      </c>
      <c r="J50" s="13">
        <f>Summary!$F$50</f>
        <v>0</v>
      </c>
      <c r="K50" s="13">
        <f>[2]Results!E52</f>
        <v>0</v>
      </c>
      <c r="L50" s="13">
        <f t="shared" si="15"/>
        <v>0</v>
      </c>
      <c r="N50" s="13">
        <f>Summary!$H$50</f>
        <v>0</v>
      </c>
      <c r="O50" s="13">
        <f>[2]Results!H52</f>
        <v>0</v>
      </c>
      <c r="P50" s="13">
        <f t="shared" si="16"/>
        <v>0</v>
      </c>
      <c r="R50" s="13">
        <f>Summary!$J$50</f>
        <v>0</v>
      </c>
      <c r="S50" s="13">
        <f>[2]Results!I52</f>
        <v>0</v>
      </c>
      <c r="T50" s="13">
        <f t="shared" si="17"/>
        <v>0</v>
      </c>
      <c r="V50" s="13">
        <f>Summary!$L$50</f>
        <v>0</v>
      </c>
      <c r="W50" s="13">
        <f>[2]Results!H141</f>
        <v>0</v>
      </c>
      <c r="X50" s="13">
        <f t="shared" si="18"/>
        <v>0</v>
      </c>
    </row>
    <row r="51" spans="1:24" ht="13.5" thickBot="1" x14ac:dyDescent="0.25">
      <c r="A51" s="14" t="s">
        <v>84</v>
      </c>
      <c r="B51" s="180">
        <f>Summary!$B$51</f>
        <v>2301581802.8666267</v>
      </c>
      <c r="C51" s="180">
        <f>[2]Results!C53</f>
        <v>2301581802.8666267</v>
      </c>
      <c r="D51" s="180">
        <f t="shared" si="13"/>
        <v>0</v>
      </c>
      <c r="F51" s="180">
        <f>Summary!$D$51</f>
        <v>-344971894.47098571</v>
      </c>
      <c r="G51" s="180">
        <f>[2]Results!D53</f>
        <v>-344971894.47098577</v>
      </c>
      <c r="H51" s="180">
        <f t="shared" si="14"/>
        <v>0</v>
      </c>
      <c r="J51" s="180">
        <f>Summary!$F$51</f>
        <v>1956609908.3956418</v>
      </c>
      <c r="K51" s="180">
        <f>[2]Results!E53</f>
        <v>1956609908.3956418</v>
      </c>
      <c r="L51" s="180">
        <f t="shared" si="15"/>
        <v>0</v>
      </c>
      <c r="N51" s="180">
        <f>Summary!$H$51</f>
        <v>482784036.17656034</v>
      </c>
      <c r="O51" s="180">
        <f>[2]Results!H53</f>
        <v>482784036.17656046</v>
      </c>
      <c r="P51" s="180">
        <f t="shared" si="16"/>
        <v>0</v>
      </c>
      <c r="R51" s="180">
        <f>Summary!$J$51</f>
        <v>2439393944.5722017</v>
      </c>
      <c r="S51" s="180">
        <f>[2]Results!I53</f>
        <v>2439393944.5722017</v>
      </c>
      <c r="T51" s="180">
        <f t="shared" si="17"/>
        <v>0</v>
      </c>
      <c r="V51" s="180">
        <f>Summary!$L$51</f>
        <v>0</v>
      </c>
      <c r="W51" s="180">
        <f>[2]Results!H142</f>
        <v>0</v>
      </c>
      <c r="X51" s="180">
        <f t="shared" si="18"/>
        <v>0</v>
      </c>
    </row>
    <row r="52" spans="1:24" ht="13.5" thickTop="1" x14ac:dyDescent="0.2">
      <c r="A52" s="14"/>
      <c r="B52" s="13"/>
      <c r="C52" s="13"/>
      <c r="D52" s="13"/>
      <c r="F52" s="13"/>
      <c r="G52" s="13"/>
      <c r="H52" s="13"/>
      <c r="J52" s="13"/>
      <c r="K52" s="13"/>
      <c r="L52" s="13"/>
      <c r="N52" s="13"/>
      <c r="O52" s="13"/>
      <c r="P52" s="13"/>
      <c r="R52" s="13"/>
      <c r="S52" s="13"/>
      <c r="T52" s="13"/>
      <c r="V52" s="13"/>
      <c r="W52" s="13"/>
      <c r="X52" s="13"/>
    </row>
    <row r="53" spans="1:24" x14ac:dyDescent="0.2">
      <c r="A53" s="14" t="s">
        <v>85</v>
      </c>
      <c r="B53" s="13"/>
      <c r="C53" s="13"/>
      <c r="D53" s="13"/>
      <c r="F53" s="13"/>
      <c r="G53" s="13"/>
      <c r="H53" s="13"/>
      <c r="J53" s="13"/>
      <c r="K53" s="13"/>
      <c r="L53" s="13"/>
      <c r="N53" s="13"/>
      <c r="O53" s="13"/>
      <c r="P53" s="13"/>
      <c r="R53" s="13"/>
      <c r="S53" s="13"/>
      <c r="T53" s="13"/>
      <c r="V53" s="13"/>
      <c r="W53" s="13"/>
      <c r="X53" s="13"/>
    </row>
    <row r="54" spans="1:24" x14ac:dyDescent="0.2">
      <c r="A54" s="14" t="s">
        <v>86</v>
      </c>
      <c r="B54" s="13">
        <f>Summary!$B$54</f>
        <v>-750094987.07093287</v>
      </c>
      <c r="C54" s="13">
        <f>[2]Results!C56</f>
        <v>-750094987.07093287</v>
      </c>
      <c r="D54" s="13">
        <f t="shared" ref="D54:D62" si="19">C54-B54</f>
        <v>0</v>
      </c>
      <c r="F54" s="13">
        <f>Summary!$D$54</f>
        <v>142190073.21610382</v>
      </c>
      <c r="G54" s="13">
        <f>[2]Results!D56</f>
        <v>142190073.21610385</v>
      </c>
      <c r="H54" s="13">
        <f t="shared" ref="H54:H62" si="20">G54-F54</f>
        <v>0</v>
      </c>
      <c r="J54" s="13">
        <f>Summary!$F$54</f>
        <v>-607904913.85482907</v>
      </c>
      <c r="K54" s="13">
        <f>[2]Results!E56</f>
        <v>-607904913.85482907</v>
      </c>
      <c r="L54" s="13">
        <f t="shared" ref="L54:L62" si="21">K54-J54</f>
        <v>0</v>
      </c>
      <c r="N54" s="13">
        <f>Summary!$H$54</f>
        <v>-397596192.47010535</v>
      </c>
      <c r="O54" s="13">
        <f>[2]Results!H56</f>
        <v>-397596192.47010535</v>
      </c>
      <c r="P54" s="13">
        <f t="shared" ref="P54:P62" si="22">O54-N54</f>
        <v>0</v>
      </c>
      <c r="R54" s="13">
        <f>Summary!$J$54</f>
        <v>-1005501106.3249345</v>
      </c>
      <c r="S54" s="13">
        <f>[2]Results!I56</f>
        <v>-1005501106.3249345</v>
      </c>
      <c r="T54" s="13">
        <f t="shared" ref="T54:T62" si="23">S54-R54</f>
        <v>0</v>
      </c>
      <c r="V54" s="13">
        <f>Summary!$L$54</f>
        <v>0</v>
      </c>
      <c r="W54" s="13">
        <f>[2]Results!H145</f>
        <v>0</v>
      </c>
      <c r="X54" s="13">
        <f t="shared" ref="X54:X62" si="24">W54-V54</f>
        <v>0</v>
      </c>
    </row>
    <row r="55" spans="1:24" x14ac:dyDescent="0.2">
      <c r="A55" s="14" t="s">
        <v>87</v>
      </c>
      <c r="B55" s="13">
        <f>Summary!$B$55</f>
        <v>-55896700.377980158</v>
      </c>
      <c r="C55" s="13">
        <f>[2]Results!C57</f>
        <v>-55896700.377980158</v>
      </c>
      <c r="D55" s="13">
        <f t="shared" si="19"/>
        <v>0</v>
      </c>
      <c r="F55" s="13">
        <f>Summary!$D$55</f>
        <v>-1545676.0641232664</v>
      </c>
      <c r="G55" s="13">
        <f>[2]Results!D57</f>
        <v>-1545676.0641232661</v>
      </c>
      <c r="H55" s="13">
        <f t="shared" si="20"/>
        <v>0</v>
      </c>
      <c r="J55" s="13">
        <f>Summary!$F$55</f>
        <v>-57442376.442103423</v>
      </c>
      <c r="K55" s="13">
        <f>[2]Results!E57</f>
        <v>-57442376.442103423</v>
      </c>
      <c r="L55" s="13">
        <f t="shared" si="21"/>
        <v>0</v>
      </c>
      <c r="N55" s="13">
        <f>Summary!$H$55</f>
        <v>-7490520.9057901539</v>
      </c>
      <c r="O55" s="13">
        <f>[2]Results!H57</f>
        <v>-7490520.9057901539</v>
      </c>
      <c r="P55" s="13">
        <f t="shared" si="22"/>
        <v>0</v>
      </c>
      <c r="R55" s="13">
        <f>Summary!$J$55</f>
        <v>-64932897.347893581</v>
      </c>
      <c r="S55" s="13">
        <f>[2]Results!I57</f>
        <v>-64932897.347893581</v>
      </c>
      <c r="T55" s="13">
        <f t="shared" si="23"/>
        <v>0</v>
      </c>
      <c r="V55" s="13">
        <f>Summary!$L$55</f>
        <v>0</v>
      </c>
      <c r="W55" s="13">
        <f>[2]Results!H146</f>
        <v>0</v>
      </c>
      <c r="X55" s="13">
        <f t="shared" si="24"/>
        <v>0</v>
      </c>
    </row>
    <row r="56" spans="1:24" x14ac:dyDescent="0.2">
      <c r="A56" s="14" t="s">
        <v>88</v>
      </c>
      <c r="B56" s="13">
        <f>Summary!$B$56</f>
        <v>-161876853.08065826</v>
      </c>
      <c r="C56" s="13">
        <f>[2]Results!C58</f>
        <v>-161876853.08065826</v>
      </c>
      <c r="D56" s="13">
        <f t="shared" si="19"/>
        <v>0</v>
      </c>
      <c r="F56" s="13">
        <f>Summary!$D$56</f>
        <v>-2150455.7059734226</v>
      </c>
      <c r="G56" s="13">
        <f>[2]Results!D58</f>
        <v>-2150455.7059734222</v>
      </c>
      <c r="H56" s="13">
        <f t="shared" si="20"/>
        <v>0</v>
      </c>
      <c r="J56" s="13">
        <f>Summary!$F$56</f>
        <v>-164027308.78663167</v>
      </c>
      <c r="K56" s="13">
        <f>[2]Results!E58</f>
        <v>-164027308.78663167</v>
      </c>
      <c r="L56" s="13">
        <f t="shared" si="21"/>
        <v>0</v>
      </c>
      <c r="N56" s="13">
        <f>Summary!$H$56</f>
        <v>-928599.56466116162</v>
      </c>
      <c r="O56" s="13">
        <f>[2]Results!H58</f>
        <v>-928599.56466116011</v>
      </c>
      <c r="P56" s="13">
        <f t="shared" si="22"/>
        <v>1.5133991837501526E-9</v>
      </c>
      <c r="R56" s="13">
        <f>Summary!$J$56</f>
        <v>-164955908.35129285</v>
      </c>
      <c r="S56" s="13">
        <f>[2]Results!I58</f>
        <v>-164955908.35129285</v>
      </c>
      <c r="T56" s="13">
        <f t="shared" si="23"/>
        <v>0</v>
      </c>
      <c r="V56" s="13">
        <f>Summary!$L$56</f>
        <v>0</v>
      </c>
      <c r="W56" s="13">
        <f>[2]Results!H147</f>
        <v>0</v>
      </c>
      <c r="X56" s="13">
        <f t="shared" si="24"/>
        <v>0</v>
      </c>
    </row>
    <row r="57" spans="1:24" x14ac:dyDescent="0.2">
      <c r="A57" s="14" t="s">
        <v>89</v>
      </c>
      <c r="B57" s="13">
        <f>Summary!$B$57</f>
        <v>-14943.338687945423</v>
      </c>
      <c r="C57" s="13">
        <f>[2]Results!C59</f>
        <v>-14943.338687945423</v>
      </c>
      <c r="D57" s="13">
        <f t="shared" si="19"/>
        <v>0</v>
      </c>
      <c r="F57" s="13">
        <f>Summary!$D$57</f>
        <v>0</v>
      </c>
      <c r="G57" s="13">
        <f>[2]Results!D59</f>
        <v>0</v>
      </c>
      <c r="H57" s="13">
        <f t="shared" si="20"/>
        <v>0</v>
      </c>
      <c r="J57" s="13">
        <f>Summary!$F$57</f>
        <v>-14943.338687945423</v>
      </c>
      <c r="K57" s="13">
        <f>[2]Results!E59</f>
        <v>-14943.338687945423</v>
      </c>
      <c r="L57" s="13">
        <f t="shared" si="21"/>
        <v>0</v>
      </c>
      <c r="N57" s="13">
        <f>Summary!$H$57</f>
        <v>0</v>
      </c>
      <c r="O57" s="13">
        <f>[2]Results!H59</f>
        <v>0</v>
      </c>
      <c r="P57" s="13">
        <f t="shared" si="22"/>
        <v>0</v>
      </c>
      <c r="R57" s="13">
        <f>Summary!$J$57</f>
        <v>-14943.338687945423</v>
      </c>
      <c r="S57" s="13">
        <f>[2]Results!I59</f>
        <v>-14943.338687945423</v>
      </c>
      <c r="T57" s="13">
        <f t="shared" si="23"/>
        <v>0</v>
      </c>
      <c r="V57" s="13">
        <f>Summary!$L$57</f>
        <v>0</v>
      </c>
      <c r="W57" s="13">
        <f>[2]Results!H148</f>
        <v>0</v>
      </c>
      <c r="X57" s="13">
        <f t="shared" si="24"/>
        <v>0</v>
      </c>
    </row>
    <row r="58" spans="1:24" x14ac:dyDescent="0.2">
      <c r="A58" s="14" t="s">
        <v>90</v>
      </c>
      <c r="B58" s="13">
        <f>Summary!$B$58</f>
        <v>-6092041.5722579714</v>
      </c>
      <c r="C58" s="13">
        <f>[2]Results!C60</f>
        <v>-6092041.5722579714</v>
      </c>
      <c r="D58" s="13">
        <f t="shared" si="19"/>
        <v>0</v>
      </c>
      <c r="F58" s="13">
        <f>Summary!$D$58</f>
        <v>-1733115.077035418</v>
      </c>
      <c r="G58" s="13">
        <f>[2]Results!D60</f>
        <v>-1733115.077035418</v>
      </c>
      <c r="H58" s="13">
        <f t="shared" si="20"/>
        <v>0</v>
      </c>
      <c r="J58" s="13">
        <f>Summary!$F$58</f>
        <v>-7825156.6492933892</v>
      </c>
      <c r="K58" s="13">
        <f>[2]Results!E60</f>
        <v>-7825156.6492933892</v>
      </c>
      <c r="L58" s="13">
        <f t="shared" si="21"/>
        <v>0</v>
      </c>
      <c r="N58" s="13">
        <f>Summary!$H$58</f>
        <v>0</v>
      </c>
      <c r="O58" s="13">
        <f>[2]Results!H60</f>
        <v>0</v>
      </c>
      <c r="P58" s="13">
        <f t="shared" si="22"/>
        <v>0</v>
      </c>
      <c r="R58" s="13">
        <f>Summary!$J$58</f>
        <v>-7825156.6492933892</v>
      </c>
      <c r="S58" s="13">
        <f>[2]Results!I60</f>
        <v>-7825156.6492933892</v>
      </c>
      <c r="T58" s="13">
        <f t="shared" si="23"/>
        <v>0</v>
      </c>
      <c r="V58" s="13">
        <f>Summary!$L$58</f>
        <v>0</v>
      </c>
      <c r="W58" s="13">
        <f>[2]Results!H149</f>
        <v>0</v>
      </c>
      <c r="X58" s="13">
        <f t="shared" si="24"/>
        <v>0</v>
      </c>
    </row>
    <row r="59" spans="1:24" x14ac:dyDescent="0.2">
      <c r="A59" s="14" t="s">
        <v>91</v>
      </c>
      <c r="B59" s="13">
        <f>Summary!$B$59</f>
        <v>0</v>
      </c>
      <c r="C59" s="13">
        <f>[2]Results!C61</f>
        <v>0</v>
      </c>
      <c r="D59" s="13">
        <f t="shared" si="19"/>
        <v>0</v>
      </c>
      <c r="F59" s="13">
        <f>Summary!$D$59</f>
        <v>-408390.63249999989</v>
      </c>
      <c r="G59" s="13">
        <f>[2]Results!D61</f>
        <v>-408390.63249999989</v>
      </c>
      <c r="H59" s="13">
        <f t="shared" si="20"/>
        <v>0</v>
      </c>
      <c r="J59" s="13">
        <f>Summary!$F$59</f>
        <v>-408390.63249999989</v>
      </c>
      <c r="K59" s="13">
        <f>[2]Results!E61</f>
        <v>-408390.63249999989</v>
      </c>
      <c r="L59" s="13">
        <f t="shared" si="21"/>
        <v>0</v>
      </c>
      <c r="N59" s="13">
        <f>Summary!$H$59</f>
        <v>0</v>
      </c>
      <c r="O59" s="13">
        <f>[2]Results!H61</f>
        <v>0</v>
      </c>
      <c r="P59" s="13">
        <f t="shared" si="22"/>
        <v>0</v>
      </c>
      <c r="R59" s="13">
        <f>Summary!$J$59</f>
        <v>-408390.63249999989</v>
      </c>
      <c r="S59" s="13">
        <f>[2]Results!I61</f>
        <v>-408390.63249999989</v>
      </c>
      <c r="T59" s="13">
        <f t="shared" si="23"/>
        <v>0</v>
      </c>
      <c r="V59" s="13">
        <f>Summary!$L$59</f>
        <v>0</v>
      </c>
      <c r="W59" s="13">
        <f>[2]Results!H150</f>
        <v>0</v>
      </c>
      <c r="X59" s="13">
        <f t="shared" si="24"/>
        <v>0</v>
      </c>
    </row>
    <row r="60" spans="1:24" x14ac:dyDescent="0.2">
      <c r="A60" s="14" t="s">
        <v>92</v>
      </c>
      <c r="B60" s="13">
        <f>Summary!$B$60</f>
        <v>-177208730.2009342</v>
      </c>
      <c r="C60" s="13">
        <f>[2]Results!C62</f>
        <v>-177208730.2009342</v>
      </c>
      <c r="D60" s="13">
        <f t="shared" si="19"/>
        <v>0</v>
      </c>
      <c r="F60" s="13">
        <f>Summary!$D$60</f>
        <v>45480887.370662242</v>
      </c>
      <c r="G60" s="13">
        <f>[2]Results!D62</f>
        <v>45480887.370662242</v>
      </c>
      <c r="H60" s="13">
        <f t="shared" si="20"/>
        <v>0</v>
      </c>
      <c r="J60" s="13">
        <f>Summary!$F$60</f>
        <v>-131727842.83027196</v>
      </c>
      <c r="K60" s="13">
        <f>[2]Results!E62</f>
        <v>-131727842.83027196</v>
      </c>
      <c r="L60" s="13">
        <f t="shared" si="21"/>
        <v>0</v>
      </c>
      <c r="N60" s="13">
        <f>Summary!$H$60</f>
        <v>36396647.603050716</v>
      </c>
      <c r="O60" s="13">
        <f>[2]Results!H62</f>
        <v>36396647.603050716</v>
      </c>
      <c r="P60" s="13">
        <f t="shared" si="22"/>
        <v>0</v>
      </c>
      <c r="R60" s="13">
        <f>Summary!$J$60</f>
        <v>-95331195.227221251</v>
      </c>
      <c r="S60" s="13">
        <f>[2]Results!I62</f>
        <v>-95331195.227221251</v>
      </c>
      <c r="T60" s="13">
        <f t="shared" si="23"/>
        <v>0</v>
      </c>
      <c r="V60" s="13">
        <f>Summary!$L$60</f>
        <v>0</v>
      </c>
      <c r="W60" s="13">
        <f>[2]Results!H151</f>
        <v>0</v>
      </c>
      <c r="X60" s="13">
        <f t="shared" si="24"/>
        <v>0</v>
      </c>
    </row>
    <row r="61" spans="1:24" x14ac:dyDescent="0.2">
      <c r="A61" s="14"/>
      <c r="B61" s="13"/>
      <c r="C61" s="13"/>
      <c r="D61" s="13">
        <f t="shared" si="19"/>
        <v>0</v>
      </c>
      <c r="F61" s="13"/>
      <c r="G61" s="13"/>
      <c r="H61" s="13"/>
      <c r="J61" s="13"/>
      <c r="K61" s="13"/>
      <c r="L61" s="13"/>
      <c r="N61" s="13"/>
      <c r="O61" s="13"/>
      <c r="P61" s="13"/>
      <c r="R61" s="13"/>
      <c r="S61" s="13"/>
      <c r="T61" s="13"/>
      <c r="V61" s="13"/>
      <c r="W61" s="13"/>
      <c r="X61" s="13"/>
    </row>
    <row r="62" spans="1:24" ht="13.5" thickBot="1" x14ac:dyDescent="0.25">
      <c r="A62" s="14" t="s">
        <v>93</v>
      </c>
      <c r="B62" s="180">
        <f>Summary!$B$62</f>
        <v>-1151184255.6414514</v>
      </c>
      <c r="C62" s="180">
        <f>[2]Results!C64</f>
        <v>-1151184255.6414514</v>
      </c>
      <c r="D62" s="180">
        <f t="shared" si="19"/>
        <v>0</v>
      </c>
      <c r="F62" s="180">
        <f>Summary!$D$62</f>
        <v>181833323.10713395</v>
      </c>
      <c r="G62" s="180">
        <f>[2]Results!D64</f>
        <v>181833323.10713398</v>
      </c>
      <c r="H62" s="180">
        <f t="shared" si="20"/>
        <v>0</v>
      </c>
      <c r="J62" s="180">
        <f>Summary!$F$62</f>
        <v>-969350932.53431749</v>
      </c>
      <c r="K62" s="180">
        <f>[2]Results!E64</f>
        <v>-969350932.53431749</v>
      </c>
      <c r="L62" s="180">
        <f t="shared" si="21"/>
        <v>0</v>
      </c>
      <c r="N62" s="180">
        <f>Summary!$H$62</f>
        <v>-369618665.33750594</v>
      </c>
      <c r="O62" s="180">
        <f>[2]Results!H64</f>
        <v>-369618665.33750594</v>
      </c>
      <c r="P62" s="180">
        <f t="shared" si="22"/>
        <v>0</v>
      </c>
      <c r="R62" s="180">
        <f>Summary!$J$62</f>
        <v>-1338969597.8718233</v>
      </c>
      <c r="S62" s="180">
        <f>[2]Results!I64</f>
        <v>-1338969597.8718233</v>
      </c>
      <c r="T62" s="180">
        <f t="shared" si="23"/>
        <v>0</v>
      </c>
      <c r="V62" s="180">
        <f>Summary!$L$62</f>
        <v>0</v>
      </c>
      <c r="W62" s="180">
        <f>[2]Results!H153</f>
        <v>0</v>
      </c>
      <c r="X62" s="180">
        <f t="shared" si="24"/>
        <v>0</v>
      </c>
    </row>
    <row r="63" spans="1:24" ht="13.5" thickTop="1" x14ac:dyDescent="0.2">
      <c r="A63" s="14"/>
      <c r="B63" s="13"/>
      <c r="C63" s="13"/>
      <c r="D63" s="13"/>
      <c r="F63" s="13"/>
      <c r="G63" s="13"/>
      <c r="H63" s="13"/>
      <c r="J63" s="13"/>
      <c r="K63" s="13"/>
      <c r="L63" s="13"/>
      <c r="N63" s="13"/>
      <c r="O63" s="13"/>
      <c r="P63" s="13"/>
      <c r="R63" s="13"/>
      <c r="S63" s="13"/>
      <c r="T63" s="13"/>
      <c r="V63" s="13"/>
      <c r="W63" s="13"/>
      <c r="X63" s="13"/>
    </row>
    <row r="64" spans="1:24" ht="13.5" thickBot="1" x14ac:dyDescent="0.25">
      <c r="A64" s="14" t="s">
        <v>94</v>
      </c>
      <c r="B64" s="180">
        <f>Summary!$B$64</f>
        <v>1150397547.2251754</v>
      </c>
      <c r="C64" s="180">
        <f>[2]Results!C66</f>
        <v>1150397547.2251754</v>
      </c>
      <c r="D64" s="180">
        <f>C64-B64</f>
        <v>0</v>
      </c>
      <c r="F64" s="180">
        <f>Summary!$D$64</f>
        <v>-163138571.36385176</v>
      </c>
      <c r="G64" s="180">
        <f>[2]Results!D66</f>
        <v>-163138571.36385179</v>
      </c>
      <c r="H64" s="180">
        <f>G64-F64</f>
        <v>0</v>
      </c>
      <c r="J64" s="180">
        <f>Summary!$F$64</f>
        <v>987258975.86132431</v>
      </c>
      <c r="K64" s="180">
        <f>[2]Results!E66</f>
        <v>987258975.86132431</v>
      </c>
      <c r="L64" s="180">
        <f>K64-J64</f>
        <v>0</v>
      </c>
      <c r="N64" s="180">
        <f>Summary!$H$64</f>
        <v>113165370.83905441</v>
      </c>
      <c r="O64" s="180">
        <f>[2]Results!H66</f>
        <v>113165370.83905452</v>
      </c>
      <c r="P64" s="180">
        <f>O64-N64</f>
        <v>1.1920928955078125E-7</v>
      </c>
      <c r="R64" s="180">
        <f>Summary!$J$64</f>
        <v>1100424346.7003784</v>
      </c>
      <c r="S64" s="180">
        <f>[2]Results!I66</f>
        <v>1100424346.7003784</v>
      </c>
      <c r="T64" s="180">
        <f>S64-R64</f>
        <v>0</v>
      </c>
      <c r="V64" s="180">
        <f>Summary!$L$64</f>
        <v>0</v>
      </c>
      <c r="W64" s="180">
        <f>[2]Results!H155</f>
        <v>0</v>
      </c>
      <c r="X64" s="180">
        <f>W64-V64</f>
        <v>0</v>
      </c>
    </row>
    <row r="65" spans="1:24" ht="13.5" thickTop="1" x14ac:dyDescent="0.2">
      <c r="A65" s="14"/>
      <c r="B65" s="13"/>
      <c r="C65" s="13"/>
      <c r="D65" s="13"/>
      <c r="F65" s="13"/>
      <c r="G65" s="13"/>
      <c r="H65" s="13"/>
      <c r="J65" s="13"/>
      <c r="K65" s="13"/>
      <c r="L65" s="13"/>
      <c r="N65" s="13"/>
      <c r="O65" s="13"/>
      <c r="P65" s="13"/>
      <c r="R65" s="13"/>
      <c r="S65" s="13"/>
      <c r="T65" s="13"/>
      <c r="V65" s="13"/>
      <c r="W65" s="13"/>
      <c r="X65" s="13"/>
    </row>
    <row r="66" spans="1:24" x14ac:dyDescent="0.2">
      <c r="A66" s="14" t="s">
        <v>43</v>
      </c>
      <c r="B66" s="286"/>
      <c r="C66" s="286"/>
      <c r="D66" s="286"/>
      <c r="F66" s="286"/>
      <c r="G66" s="286"/>
      <c r="H66" s="286"/>
      <c r="J66" s="286"/>
      <c r="K66" s="286"/>
      <c r="L66" s="286"/>
      <c r="N66" s="286"/>
      <c r="O66" s="286"/>
      <c r="P66" s="286"/>
      <c r="R66" s="286"/>
      <c r="S66" s="286"/>
      <c r="T66" s="286"/>
      <c r="V66" s="286"/>
      <c r="W66" s="286"/>
      <c r="X66" s="286"/>
    </row>
    <row r="67" spans="1:24" x14ac:dyDescent="0.2">
      <c r="A67" s="14" t="s">
        <v>95</v>
      </c>
      <c r="B67" s="286">
        <f>Summary!$B$67</f>
        <v>6.9782431408979315E-2</v>
      </c>
      <c r="C67" s="286">
        <f>[2]Results!C69</f>
        <v>6.9782431408979315E-2</v>
      </c>
      <c r="D67" s="286">
        <f t="shared" ref="D67" si="25">C67-B67</f>
        <v>0</v>
      </c>
      <c r="F67" s="286">
        <f>Summary!$D$67</f>
        <v>4.0081540639769347E-2</v>
      </c>
      <c r="G67" s="286">
        <f>[2]Results!D69</f>
        <v>4.0081540639769347E-2</v>
      </c>
      <c r="H67" s="286">
        <f t="shared" ref="H67" si="26">G67-F67</f>
        <v>0</v>
      </c>
      <c r="J67" s="286">
        <f>Summary!$F$67</f>
        <v>0.10986397204874866</v>
      </c>
      <c r="K67" s="286">
        <f>[2]Results!E69</f>
        <v>0.10986397204874866</v>
      </c>
      <c r="L67" s="286">
        <f t="shared" ref="L67" si="27">K67-J67</f>
        <v>0</v>
      </c>
      <c r="N67" s="286">
        <f>Summary!$H$67</f>
        <v>-4.2633752838809713E-2</v>
      </c>
      <c r="O67" s="286">
        <f>[2]Results!H69</f>
        <v>-4.2633752711694561E-2</v>
      </c>
      <c r="P67" s="286">
        <f t="shared" ref="P67" si="28">O67-N67</f>
        <v>1.2711515173791099E-10</v>
      </c>
      <c r="R67" s="286">
        <f>Summary!$J$67</f>
        <v>6.7230219209938949E-2</v>
      </c>
      <c r="S67" s="286">
        <f>[2]Results!I69</f>
        <v>6.723021933705399E-2</v>
      </c>
      <c r="T67" s="286">
        <f t="shared" ref="T67" si="29">S67-R67</f>
        <v>1.2711504071560853E-10</v>
      </c>
      <c r="V67" s="286"/>
      <c r="W67" s="286"/>
      <c r="X67" s="286"/>
    </row>
    <row r="68" spans="1:24" x14ac:dyDescent="0.2">
      <c r="A68" s="14"/>
      <c r="B68" s="16"/>
      <c r="C68" s="16"/>
      <c r="D68" s="16"/>
      <c r="F68" s="16"/>
      <c r="G68" s="16"/>
      <c r="H68" s="16"/>
      <c r="J68" s="16"/>
      <c r="K68" s="16"/>
      <c r="L68" s="16"/>
      <c r="N68" s="16"/>
      <c r="O68" s="16"/>
      <c r="P68" s="16"/>
      <c r="R68" s="16"/>
      <c r="S68" s="16"/>
      <c r="T68" s="16"/>
      <c r="V68" s="16"/>
      <c r="W68" s="16"/>
      <c r="X68" s="16"/>
    </row>
    <row r="69" spans="1:24" x14ac:dyDescent="0.2">
      <c r="A69" s="14" t="s">
        <v>96</v>
      </c>
      <c r="B69" s="13"/>
      <c r="C69" s="13"/>
      <c r="D69" s="13"/>
      <c r="F69" s="13"/>
      <c r="G69" s="13"/>
      <c r="H69" s="13"/>
      <c r="J69" s="13"/>
      <c r="K69" s="13"/>
      <c r="L69" s="13"/>
      <c r="N69" s="13"/>
      <c r="O69" s="13"/>
      <c r="P69" s="13"/>
      <c r="R69" s="13"/>
      <c r="S69" s="13"/>
      <c r="T69" s="13"/>
      <c r="V69" s="13"/>
      <c r="W69" s="13"/>
      <c r="X69" s="13"/>
    </row>
    <row r="70" spans="1:24" x14ac:dyDescent="0.2">
      <c r="A70" s="14" t="s">
        <v>97</v>
      </c>
      <c r="B70" s="13">
        <f>Summary!$B$71</f>
        <v>53915083.167900674</v>
      </c>
      <c r="C70" s="13">
        <f>[2]Results!C72</f>
        <v>53915083.167900674</v>
      </c>
      <c r="D70" s="13">
        <f t="shared" ref="D70:D79" si="30">C70-B70</f>
        <v>0</v>
      </c>
      <c r="F70" s="13">
        <f>Summary!$D$71</f>
        <v>29346691.246951763</v>
      </c>
      <c r="G70" s="13">
        <f>[2]Results!D72</f>
        <v>29346691.246951763</v>
      </c>
      <c r="H70" s="13">
        <f t="shared" ref="H70:H76" si="31">G70-F70</f>
        <v>0</v>
      </c>
      <c r="J70" s="13">
        <f>Summary!$F$71</f>
        <v>83261774.414852411</v>
      </c>
      <c r="K70" s="13">
        <f>[2]Results!E72</f>
        <v>83261774.414852411</v>
      </c>
      <c r="L70" s="13">
        <f t="shared" ref="L70:L76" si="32">K70-J70</f>
        <v>0</v>
      </c>
      <c r="N70" s="13">
        <f>Summary!$H$71</f>
        <v>-36654842.601693347</v>
      </c>
      <c r="O70" s="13">
        <f>[2]Results!H72</f>
        <v>-36654842.601693325</v>
      </c>
      <c r="P70" s="13">
        <f t="shared" ref="P70:P75" si="33">O70-N70</f>
        <v>0</v>
      </c>
      <c r="R70" s="13">
        <f>Summary!$J$71</f>
        <v>46606932</v>
      </c>
      <c r="S70" s="13">
        <f>[2]Results!I72</f>
        <v>46606931.813158996</v>
      </c>
      <c r="T70" s="13">
        <f t="shared" ref="T70:T76" si="34">S70-R70</f>
        <v>-0.18684100359678268</v>
      </c>
      <c r="V70" s="13">
        <f>Summary!$L$71</f>
        <v>25469757.96910084</v>
      </c>
      <c r="W70" s="13">
        <f>[2]Results!H161</f>
        <v>25469757.878320239</v>
      </c>
      <c r="X70" s="13">
        <f t="shared" ref="X70:X76" si="35">W70-V70</f>
        <v>-9.0780600905418396E-2</v>
      </c>
    </row>
    <row r="71" spans="1:24" x14ac:dyDescent="0.2">
      <c r="A71" s="14" t="s">
        <v>98</v>
      </c>
      <c r="B71" s="13">
        <f>Summary!$B$72</f>
        <v>0</v>
      </c>
      <c r="C71" s="13">
        <f>[2]Results!C73</f>
        <v>0</v>
      </c>
      <c r="D71" s="13">
        <f t="shared" si="30"/>
        <v>0</v>
      </c>
      <c r="F71" s="13">
        <f>Summary!$D$72</f>
        <v>0</v>
      </c>
      <c r="G71" s="13">
        <f>[2]Results!D73</f>
        <v>0</v>
      </c>
      <c r="H71" s="13">
        <f t="shared" si="31"/>
        <v>0</v>
      </c>
      <c r="J71" s="13">
        <f>Summary!$F$72</f>
        <v>0</v>
      </c>
      <c r="K71" s="13">
        <f>[2]Results!E73</f>
        <v>0</v>
      </c>
      <c r="L71" s="13">
        <f t="shared" si="32"/>
        <v>0</v>
      </c>
      <c r="N71" s="13">
        <f>Summary!$H$72</f>
        <v>0</v>
      </c>
      <c r="O71" s="13">
        <f>[2]Results!H73</f>
        <v>0</v>
      </c>
      <c r="P71" s="13">
        <f t="shared" si="33"/>
        <v>0</v>
      </c>
      <c r="R71" s="13">
        <f>Summary!$J$72</f>
        <v>0</v>
      </c>
      <c r="S71" s="13">
        <f>[2]Results!I73</f>
        <v>0</v>
      </c>
      <c r="T71" s="13">
        <f t="shared" si="34"/>
        <v>0</v>
      </c>
      <c r="V71" s="13">
        <f>Summary!$L$72</f>
        <v>0</v>
      </c>
      <c r="W71" s="13">
        <f>[2]Results!H162</f>
        <v>0</v>
      </c>
      <c r="X71" s="13">
        <f t="shared" si="35"/>
        <v>0</v>
      </c>
    </row>
    <row r="72" spans="1:24" x14ac:dyDescent="0.2">
      <c r="A72" s="14" t="s">
        <v>99</v>
      </c>
      <c r="B72" s="13">
        <f>Summary!$B$73</f>
        <v>-3636274.7351071914</v>
      </c>
      <c r="C72" s="13">
        <f>[2]Results!C74</f>
        <v>-3636274.7351071914</v>
      </c>
      <c r="D72" s="13">
        <f t="shared" si="30"/>
        <v>0</v>
      </c>
      <c r="F72" s="13">
        <f>Summary!$D$73</f>
        <v>0</v>
      </c>
      <c r="G72" s="13">
        <f>[2]Results!D74</f>
        <v>0</v>
      </c>
      <c r="H72" s="13">
        <f t="shared" si="31"/>
        <v>0</v>
      </c>
      <c r="J72" s="13">
        <f>Summary!$F$73</f>
        <v>-3636274.7351071914</v>
      </c>
      <c r="K72" s="13">
        <f>[2]Results!E74</f>
        <v>-3636274.7351071914</v>
      </c>
      <c r="L72" s="13">
        <f t="shared" si="32"/>
        <v>0</v>
      </c>
      <c r="N72" s="13">
        <f>Summary!$H$73</f>
        <v>0</v>
      </c>
      <c r="O72" s="13">
        <f>[2]Results!H74</f>
        <v>0</v>
      </c>
      <c r="P72" s="13">
        <f t="shared" si="33"/>
        <v>0</v>
      </c>
      <c r="R72" s="13">
        <f>Summary!$J$73</f>
        <v>-3636274.7351071914</v>
      </c>
      <c r="S72" s="13">
        <f>[2]Results!I74</f>
        <v>-3636274.7351071914</v>
      </c>
      <c r="T72" s="13">
        <f t="shared" si="34"/>
        <v>0</v>
      </c>
      <c r="V72" s="13">
        <f>Summary!$L$73</f>
        <v>0</v>
      </c>
      <c r="W72" s="13">
        <f>[2]Results!H163</f>
        <v>0</v>
      </c>
      <c r="X72" s="13">
        <f t="shared" si="35"/>
        <v>0</v>
      </c>
    </row>
    <row r="73" spans="1:24" x14ac:dyDescent="0.2">
      <c r="A73" s="14" t="s">
        <v>100</v>
      </c>
      <c r="B73" s="13">
        <f>Summary!$B$74</f>
        <v>27945749.878154576</v>
      </c>
      <c r="C73" s="13">
        <f>[2]Results!C75</f>
        <v>27945749.878154576</v>
      </c>
      <c r="D73" s="13">
        <f t="shared" si="30"/>
        <v>0</v>
      </c>
      <c r="F73" s="13">
        <f>Summary!$D$74</f>
        <v>-5002404.1441638805</v>
      </c>
      <c r="G73" s="13">
        <f>[2]Results!D75</f>
        <v>-5002404.1441638805</v>
      </c>
      <c r="H73" s="13">
        <f t="shared" si="31"/>
        <v>0</v>
      </c>
      <c r="J73" s="13">
        <f>Summary!$F$74</f>
        <v>22943345.733990695</v>
      </c>
      <c r="K73" s="13">
        <f>[2]Results!E75</f>
        <v>22943345.733990695</v>
      </c>
      <c r="L73" s="13">
        <f t="shared" si="32"/>
        <v>0</v>
      </c>
      <c r="N73" s="13">
        <f>Summary!$H$74</f>
        <v>2629899.8456919454</v>
      </c>
      <c r="O73" s="13">
        <f>[2]Results!H75</f>
        <v>2629899.8456919454</v>
      </c>
      <c r="P73" s="13">
        <f t="shared" si="33"/>
        <v>0</v>
      </c>
      <c r="R73" s="13">
        <f>Summary!$J$74</f>
        <v>25573245.579682641</v>
      </c>
      <c r="S73" s="13">
        <f>[2]Results!I75</f>
        <v>25573245.579682641</v>
      </c>
      <c r="T73" s="13">
        <f t="shared" si="34"/>
        <v>0</v>
      </c>
      <c r="V73" s="13">
        <f>Summary!$L$74</f>
        <v>0</v>
      </c>
      <c r="W73" s="13">
        <f>[2]Results!H164</f>
        <v>0</v>
      </c>
      <c r="X73" s="13">
        <f t="shared" si="35"/>
        <v>0</v>
      </c>
    </row>
    <row r="74" spans="1:24" x14ac:dyDescent="0.2">
      <c r="A74" s="14" t="s">
        <v>101</v>
      </c>
      <c r="B74" s="13">
        <f>Summary!$B$75</f>
        <v>75168482.555254906</v>
      </c>
      <c r="C74" s="13">
        <f>[2]Results!C76</f>
        <v>75168482.555254906</v>
      </c>
      <c r="D74" s="13">
        <f t="shared" si="30"/>
        <v>0</v>
      </c>
      <c r="F74" s="13">
        <f>Summary!$D$75</f>
        <v>1370029.8969781273</v>
      </c>
      <c r="G74" s="13">
        <f>[2]Results!D76</f>
        <v>1370029.8969781273</v>
      </c>
      <c r="H74" s="13">
        <f t="shared" si="31"/>
        <v>0</v>
      </c>
      <c r="J74" s="13">
        <f>Summary!$F$75</f>
        <v>76538512.452233031</v>
      </c>
      <c r="K74" s="13">
        <f>[2]Results!E76</f>
        <v>76538512.452233031</v>
      </c>
      <c r="L74" s="13">
        <f t="shared" si="32"/>
        <v>0</v>
      </c>
      <c r="N74" s="13">
        <f>Summary!$H$75</f>
        <v>25893346.240085904</v>
      </c>
      <c r="O74" s="13">
        <f>[2]Results!H76</f>
        <v>25893346.085418552</v>
      </c>
      <c r="P74" s="13">
        <f t="shared" si="33"/>
        <v>-0.15466735139489174</v>
      </c>
      <c r="R74" s="13">
        <f>Summary!$J$75</f>
        <v>102431858.69231893</v>
      </c>
      <c r="S74" s="13">
        <f>[2]Results!I76</f>
        <v>102431858.53765158</v>
      </c>
      <c r="T74" s="13">
        <f t="shared" si="34"/>
        <v>-0.15466734766960144</v>
      </c>
      <c r="V74" s="13">
        <f>Summary!$L$75</f>
        <v>0</v>
      </c>
      <c r="W74" s="13">
        <f>[2]Results!H165</f>
        <v>0</v>
      </c>
      <c r="X74" s="13">
        <f t="shared" si="35"/>
        <v>0</v>
      </c>
    </row>
    <row r="75" spans="1:24" x14ac:dyDescent="0.2">
      <c r="A75" s="14" t="s">
        <v>102</v>
      </c>
      <c r="B75" s="178">
        <f>Summary!$B$76</f>
        <v>107655465.02100359</v>
      </c>
      <c r="C75" s="178">
        <f>[2]Results!C77</f>
        <v>107655465.02100359</v>
      </c>
      <c r="D75" s="178">
        <f t="shared" si="30"/>
        <v>0</v>
      </c>
      <c r="F75" s="178">
        <f>Summary!$D$76</f>
        <v>1328870.096516567</v>
      </c>
      <c r="G75" s="178">
        <f>[2]Results!D77</f>
        <v>1328870.096516567</v>
      </c>
      <c r="H75" s="178">
        <f t="shared" si="31"/>
        <v>0</v>
      </c>
      <c r="J75" s="178">
        <f>Summary!$F$76</f>
        <v>108984335.11752015</v>
      </c>
      <c r="K75" s="178">
        <f>[2]Results!E77</f>
        <v>108984335.11752015</v>
      </c>
      <c r="L75" s="178">
        <f t="shared" si="32"/>
        <v>0</v>
      </c>
      <c r="N75" s="178">
        <f>Summary!$H$76</f>
        <v>4659710.6852754867</v>
      </c>
      <c r="O75" s="178">
        <f>[2]Results!H77</f>
        <v>4659710.6852754895</v>
      </c>
      <c r="P75" s="178">
        <f t="shared" si="33"/>
        <v>0</v>
      </c>
      <c r="R75" s="178">
        <f>Summary!$J$76</f>
        <v>113644045.80279563</v>
      </c>
      <c r="S75" s="178">
        <f>[2]Results!I77</f>
        <v>113644045.80279565</v>
      </c>
      <c r="T75" s="178">
        <f t="shared" si="34"/>
        <v>0</v>
      </c>
      <c r="V75" s="178">
        <f>Summary!$L$76</f>
        <v>0</v>
      </c>
      <c r="W75" s="178">
        <v>0</v>
      </c>
      <c r="X75" s="178">
        <f t="shared" si="35"/>
        <v>0</v>
      </c>
    </row>
    <row r="76" spans="1:24" x14ac:dyDescent="0.2">
      <c r="A76" s="14" t="s">
        <v>103</v>
      </c>
      <c r="B76" s="13">
        <f>Summary!$B$77</f>
        <v>-2881374.4408953935</v>
      </c>
      <c r="C76" s="13">
        <f>[2]Results!C78</f>
        <v>-2881374.4408953935</v>
      </c>
      <c r="D76" s="13">
        <f t="shared" si="30"/>
        <v>0</v>
      </c>
      <c r="F76" s="13">
        <f>Summary!$D$77</f>
        <v>34390255.191577204</v>
      </c>
      <c r="G76" s="13">
        <f>[2]Results!D78</f>
        <v>34390255.191577204</v>
      </c>
      <c r="H76" s="13">
        <f t="shared" si="31"/>
        <v>0</v>
      </c>
      <c r="J76" s="13">
        <f>Summary!$F$77</f>
        <v>31508880.750681788</v>
      </c>
      <c r="K76" s="13">
        <f>[2]Results!E78</f>
        <v>31508880.75068181</v>
      </c>
      <c r="L76" s="13">
        <f t="shared" si="32"/>
        <v>0</v>
      </c>
      <c r="N76" s="13">
        <f>Summary!$H$77</f>
        <v>-18051106.89257488</v>
      </c>
      <c r="O76" s="13">
        <f>[2]Results!H78</f>
        <v>-18051107.047242202</v>
      </c>
      <c r="P76" s="13">
        <f>O76-N76</f>
        <v>-0.15466732159256935</v>
      </c>
      <c r="R76" s="13">
        <f>Summary!$J$77</f>
        <v>13457774.044947848</v>
      </c>
      <c r="S76" s="13">
        <f>[2]Results!I78</f>
        <v>13457773.703439608</v>
      </c>
      <c r="T76" s="13">
        <f t="shared" si="34"/>
        <v>-0.34150823950767517</v>
      </c>
      <c r="V76" s="13">
        <f>Summary!$L$77</f>
        <v>25469757.96910084</v>
      </c>
      <c r="W76" s="13">
        <f>[2]Results!$H$166</f>
        <v>25469757.878320239</v>
      </c>
      <c r="X76" s="13">
        <f t="shared" si="35"/>
        <v>-9.0780600905418396E-2</v>
      </c>
    </row>
    <row r="77" spans="1:24" x14ac:dyDescent="0.2">
      <c r="A77" s="14"/>
      <c r="B77" s="13"/>
      <c r="C77" s="13"/>
      <c r="D77" s="13"/>
      <c r="F77" s="13"/>
      <c r="G77" s="13"/>
      <c r="H77" s="13"/>
      <c r="J77" s="13"/>
      <c r="K77" s="13"/>
      <c r="L77" s="13"/>
      <c r="N77" s="13"/>
      <c r="O77" s="13"/>
      <c r="P77" s="13"/>
      <c r="R77" s="13"/>
      <c r="S77" s="13"/>
      <c r="T77" s="13"/>
      <c r="V77" s="13"/>
      <c r="W77" s="13"/>
      <c r="X77" s="13"/>
    </row>
    <row r="78" spans="1:24" x14ac:dyDescent="0.2">
      <c r="A78" s="14" t="s">
        <v>104</v>
      </c>
      <c r="B78" s="13">
        <f>Summary!$B$79</f>
        <v>0</v>
      </c>
      <c r="C78" s="13">
        <f>[2]Results!C80</f>
        <v>0</v>
      </c>
      <c r="D78" s="13">
        <f t="shared" si="30"/>
        <v>0</v>
      </c>
      <c r="F78" s="13">
        <f>Summary!$D$79</f>
        <v>0</v>
      </c>
      <c r="G78" s="13">
        <f>[2]Results!D80</f>
        <v>0</v>
      </c>
      <c r="H78" s="13">
        <f t="shared" ref="H78:H79" si="36">G78-F78</f>
        <v>0</v>
      </c>
      <c r="J78" s="13">
        <f>Summary!$F$79</f>
        <v>0</v>
      </c>
      <c r="K78" s="13">
        <f>[2]Results!E80</f>
        <v>0</v>
      </c>
      <c r="L78" s="13">
        <f t="shared" ref="L78:L82" si="37">K78-J78</f>
        <v>0</v>
      </c>
      <c r="N78" s="13">
        <f>Summary!$H$79</f>
        <v>0</v>
      </c>
      <c r="O78" s="13">
        <f>[2]Results!H80</f>
        <v>0</v>
      </c>
      <c r="P78" s="13">
        <f t="shared" ref="P78:P82" si="38">O78-N78</f>
        <v>0</v>
      </c>
      <c r="R78" s="13">
        <f>Summary!$J$79</f>
        <v>0</v>
      </c>
      <c r="S78" s="13">
        <f>[2]Results!I80</f>
        <v>0</v>
      </c>
      <c r="T78" s="13">
        <f t="shared" ref="T78:T82" si="39">S78-R78</f>
        <v>0</v>
      </c>
      <c r="V78" s="13">
        <f>Summary!$L$79</f>
        <v>0</v>
      </c>
      <c r="W78" s="13">
        <v>0</v>
      </c>
      <c r="X78" s="13">
        <f t="shared" ref="X78:X79" si="40">W78-V78</f>
        <v>0</v>
      </c>
    </row>
    <row r="79" spans="1:24" x14ac:dyDescent="0.2">
      <c r="A79" s="14" t="s">
        <v>105</v>
      </c>
      <c r="B79" s="13">
        <f>Summary!$B$80</f>
        <v>-2881374.4408953935</v>
      </c>
      <c r="C79" s="13">
        <f>[2]Results!C81</f>
        <v>-2881374.4408953935</v>
      </c>
      <c r="D79" s="13">
        <f t="shared" si="30"/>
        <v>0</v>
      </c>
      <c r="F79" s="13">
        <f>Summary!$D$80</f>
        <v>34390255.191577204</v>
      </c>
      <c r="G79" s="13">
        <f>[2]Results!D81</f>
        <v>34390255.191577204</v>
      </c>
      <c r="H79" s="13">
        <f t="shared" si="36"/>
        <v>0</v>
      </c>
      <c r="J79" s="13">
        <f>Summary!$F$80</f>
        <v>31508880.750681788</v>
      </c>
      <c r="K79" s="13">
        <f>[2]Results!E81</f>
        <v>31508880.75068181</v>
      </c>
      <c r="L79" s="13">
        <f t="shared" si="37"/>
        <v>0</v>
      </c>
      <c r="N79" s="13">
        <f>Summary!$H$80</f>
        <v>-18051106.89257488</v>
      </c>
      <c r="O79" s="13">
        <f>[2]Results!H81</f>
        <v>-18051107.047242202</v>
      </c>
      <c r="P79" s="13">
        <f>O79-N79</f>
        <v>-0.15466732159256935</v>
      </c>
      <c r="R79" s="13">
        <f>Summary!$J$80</f>
        <v>13457774.044947848</v>
      </c>
      <c r="S79" s="13">
        <f>[2]Results!I81</f>
        <v>13457773.703439608</v>
      </c>
      <c r="T79" s="13">
        <f t="shared" si="39"/>
        <v>-0.34150823950767517</v>
      </c>
      <c r="V79" s="13">
        <f>Summary!$L$80</f>
        <v>25469757.96910084</v>
      </c>
      <c r="W79" s="13">
        <f>[2]Results!H169</f>
        <v>25469757.878320239</v>
      </c>
      <c r="X79" s="13">
        <f t="shared" si="40"/>
        <v>-9.0780600905418396E-2</v>
      </c>
    </row>
    <row r="80" spans="1:24" x14ac:dyDescent="0.2">
      <c r="A80" s="14"/>
      <c r="B80" s="13"/>
      <c r="C80" s="13"/>
      <c r="D80" s="13"/>
      <c r="F80" s="13"/>
      <c r="G80" s="13"/>
      <c r="H80" s="13"/>
      <c r="J80" s="13"/>
      <c r="K80" s="13"/>
      <c r="L80" s="13"/>
      <c r="N80" s="13"/>
      <c r="O80" s="13"/>
      <c r="P80" s="13"/>
      <c r="R80" s="13"/>
      <c r="S80" s="13"/>
      <c r="T80" s="13"/>
      <c r="V80" s="13"/>
      <c r="W80" s="13"/>
      <c r="X80" s="13"/>
    </row>
    <row r="81" spans="1:24" x14ac:dyDescent="0.2">
      <c r="A81" s="14" t="s">
        <v>129</v>
      </c>
      <c r="B81" s="13">
        <f>Summary!$B$82</f>
        <v>-605088.63258803263</v>
      </c>
      <c r="C81" s="13">
        <f>C79*0.21</f>
        <v>-605088.63258803263</v>
      </c>
      <c r="D81" s="13"/>
      <c r="F81" s="13">
        <f>Summary!$D$82</f>
        <v>7221953.5902312128</v>
      </c>
      <c r="G81" s="13">
        <f>G79*0.21</f>
        <v>7221953.5902312128</v>
      </c>
      <c r="H81" s="13"/>
      <c r="J81" s="13">
        <f>Summary!$F$82</f>
        <v>6616864.9576431755</v>
      </c>
      <c r="K81" s="13">
        <f>K79*0.21</f>
        <v>6616864.9576431802</v>
      </c>
      <c r="L81" s="13">
        <f t="shared" si="37"/>
        <v>0</v>
      </c>
      <c r="N81" s="13">
        <f>Summary!$H$82</f>
        <v>-3790732.4474407248</v>
      </c>
      <c r="O81" s="13">
        <f>O79*0.21</f>
        <v>-3790732.4799208622</v>
      </c>
      <c r="P81" s="13">
        <f t="shared" si="38"/>
        <v>-3.2480137422680855E-2</v>
      </c>
      <c r="R81" s="13">
        <f>Summary!$J$82</f>
        <v>2826132.5494390479</v>
      </c>
      <c r="S81" s="13">
        <f>S79*0.21</f>
        <v>2826132.4777223174</v>
      </c>
      <c r="T81" s="13">
        <f t="shared" si="39"/>
        <v>-7.1716730482876301E-2</v>
      </c>
      <c r="V81" s="13">
        <f>Summary!$L$82</f>
        <v>5348649.1735111764</v>
      </c>
      <c r="W81" s="13">
        <f>W79*0.21</f>
        <v>5348649.1544472501</v>
      </c>
      <c r="X81" s="13">
        <f t="shared" ref="X81:X83" si="41">W81-V81</f>
        <v>-1.9063926301896572E-2</v>
      </c>
    </row>
    <row r="82" spans="1:24" x14ac:dyDescent="0.2">
      <c r="A82" s="14" t="s">
        <v>130</v>
      </c>
      <c r="B82" s="13">
        <f>Summary!$B$83</f>
        <v>-10979455.467545277</v>
      </c>
      <c r="C82" s="13">
        <f>C83-C81</f>
        <v>-10979455.467545277</v>
      </c>
      <c r="D82" s="13"/>
      <c r="F82" s="13">
        <f>Summary!$D$83</f>
        <v>10953810.298519813</v>
      </c>
      <c r="G82" s="13">
        <f>G83-G81</f>
        <v>10953810.298519813</v>
      </c>
      <c r="H82" s="13"/>
      <c r="J82" s="13">
        <f>Summary!$F$83</f>
        <v>-25645.169025463983</v>
      </c>
      <c r="K82" s="13">
        <f>K83-K81</f>
        <v>-25645.169025463052</v>
      </c>
      <c r="L82" s="13">
        <f t="shared" si="37"/>
        <v>9.3132257461547852E-10</v>
      </c>
      <c r="N82" s="13">
        <f>Summary!$H$83</f>
        <v>-16992928.004947588</v>
      </c>
      <c r="O82" s="13">
        <f>O83-O81</f>
        <v>-16992928.004947595</v>
      </c>
      <c r="P82" s="13">
        <f t="shared" si="38"/>
        <v>0</v>
      </c>
      <c r="R82" s="13">
        <f>Summary!$J$83</f>
        <v>-17018573.173973054</v>
      </c>
      <c r="S82" s="13">
        <f>S83-S81</f>
        <v>-17018573.173973057</v>
      </c>
      <c r="T82" s="13">
        <f t="shared" si="39"/>
        <v>0</v>
      </c>
      <c r="V82" s="13">
        <f>Summary!$L$83</f>
        <v>0</v>
      </c>
      <c r="W82" s="13">
        <f>W83-W81</f>
        <v>0</v>
      </c>
      <c r="X82" s="13">
        <f t="shared" si="41"/>
        <v>0</v>
      </c>
    </row>
    <row r="83" spans="1:24" x14ac:dyDescent="0.2">
      <c r="A83" s="14" t="s">
        <v>131</v>
      </c>
      <c r="B83" s="13">
        <f>Summary!$B$84</f>
        <v>-11584544.100133309</v>
      </c>
      <c r="C83" s="13">
        <f>[2]Results!C83</f>
        <v>-11584544.100133309</v>
      </c>
      <c r="D83" s="13">
        <f t="shared" ref="D83" si="42">C83-B83</f>
        <v>0</v>
      </c>
      <c r="F83" s="13">
        <f>Summary!$D$84</f>
        <v>18175763.888751026</v>
      </c>
      <c r="G83" s="13">
        <f>[2]Results!$D$83</f>
        <v>18175763.888751026</v>
      </c>
      <c r="H83" s="13">
        <f t="shared" ref="H83" si="43">G83-F83</f>
        <v>0</v>
      </c>
      <c r="J83" s="13">
        <f>Summary!$F$84</f>
        <v>6591219.7886177115</v>
      </c>
      <c r="K83" s="13">
        <f>[2]Results!E83</f>
        <v>6591219.7886177171</v>
      </c>
      <c r="L83" s="13">
        <f t="shared" ref="L83" si="44">K83-J83</f>
        <v>0</v>
      </c>
      <c r="N83" s="13">
        <f>Summary!$H$84</f>
        <v>-20783660.452388313</v>
      </c>
      <c r="O83" s="13">
        <f>[2]Results!H83</f>
        <v>-20783660.484868456</v>
      </c>
      <c r="P83" s="13">
        <f t="shared" ref="P83" si="45">O83-N83</f>
        <v>-3.2480143010616302E-2</v>
      </c>
      <c r="R83" s="13">
        <f>Summary!$J$84</f>
        <v>-14192440.624534005</v>
      </c>
      <c r="S83" s="13">
        <f>[2]Results!I83</f>
        <v>-14192440.696250739</v>
      </c>
      <c r="T83" s="13">
        <f t="shared" ref="T83" si="46">S83-R83</f>
        <v>-7.1716733276844025E-2</v>
      </c>
      <c r="V83" s="13">
        <f>Summary!$L$84</f>
        <v>5348649.1735111764</v>
      </c>
      <c r="W83" s="13">
        <f>[2]Results!H171</f>
        <v>5348649.1544472501</v>
      </c>
      <c r="X83" s="13">
        <f t="shared" si="41"/>
        <v>-1.9063926301896572E-2</v>
      </c>
    </row>
    <row r="84" spans="1:24" x14ac:dyDescent="0.2">
      <c r="A84" s="14"/>
      <c r="B84" s="13"/>
      <c r="C84" s="13"/>
      <c r="D84" s="13"/>
    </row>
    <row r="85" spans="1:24" x14ac:dyDescent="0.2">
      <c r="A85" s="14"/>
      <c r="B85" s="13"/>
      <c r="C85" s="13"/>
      <c r="D85" s="13"/>
    </row>
    <row r="86" spans="1:24" x14ac:dyDescent="0.2">
      <c r="A86" s="14"/>
      <c r="B86" s="13"/>
      <c r="C86" s="13"/>
      <c r="D86" s="13"/>
    </row>
    <row r="87" spans="1:24" x14ac:dyDescent="0.2">
      <c r="A87" s="152"/>
      <c r="B87" s="13"/>
      <c r="C87" s="13"/>
      <c r="D87" s="13"/>
    </row>
    <row r="88" spans="1:24" x14ac:dyDescent="0.2">
      <c r="A88" s="151"/>
      <c r="B88" s="142"/>
      <c r="C88" s="142"/>
      <c r="D88" s="142"/>
    </row>
    <row r="89" spans="1:24" x14ac:dyDescent="0.2">
      <c r="A89" s="151"/>
    </row>
    <row r="90" spans="1:24" x14ac:dyDescent="0.2">
      <c r="A90" s="151"/>
    </row>
    <row r="91" spans="1:24" x14ac:dyDescent="0.2">
      <c r="A91" s="151"/>
    </row>
    <row r="92" spans="1:24" x14ac:dyDescent="0.2">
      <c r="A92" s="151"/>
    </row>
    <row r="93" spans="1:24" x14ac:dyDescent="0.2">
      <c r="A93" s="151"/>
    </row>
    <row r="94" spans="1:24" x14ac:dyDescent="0.2">
      <c r="A94" s="151"/>
    </row>
    <row r="95" spans="1:24" x14ac:dyDescent="0.2">
      <c r="A95" s="151"/>
    </row>
    <row r="96" spans="1:24" x14ac:dyDescent="0.2">
      <c r="A96" s="151"/>
    </row>
    <row r="97" spans="1:1" x14ac:dyDescent="0.2">
      <c r="A97" s="151"/>
    </row>
    <row r="98" spans="1:1" x14ac:dyDescent="0.2">
      <c r="A98" s="151"/>
    </row>
    <row r="99" spans="1:1" x14ac:dyDescent="0.2">
      <c r="A99" s="151"/>
    </row>
    <row r="100" spans="1:1" x14ac:dyDescent="0.2">
      <c r="A100" s="151"/>
    </row>
    <row r="101" spans="1:1" x14ac:dyDescent="0.2">
      <c r="A101" s="151"/>
    </row>
    <row r="102" spans="1:1" x14ac:dyDescent="0.2">
      <c r="A102" s="151"/>
    </row>
    <row r="103" spans="1:1" x14ac:dyDescent="0.2">
      <c r="A103" s="151"/>
    </row>
    <row r="104" spans="1:1" x14ac:dyDescent="0.2">
      <c r="A104" s="151"/>
    </row>
    <row r="105" spans="1:1" x14ac:dyDescent="0.2">
      <c r="A105" s="151"/>
    </row>
    <row r="106" spans="1:1" x14ac:dyDescent="0.2">
      <c r="A106" s="151"/>
    </row>
    <row r="107" spans="1:1" x14ac:dyDescent="0.2">
      <c r="A107" s="151"/>
    </row>
    <row r="108" spans="1:1" x14ac:dyDescent="0.2">
      <c r="A108" s="151"/>
    </row>
    <row r="109" spans="1:1" x14ac:dyDescent="0.2">
      <c r="A109" s="151"/>
    </row>
    <row r="110" spans="1:1" x14ac:dyDescent="0.2">
      <c r="A110" s="151"/>
    </row>
    <row r="111" spans="1:1" x14ac:dyDescent="0.2">
      <c r="A111" s="151"/>
    </row>
    <row r="112" spans="1:1" x14ac:dyDescent="0.2">
      <c r="A112" s="151"/>
    </row>
    <row r="113" spans="1:1" x14ac:dyDescent="0.2">
      <c r="A113" s="151"/>
    </row>
    <row r="114" spans="1:1" x14ac:dyDescent="0.2">
      <c r="A114" s="151"/>
    </row>
    <row r="115" spans="1:1" x14ac:dyDescent="0.2">
      <c r="A115" s="151"/>
    </row>
    <row r="116" spans="1:1" x14ac:dyDescent="0.2">
      <c r="A116" s="151"/>
    </row>
    <row r="117" spans="1:1" x14ac:dyDescent="0.2">
      <c r="A117" s="151"/>
    </row>
    <row r="118" spans="1:1" x14ac:dyDescent="0.2">
      <c r="A118" s="151"/>
    </row>
    <row r="119" spans="1:1" x14ac:dyDescent="0.2">
      <c r="A119" s="151"/>
    </row>
    <row r="120" spans="1:1" x14ac:dyDescent="0.2">
      <c r="A120" s="151"/>
    </row>
    <row r="121" spans="1:1" x14ac:dyDescent="0.2">
      <c r="A121" s="151"/>
    </row>
    <row r="122" spans="1:1" x14ac:dyDescent="0.2">
      <c r="A122" s="151"/>
    </row>
    <row r="123" spans="1:1" x14ac:dyDescent="0.2">
      <c r="A123" s="151"/>
    </row>
    <row r="124" spans="1:1" x14ac:dyDescent="0.2">
      <c r="A124" s="151"/>
    </row>
    <row r="125" spans="1:1" x14ac:dyDescent="0.2">
      <c r="A125" s="151"/>
    </row>
    <row r="126" spans="1:1" x14ac:dyDescent="0.2">
      <c r="A126" s="151"/>
    </row>
    <row r="127" spans="1:1" x14ac:dyDescent="0.2">
      <c r="A127" s="151"/>
    </row>
    <row r="128" spans="1:1" x14ac:dyDescent="0.2">
      <c r="A128" s="151"/>
    </row>
    <row r="129" spans="1:1" x14ac:dyDescent="0.2">
      <c r="A129" s="151"/>
    </row>
    <row r="130" spans="1:1" x14ac:dyDescent="0.2">
      <c r="A130" s="151"/>
    </row>
    <row r="131" spans="1:1" x14ac:dyDescent="0.2">
      <c r="A131" s="151"/>
    </row>
    <row r="132" spans="1:1" x14ac:dyDescent="0.2">
      <c r="A132" s="151"/>
    </row>
    <row r="133" spans="1:1" x14ac:dyDescent="0.2">
      <c r="A133" s="151"/>
    </row>
    <row r="134" spans="1:1" x14ac:dyDescent="0.2">
      <c r="A134" s="151"/>
    </row>
    <row r="135" spans="1:1" x14ac:dyDescent="0.2">
      <c r="A135" s="151"/>
    </row>
    <row r="136" spans="1:1" x14ac:dyDescent="0.2">
      <c r="A136" s="151"/>
    </row>
    <row r="137" spans="1:1" x14ac:dyDescent="0.2">
      <c r="A137" s="151"/>
    </row>
    <row r="138" spans="1:1" x14ac:dyDescent="0.2">
      <c r="A138" s="151"/>
    </row>
    <row r="139" spans="1:1" x14ac:dyDescent="0.2">
      <c r="A139" s="151"/>
    </row>
    <row r="140" spans="1:1" x14ac:dyDescent="0.2">
      <c r="A140" s="151"/>
    </row>
    <row r="141" spans="1:1" x14ac:dyDescent="0.2">
      <c r="A141" s="151"/>
    </row>
    <row r="142" spans="1:1" x14ac:dyDescent="0.2">
      <c r="A142" s="151"/>
    </row>
    <row r="143" spans="1:1" x14ac:dyDescent="0.2">
      <c r="A143" s="151"/>
    </row>
    <row r="144" spans="1:1" x14ac:dyDescent="0.2">
      <c r="A144" s="151"/>
    </row>
  </sheetData>
  <pageMargins left="0.7" right="0.7" top="0.75" bottom="0.75" header="0.3" footer="0.3"/>
  <pageSetup scale="4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94"/>
  <sheetViews>
    <sheetView view="pageBreakPreview" topLeftCell="A22" zoomScaleNormal="100" zoomScaleSheetLayoutView="100" workbookViewId="0">
      <selection activeCell="BD50" sqref="BD50"/>
    </sheetView>
  </sheetViews>
  <sheetFormatPr defaultColWidth="9.140625" defaultRowHeight="11.25" x14ac:dyDescent="0.2"/>
  <cols>
    <col min="1" max="1" width="4.28515625" style="61" customWidth="1"/>
    <col min="2" max="2" width="11.140625" style="156" customWidth="1"/>
    <col min="3" max="3" width="51.5703125" style="61" bestFit="1" customWidth="1"/>
    <col min="4" max="4" width="10.7109375" style="61" customWidth="1"/>
    <col min="5" max="5" width="12" style="61" bestFit="1" customWidth="1"/>
    <col min="6" max="6" width="10.7109375" style="61" customWidth="1"/>
    <col min="7" max="7" width="22.7109375" style="61" customWidth="1"/>
    <col min="8" max="8" width="10.42578125" style="61" bestFit="1" customWidth="1"/>
    <col min="9" max="16384" width="9.140625" style="61"/>
  </cols>
  <sheetData>
    <row r="1" spans="1:9" ht="19.5" x14ac:dyDescent="0.3">
      <c r="A1" s="163" t="s">
        <v>182</v>
      </c>
      <c r="C1" s="164"/>
      <c r="D1" s="164"/>
      <c r="E1" s="164"/>
      <c r="F1" s="164"/>
      <c r="G1" s="164"/>
    </row>
    <row r="2" spans="1:9" ht="6" customHeight="1" x14ac:dyDescent="0.2">
      <c r="A2" s="165"/>
    </row>
    <row r="3" spans="1:9" ht="12.75" customHeight="1" x14ac:dyDescent="0.2">
      <c r="A3" s="294" t="s">
        <v>207</v>
      </c>
      <c r="B3" s="294"/>
      <c r="C3" s="294"/>
      <c r="D3" s="294"/>
      <c r="E3" s="294"/>
      <c r="F3" s="294"/>
      <c r="G3" s="294"/>
    </row>
    <row r="4" spans="1:9" ht="12.75" customHeight="1" x14ac:dyDescent="0.2">
      <c r="A4" s="294"/>
      <c r="B4" s="294"/>
      <c r="C4" s="294"/>
      <c r="D4" s="294"/>
      <c r="E4" s="294"/>
      <c r="F4" s="294"/>
      <c r="G4" s="294"/>
    </row>
    <row r="5" spans="1:9" ht="12.75" x14ac:dyDescent="0.2">
      <c r="B5" s="166"/>
    </row>
    <row r="6" spans="1:9" x14ac:dyDescent="0.2">
      <c r="B6" s="172" t="s">
        <v>208</v>
      </c>
      <c r="C6" s="172" t="s">
        <v>209</v>
      </c>
      <c r="D6" s="172" t="s">
        <v>210</v>
      </c>
      <c r="E6" s="172" t="s">
        <v>211</v>
      </c>
      <c r="F6" s="172" t="s">
        <v>212</v>
      </c>
      <c r="G6" s="172" t="s">
        <v>213</v>
      </c>
    </row>
    <row r="7" spans="1:9" x14ac:dyDescent="0.2">
      <c r="D7" s="167" t="s">
        <v>170</v>
      </c>
      <c r="E7" s="168" t="s">
        <v>171</v>
      </c>
      <c r="F7" s="167" t="s">
        <v>173</v>
      </c>
      <c r="G7" s="265" t="s">
        <v>154</v>
      </c>
    </row>
    <row r="8" spans="1:9" x14ac:dyDescent="0.2">
      <c r="C8" s="157" t="s">
        <v>172</v>
      </c>
      <c r="D8" s="158">
        <f>Unadj_Op_revenue</f>
        <v>67900653.656220019</v>
      </c>
      <c r="E8" s="158">
        <f>Unadj_rate_base</f>
        <v>1150397547.2251754</v>
      </c>
      <c r="F8" s="158">
        <f>ROUNDUP(-(D8-(E8*Overall_ROR))/gross_up_factor,0)</f>
        <v>25976378</v>
      </c>
      <c r="G8" s="59" t="s">
        <v>329</v>
      </c>
    </row>
    <row r="9" spans="1:9" x14ac:dyDescent="0.2">
      <c r="C9" s="157"/>
      <c r="D9" s="158"/>
      <c r="E9" s="158"/>
      <c r="F9" s="158"/>
      <c r="G9" s="59"/>
    </row>
    <row r="10" spans="1:9" s="171" customFormat="1" ht="24.75" customHeight="1" x14ac:dyDescent="0.2">
      <c r="A10" s="169" t="s">
        <v>206</v>
      </c>
      <c r="B10" s="169" t="s">
        <v>199</v>
      </c>
      <c r="C10" s="169"/>
      <c r="D10" s="169"/>
      <c r="E10" s="169"/>
      <c r="F10" s="170"/>
      <c r="G10" s="170"/>
    </row>
    <row r="11" spans="1:9" x14ac:dyDescent="0.2">
      <c r="A11" s="156">
        <v>1</v>
      </c>
      <c r="B11" s="155" t="str">
        <f t="array" ref="B11:B13">TRANSPOSE('Total Adj'!C8:E8)</f>
        <v>3.1</v>
      </c>
      <c r="C11" s="61" t="str">
        <f t="array" ref="C11:C13">TRANSPOSE('Total Adj'!C9:E9)</f>
        <v>Temperature Normalization</v>
      </c>
      <c r="D11" s="59">
        <f t="array" ref="D11:D13">TRANSPOSE('Total Adj'!C40:E40)</f>
        <v>-1770023.9909275265</v>
      </c>
      <c r="E11" s="59">
        <f t="array" ref="E11:E13">TRANSPOSE('Total Adj'!C67:E67)</f>
        <v>0</v>
      </c>
      <c r="F11" s="59">
        <f t="shared" ref="F11:F13" si="0">-(D11-(E11*Overall_ROR))/gross_up_factor</f>
        <v>2354318.8408495737</v>
      </c>
      <c r="G11" s="59" t="s">
        <v>330</v>
      </c>
      <c r="H11" s="63"/>
    </row>
    <row r="12" spans="1:9" x14ac:dyDescent="0.2">
      <c r="A12" s="156">
        <f>A11+1</f>
        <v>2</v>
      </c>
      <c r="B12" s="155" t="str">
        <v>3.2</v>
      </c>
      <c r="C12" s="61" t="str">
        <v>Revenue Normalizing</v>
      </c>
      <c r="D12" s="59">
        <v>26633457.252209429</v>
      </c>
      <c r="E12" s="59">
        <v>0</v>
      </c>
      <c r="F12" s="59">
        <f t="shared" si="0"/>
        <v>-35425310.915125199</v>
      </c>
      <c r="G12" s="59" t="s">
        <v>330</v>
      </c>
    </row>
    <row r="13" spans="1:9" x14ac:dyDescent="0.2">
      <c r="A13" s="156">
        <f t="shared" ref="A13:A71" si="1">A12+1</f>
        <v>3</v>
      </c>
      <c r="B13" s="155" t="str">
        <v>3.3</v>
      </c>
      <c r="C13" s="61" t="str">
        <v>Wheeling Revenue - 
Year 1</v>
      </c>
      <c r="D13" s="62">
        <v>1108387.380291454</v>
      </c>
      <c r="E13" s="62">
        <v>0</v>
      </c>
      <c r="F13" s="62">
        <f t="shared" si="0"/>
        <v>-1474272.2730061105</v>
      </c>
      <c r="G13" s="59" t="s">
        <v>330</v>
      </c>
    </row>
    <row r="14" spans="1:9" x14ac:dyDescent="0.2">
      <c r="A14" s="156">
        <f>A13+1</f>
        <v>4</v>
      </c>
      <c r="B14" s="155"/>
      <c r="C14" s="157" t="s">
        <v>200</v>
      </c>
      <c r="D14" s="158">
        <f>SUM(D11:D13)</f>
        <v>25971820.641573358</v>
      </c>
      <c r="E14" s="158">
        <f>SUM(E11:E13)</f>
        <v>0</v>
      </c>
      <c r="F14" s="158">
        <f>SUM(F11:F13)</f>
        <v>-34545264.347281732</v>
      </c>
      <c r="G14" s="59"/>
    </row>
    <row r="15" spans="1:9" x14ac:dyDescent="0.2">
      <c r="A15" s="156">
        <f t="shared" si="1"/>
        <v>5</v>
      </c>
      <c r="D15" s="59"/>
      <c r="E15" s="59"/>
      <c r="F15" s="59"/>
      <c r="G15" s="59"/>
      <c r="H15" s="182">
        <f>SUM('Total Adj'!C71:E71)-F14</f>
        <v>0</v>
      </c>
      <c r="I15" s="61" t="s">
        <v>226</v>
      </c>
    </row>
    <row r="16" spans="1:9" x14ac:dyDescent="0.2">
      <c r="A16" s="156">
        <f t="shared" si="1"/>
        <v>6</v>
      </c>
      <c r="B16" s="156" t="str">
        <f t="array" ref="B16:B28">TRANSPOSE('Total Adj'!F8:R8)</f>
        <v>4.1</v>
      </c>
      <c r="C16" s="61" t="str">
        <f t="array" ref="C16:C28">TRANSPOSE('Total Adj'!F9:R9)</f>
        <v>Miscellaneous Expense &amp; Revenue</v>
      </c>
      <c r="D16" s="59">
        <f t="array" ref="D16:D28">TRANSPOSE('Total Adj'!F40:R40)</f>
        <v>-136542.54179642361</v>
      </c>
      <c r="E16" s="59">
        <f t="array" ref="E16:E28">TRANSPOSE('Total Adj'!F67:R67)</f>
        <v>0</v>
      </c>
      <c r="F16" s="59">
        <f t="shared" ref="F16:F18" si="2">-(D16-(E16*Overall_ROR))/gross_up_factor</f>
        <v>181616.00089971483</v>
      </c>
      <c r="G16" s="59" t="s">
        <v>331</v>
      </c>
      <c r="H16" s="182"/>
    </row>
    <row r="17" spans="1:9" x14ac:dyDescent="0.2">
      <c r="A17" s="156">
        <f t="shared" si="1"/>
        <v>7</v>
      </c>
      <c r="B17" s="156" t="str">
        <v>4.2</v>
      </c>
      <c r="C17" s="61" t="str">
        <v>General Wage Increase (Annualizing)</v>
      </c>
      <c r="D17" s="59">
        <v>-297093.82560218166</v>
      </c>
      <c r="E17" s="59">
        <v>0</v>
      </c>
      <c r="F17" s="59">
        <f t="shared" si="2"/>
        <v>395166.1642443426</v>
      </c>
      <c r="G17" s="59" t="s">
        <v>331</v>
      </c>
      <c r="H17" s="59"/>
    </row>
    <row r="18" spans="1:9" x14ac:dyDescent="0.2">
      <c r="A18" s="156">
        <f t="shared" si="1"/>
        <v>8</v>
      </c>
      <c r="B18" s="156" t="str">
        <v>4.3</v>
      </c>
      <c r="C18" s="61" t="str">
        <v>General Wage Increase
(Pro Forma) - Year 1</v>
      </c>
      <c r="D18" s="59">
        <v>-1427582.103315514</v>
      </c>
      <c r="E18" s="59">
        <v>0</v>
      </c>
      <c r="F18" s="59">
        <f t="shared" si="2"/>
        <v>1898834.9649058471</v>
      </c>
      <c r="G18" s="59" t="s">
        <v>331</v>
      </c>
      <c r="H18" s="182"/>
    </row>
    <row r="19" spans="1:9" x14ac:dyDescent="0.2">
      <c r="A19" s="156">
        <f t="shared" si="1"/>
        <v>9</v>
      </c>
      <c r="B19" s="155" t="str">
        <v>4.4</v>
      </c>
      <c r="C19" s="61" t="str">
        <v>Pension Related Non-Service Expense</v>
      </c>
      <c r="D19" s="59">
        <v>481482.68291306245</v>
      </c>
      <c r="E19" s="59">
        <v>0</v>
      </c>
      <c r="F19" s="59">
        <f t="shared" ref="F19:F28" si="3">-(D19-(E19*Overall_ROR))/gross_up_factor</f>
        <v>-640422.81784610997</v>
      </c>
      <c r="G19" s="59" t="s">
        <v>331</v>
      </c>
    </row>
    <row r="20" spans="1:9" x14ac:dyDescent="0.2">
      <c r="A20" s="156">
        <f t="shared" si="1"/>
        <v>10</v>
      </c>
      <c r="B20" s="155" t="str">
        <v>4.5</v>
      </c>
      <c r="C20" s="61" t="str">
        <v>Insurance Expense</v>
      </c>
      <c r="D20" s="59">
        <v>2790289.0550890225</v>
      </c>
      <c r="E20" s="59">
        <v>-2506736.237041242</v>
      </c>
      <c r="F20" s="59">
        <f t="shared" si="3"/>
        <v>-3964780.145652093</v>
      </c>
      <c r="G20" s="59" t="s">
        <v>331</v>
      </c>
    </row>
    <row r="21" spans="1:9" x14ac:dyDescent="0.2">
      <c r="A21" s="156">
        <f t="shared" si="1"/>
        <v>11</v>
      </c>
      <c r="B21" s="155" t="str">
        <v>4.6</v>
      </c>
      <c r="C21" s="61" t="str">
        <v>Advertising</v>
      </c>
      <c r="D21" s="59">
        <v>-13356.484709469642</v>
      </c>
      <c r="E21" s="59">
        <v>0</v>
      </c>
      <c r="F21" s="59">
        <f t="shared" si="3"/>
        <v>17765.535247093241</v>
      </c>
      <c r="G21" s="59" t="s">
        <v>331</v>
      </c>
    </row>
    <row r="22" spans="1:9" x14ac:dyDescent="0.2">
      <c r="A22" s="156">
        <f t="shared" si="1"/>
        <v>12</v>
      </c>
      <c r="B22" s="155" t="str">
        <v>4.7</v>
      </c>
      <c r="C22" s="61" t="str">
        <v>Memberships &amp; Subscriptions</v>
      </c>
      <c r="D22" s="59">
        <v>606.58654168849318</v>
      </c>
      <c r="E22" s="59">
        <v>0</v>
      </c>
      <c r="F22" s="59">
        <f t="shared" si="3"/>
        <v>-806.82416228418128</v>
      </c>
      <c r="G22" s="59" t="s">
        <v>332</v>
      </c>
    </row>
    <row r="23" spans="1:9" x14ac:dyDescent="0.2">
      <c r="A23" s="156">
        <f t="shared" si="1"/>
        <v>13</v>
      </c>
      <c r="B23" s="155" t="str">
        <v>4.8</v>
      </c>
      <c r="C23" s="61" t="str">
        <v>Revenue-Sensitive/ Uncollectible Expense</v>
      </c>
      <c r="D23" s="59">
        <v>-430973.33828135201</v>
      </c>
      <c r="E23" s="59">
        <v>0</v>
      </c>
      <c r="F23" s="59">
        <f t="shared" si="3"/>
        <v>573240.05517457903</v>
      </c>
      <c r="G23" s="59" t="s">
        <v>332</v>
      </c>
    </row>
    <row r="24" spans="1:9" x14ac:dyDescent="0.2">
      <c r="A24" s="156">
        <f t="shared" si="1"/>
        <v>14</v>
      </c>
      <c r="B24" s="155" t="str">
        <v>4.9</v>
      </c>
      <c r="C24" s="61" t="str">
        <v>Legal 
Expenses</v>
      </c>
      <c r="D24" s="59">
        <v>497130.68734365219</v>
      </c>
      <c r="E24" s="59">
        <v>0</v>
      </c>
      <c r="F24" s="59">
        <f t="shared" si="3"/>
        <v>-661236.31633057399</v>
      </c>
      <c r="G24" s="59" t="s">
        <v>332</v>
      </c>
    </row>
    <row r="25" spans="1:9" x14ac:dyDescent="0.2">
      <c r="A25" s="156">
        <f t="shared" si="1"/>
        <v>15</v>
      </c>
      <c r="B25" s="155" t="str">
        <v>4.10</v>
      </c>
      <c r="C25" s="61" t="str">
        <v>Remove Non-Recurring Entries</v>
      </c>
      <c r="D25" s="59">
        <v>-1585326.4299616194</v>
      </c>
      <c r="E25" s="59">
        <v>0</v>
      </c>
      <c r="F25" s="59">
        <f t="shared" si="3"/>
        <v>2108651.5787843093</v>
      </c>
      <c r="G25" s="59" t="s">
        <v>332</v>
      </c>
    </row>
    <row r="26" spans="1:9" x14ac:dyDescent="0.2">
      <c r="A26" s="156">
        <f t="shared" si="1"/>
        <v>16</v>
      </c>
      <c r="B26" s="155" t="str">
        <v>4.11</v>
      </c>
      <c r="C26" s="61" t="str">
        <v>Environmental Remediation</v>
      </c>
      <c r="D26" s="59">
        <v>-1048556.2867100647</v>
      </c>
      <c r="E26" s="59">
        <v>1273328.1449545922</v>
      </c>
      <c r="F26" s="59">
        <f t="shared" si="3"/>
        <v>1523408.828877409</v>
      </c>
      <c r="G26" s="59" t="s">
        <v>332</v>
      </c>
    </row>
    <row r="27" spans="1:9" x14ac:dyDescent="0.2">
      <c r="A27" s="156">
        <f t="shared" si="1"/>
        <v>17</v>
      </c>
      <c r="B27" s="155" t="str">
        <v>4.12</v>
      </c>
      <c r="C27" s="61" t="str">
        <v>Payment Services Fees</v>
      </c>
      <c r="D27" s="59">
        <v>-57811.382507999981</v>
      </c>
      <c r="E27" s="59">
        <v>0</v>
      </c>
      <c r="F27" s="59">
        <f t="shared" si="3"/>
        <v>76895.244218030886</v>
      </c>
      <c r="G27" s="59" t="s">
        <v>332</v>
      </c>
    </row>
    <row r="28" spans="1:9" x14ac:dyDescent="0.2">
      <c r="A28" s="156">
        <f t="shared" si="1"/>
        <v>18</v>
      </c>
      <c r="B28" s="159" t="str">
        <v>4.13</v>
      </c>
      <c r="C28" s="61" t="str">
        <v>Incremental O&amp;M Expenses</v>
      </c>
      <c r="D28" s="62">
        <v>-3262847.1552752974</v>
      </c>
      <c r="E28" s="62">
        <v>0</v>
      </c>
      <c r="F28" s="62">
        <f t="shared" si="3"/>
        <v>4339931.3070619255</v>
      </c>
      <c r="G28" s="59" t="s">
        <v>332</v>
      </c>
    </row>
    <row r="29" spans="1:9" x14ac:dyDescent="0.2">
      <c r="A29" s="156">
        <f t="shared" si="1"/>
        <v>19</v>
      </c>
      <c r="B29" s="155"/>
      <c r="C29" s="157" t="s">
        <v>201</v>
      </c>
      <c r="D29" s="161">
        <f t="shared" ref="D29:E29" si="4">SUM(D16:D28)</f>
        <v>-4490580.5362724969</v>
      </c>
      <c r="E29" s="161">
        <f t="shared" si="4"/>
        <v>-1233408.0920866497</v>
      </c>
      <c r="F29" s="161">
        <f>SUM(F16:F28)</f>
        <v>5848263.5754221901</v>
      </c>
      <c r="G29" s="59"/>
      <c r="H29" s="182">
        <f>SUM('Total Adj'!F71:R71)-F29</f>
        <v>0</v>
      </c>
      <c r="I29" s="61" t="s">
        <v>226</v>
      </c>
    </row>
    <row r="30" spans="1:9" x14ac:dyDescent="0.2">
      <c r="A30" s="156">
        <f t="shared" si="1"/>
        <v>20</v>
      </c>
      <c r="D30" s="59"/>
      <c r="E30" s="59"/>
      <c r="F30" s="59"/>
      <c r="G30" s="59"/>
    </row>
    <row r="31" spans="1:9" x14ac:dyDescent="0.2">
      <c r="A31" s="156">
        <f t="shared" si="1"/>
        <v>21</v>
      </c>
      <c r="B31" s="155" t="str">
        <f t="array" ref="B31:B35">TRANSPOSE('Total Adj'!S8:W8)</f>
        <v>5.1</v>
      </c>
      <c r="C31" s="61" t="str">
        <f t="array" ref="C31:C35">TRANSPOSE('Total Adj'!S9:W9)</f>
        <v>Net Power Costs (Restating)</v>
      </c>
      <c r="D31" s="59">
        <f t="array" ref="D31:D35">TRANSPOSE('Total Adj'!S40:W40)</f>
        <v>5642038.3509121584</v>
      </c>
      <c r="E31" s="59">
        <f t="array" ref="E31:E35">TRANSPOSE('Total Adj'!S67:W67)</f>
        <v>0</v>
      </c>
      <c r="F31" s="59">
        <f t="shared" ref="F31:F35" si="5">-(D31-(E31*Overall_ROR))/gross_up_factor</f>
        <v>-7504506.8645582162</v>
      </c>
      <c r="G31" s="59" t="s">
        <v>333</v>
      </c>
    </row>
    <row r="32" spans="1:9" x14ac:dyDescent="0.2">
      <c r="A32" s="156">
        <f t="shared" si="1"/>
        <v>22</v>
      </c>
      <c r="B32" s="155" t="str">
        <v>5.2</v>
      </c>
      <c r="C32" s="61" t="str">
        <v>Net Power Costs (Pro Forma) - 
Year 1</v>
      </c>
      <c r="D32" s="59">
        <v>-29331180.469829749</v>
      </c>
      <c r="E32" s="59">
        <v>0</v>
      </c>
      <c r="F32" s="59">
        <f t="shared" ref="F32:F34" si="6">-(D32-(E32*Overall_ROR))/gross_up_factor</f>
        <v>39013567.702149116</v>
      </c>
      <c r="G32" s="59" t="s">
        <v>333</v>
      </c>
    </row>
    <row r="33" spans="1:9" x14ac:dyDescent="0.2">
      <c r="A33" s="156">
        <f t="shared" si="1"/>
        <v>23</v>
      </c>
      <c r="B33" s="155" t="str">
        <v>5.3</v>
      </c>
      <c r="C33" s="61" t="str">
        <v>Pryor Mountain REC Revenues</v>
      </c>
      <c r="D33" s="59">
        <v>209961.57559967347</v>
      </c>
      <c r="E33" s="59">
        <v>0</v>
      </c>
      <c r="F33" s="59">
        <f t="shared" si="6"/>
        <v>-279271.06967049756</v>
      </c>
      <c r="G33" s="59" t="s">
        <v>333</v>
      </c>
    </row>
    <row r="34" spans="1:9" x14ac:dyDescent="0.2">
      <c r="A34" s="156">
        <f t="shared" si="1"/>
        <v>24</v>
      </c>
      <c r="B34" s="155" t="str">
        <v>5.4</v>
      </c>
      <c r="C34" s="61" t="str">
        <v>WRAP Fees</v>
      </c>
      <c r="D34" s="59">
        <v>-90171.261740837304</v>
      </c>
      <c r="E34" s="59">
        <v>0</v>
      </c>
      <c r="F34" s="59">
        <f t="shared" si="6"/>
        <v>119937.30113702388</v>
      </c>
      <c r="G34" s="59" t="s">
        <v>333</v>
      </c>
    </row>
    <row r="35" spans="1:9" x14ac:dyDescent="0.2">
      <c r="A35" s="156">
        <f t="shared" si="1"/>
        <v>25</v>
      </c>
      <c r="B35" s="156" t="str">
        <v>5.5</v>
      </c>
      <c r="C35" s="61" t="str">
        <v>AURORA Access Fees</v>
      </c>
      <c r="D35" s="62">
        <v>-29843.040000000001</v>
      </c>
      <c r="E35" s="62">
        <v>0</v>
      </c>
      <c r="F35" s="62">
        <f t="shared" si="5"/>
        <v>39694.394934957832</v>
      </c>
      <c r="G35" s="59" t="s">
        <v>333</v>
      </c>
    </row>
    <row r="36" spans="1:9" x14ac:dyDescent="0.2">
      <c r="A36" s="156">
        <f t="shared" si="1"/>
        <v>26</v>
      </c>
      <c r="B36" s="155"/>
      <c r="C36" s="157" t="s">
        <v>202</v>
      </c>
      <c r="D36" s="158">
        <f>SUM(D31:D35)</f>
        <v>-23599194.845058754</v>
      </c>
      <c r="E36" s="158">
        <f>SUM(E31:E35)</f>
        <v>0</v>
      </c>
      <c r="F36" s="158">
        <f>SUM(F31:F35)</f>
        <v>31389421.46399238</v>
      </c>
      <c r="G36" s="59"/>
      <c r="H36" s="182">
        <f>SUM('Total Adj'!S71:W71)-F36</f>
        <v>0</v>
      </c>
      <c r="I36" s="61" t="s">
        <v>226</v>
      </c>
    </row>
    <row r="37" spans="1:9" x14ac:dyDescent="0.2">
      <c r="A37" s="156">
        <f t="shared" si="1"/>
        <v>27</v>
      </c>
      <c r="D37" s="59"/>
      <c r="E37" s="59"/>
      <c r="F37" s="59"/>
      <c r="G37" s="59"/>
    </row>
    <row r="38" spans="1:9" x14ac:dyDescent="0.2">
      <c r="A38" s="156">
        <f t="shared" si="1"/>
        <v>28</v>
      </c>
      <c r="B38" s="183" t="str">
        <f t="array" ref="B38:B41">TRANSPOSE('Total Adj'!X8:AA8)</f>
        <v>6.1</v>
      </c>
      <c r="C38" s="61" t="str">
        <f t="array" ref="C38:C41">TRANSPOSE('Total Adj'!X9:AA9)</f>
        <v>Pro Forma Depreciation &amp; Amortization Expense - 
Year 1</v>
      </c>
      <c r="D38" s="160">
        <f t="array" ref="D38:D41">TRANSPOSE('Total Adj'!X40:AA40)</f>
        <v>12327645.266699316</v>
      </c>
      <c r="E38" s="160">
        <f t="array" ref="E38:E41">TRANSPOSE('Total Adj'!X67:AA67)</f>
        <v>0</v>
      </c>
      <c r="F38" s="160">
        <f t="shared" ref="F38:F41" si="7">-(D38-(E38*Overall_ROR))/gross_up_factor</f>
        <v>-16397070.132078577</v>
      </c>
      <c r="G38" s="59" t="s">
        <v>334</v>
      </c>
    </row>
    <row r="39" spans="1:9" x14ac:dyDescent="0.2">
      <c r="A39" s="156">
        <f t="shared" si="1"/>
        <v>29</v>
      </c>
      <c r="B39" s="183" t="str">
        <v>6.2</v>
      </c>
      <c r="C39" s="61" t="str">
        <v>Pro Forma Depreciation &amp; Amortization Reserves - Year 1</v>
      </c>
      <c r="D39" s="160">
        <v>0</v>
      </c>
      <c r="E39" s="160">
        <v>-87697952.594275951</v>
      </c>
      <c r="F39" s="160">
        <f t="shared" ref="F39" si="8">-(D39-(E39*Overall_ROR))/gross_up_factor</f>
        <v>-8865212.946137337</v>
      </c>
      <c r="G39" s="59" t="s">
        <v>334</v>
      </c>
    </row>
    <row r="40" spans="1:9" x14ac:dyDescent="0.2">
      <c r="A40" s="156">
        <f t="shared" si="1"/>
        <v>30</v>
      </c>
      <c r="B40" s="183" t="str">
        <v>6.3</v>
      </c>
      <c r="C40" s="61" t="str">
        <v>End-of-Period Reserves - Historical</v>
      </c>
      <c r="D40" s="160">
        <v>0</v>
      </c>
      <c r="E40" s="160">
        <v>-27898421.393283397</v>
      </c>
      <c r="F40" s="160">
        <f t="shared" si="7"/>
        <v>-2820196.3580239126</v>
      </c>
      <c r="G40" s="59" t="s">
        <v>335</v>
      </c>
    </row>
    <row r="41" spans="1:9" x14ac:dyDescent="0.2">
      <c r="A41" s="156">
        <f t="shared" si="1"/>
        <v>31</v>
      </c>
      <c r="B41" s="183" t="str">
        <v>6.4</v>
      </c>
      <c r="C41" s="61" t="str">
        <v>Decommissioning &amp; Other Plant Closure Costs - Year 1</v>
      </c>
      <c r="D41" s="62">
        <v>-4614848.5052821282</v>
      </c>
      <c r="E41" s="62">
        <v>-12099335.422688095</v>
      </c>
      <c r="F41" s="62">
        <f t="shared" si="7"/>
        <v>4915137.9494531043</v>
      </c>
      <c r="G41" s="59" t="s">
        <v>336</v>
      </c>
    </row>
    <row r="42" spans="1:9" x14ac:dyDescent="0.2">
      <c r="A42" s="156">
        <f>A41+1</f>
        <v>32</v>
      </c>
      <c r="B42" s="155"/>
      <c r="C42" s="157" t="s">
        <v>203</v>
      </c>
      <c r="D42" s="158">
        <f>SUM(D38:D41)</f>
        <v>7712796.7614171878</v>
      </c>
      <c r="E42" s="158">
        <f>SUM(E38:E41)</f>
        <v>-127695709.41024745</v>
      </c>
      <c r="F42" s="158">
        <f>SUM(F38:F41)</f>
        <v>-23167341.486786719</v>
      </c>
      <c r="G42" s="59"/>
      <c r="H42" s="182">
        <f>SUM('Total Adj'!X71:AA71)-F42</f>
        <v>0</v>
      </c>
      <c r="I42" s="61" t="s">
        <v>226</v>
      </c>
    </row>
    <row r="43" spans="1:9" x14ac:dyDescent="0.2">
      <c r="A43" s="156">
        <f t="shared" si="1"/>
        <v>33</v>
      </c>
      <c r="D43" s="59"/>
      <c r="E43" s="59"/>
      <c r="F43" s="59"/>
      <c r="G43" s="59"/>
    </row>
    <row r="44" spans="1:9" x14ac:dyDescent="0.2">
      <c r="A44" s="156">
        <f t="shared" si="1"/>
        <v>34</v>
      </c>
      <c r="B44" s="155" t="str">
        <f t="array" ref="B44:B53">TRANSPOSE('Total Adj'!AB8:AK8)</f>
        <v>7.1</v>
      </c>
      <c r="C44" s="61" t="str">
        <f t="array" ref="C44:C53">TRANSPOSE('Total Adj'!AB9:AK9)</f>
        <v>Interest True Up - Year 1</v>
      </c>
      <c r="D44" s="59">
        <f t="array" ref="D44:D53">TRANSPOSE('Total Adj'!AB40:AK40)</f>
        <v>-498225.90267910622</v>
      </c>
      <c r="E44" s="59">
        <f t="array" ref="E44:E53">TRANSPOSE('Total Adj'!AB67:AK67)</f>
        <v>0</v>
      </c>
      <c r="F44" s="59">
        <f t="shared" ref="F44:F53" si="9">-(D44-(E44*Overall_ROR))/gross_up_factor</f>
        <v>662693.06839284161</v>
      </c>
      <c r="G44" s="59" t="s">
        <v>337</v>
      </c>
    </row>
    <row r="45" spans="1:9" x14ac:dyDescent="0.2">
      <c r="A45" s="156">
        <f t="shared" si="1"/>
        <v>35</v>
      </c>
      <c r="B45" s="155" t="str">
        <v>7.2</v>
      </c>
      <c r="C45" s="61" t="str">
        <v>Property Tax Expense - Year 1</v>
      </c>
      <c r="D45" s="59">
        <v>-666608.84486836335</v>
      </c>
      <c r="E45" s="59">
        <v>0</v>
      </c>
      <c r="F45" s="59">
        <f t="shared" si="9"/>
        <v>886660.16449198383</v>
      </c>
      <c r="G45" s="59" t="s">
        <v>337</v>
      </c>
    </row>
    <row r="46" spans="1:9" x14ac:dyDescent="0.2">
      <c r="A46" s="156">
        <f t="shared" si="1"/>
        <v>36</v>
      </c>
      <c r="B46" s="155" t="str">
        <v>7.3</v>
      </c>
      <c r="C46" s="61" t="str">
        <v>Production Tax Credit - Year 1</v>
      </c>
      <c r="D46" s="59">
        <v>6025906.1791799143</v>
      </c>
      <c r="E46" s="59">
        <v>0</v>
      </c>
      <c r="F46" s="59">
        <f t="shared" ref="F46:F48" si="10">-(D46-(E46*Overall_ROR))/gross_up_factor</f>
        <v>-8015091.6165836425</v>
      </c>
      <c r="G46" s="59" t="s">
        <v>337</v>
      </c>
    </row>
    <row r="47" spans="1:9" x14ac:dyDescent="0.2">
      <c r="A47" s="156">
        <f t="shared" si="1"/>
        <v>37</v>
      </c>
      <c r="B47" s="155" t="str">
        <v>7.4</v>
      </c>
      <c r="C47" s="61" t="str">
        <v>PowerTax ADIT Balance - Year 1</v>
      </c>
      <c r="D47" s="59">
        <v>3906157.2179042771</v>
      </c>
      <c r="E47" s="59">
        <v>-32790654.435164705</v>
      </c>
      <c r="F47" s="59">
        <f t="shared" si="10"/>
        <v>-8510344.1714463495</v>
      </c>
      <c r="G47" s="59" t="s">
        <v>337</v>
      </c>
    </row>
    <row r="48" spans="1:9" x14ac:dyDescent="0.2">
      <c r="A48" s="156">
        <f t="shared" si="1"/>
        <v>38</v>
      </c>
      <c r="B48" s="155" t="str">
        <v>7.5</v>
      </c>
      <c r="C48" s="61" t="str">
        <v>Permanent Schedule M Adjustment - Year 1</v>
      </c>
      <c r="D48" s="59">
        <v>-302035.50370207359</v>
      </c>
      <c r="E48" s="59">
        <v>0</v>
      </c>
      <c r="F48" s="59">
        <f t="shared" si="10"/>
        <v>401739.1180097278</v>
      </c>
      <c r="G48" s="59" t="s">
        <v>337</v>
      </c>
    </row>
    <row r="49" spans="1:9" x14ac:dyDescent="0.2">
      <c r="A49" s="156">
        <f t="shared" si="1"/>
        <v>39</v>
      </c>
      <c r="B49" s="155" t="str">
        <v>7.6</v>
      </c>
      <c r="C49" s="61" t="str">
        <v>Remove Deferred State Tax Expense &amp; Balance - Year 1</v>
      </c>
      <c r="D49" s="59">
        <v>-123664</v>
      </c>
      <c r="E49" s="59">
        <v>28172848</v>
      </c>
      <c r="F49" s="59">
        <f t="shared" si="9"/>
        <v>3012423.7822883134</v>
      </c>
      <c r="G49" s="59" t="s">
        <v>338</v>
      </c>
    </row>
    <row r="50" spans="1:9" x14ac:dyDescent="0.2">
      <c r="A50" s="156">
        <f t="shared" si="1"/>
        <v>40</v>
      </c>
      <c r="B50" s="155" t="str">
        <v>7.7</v>
      </c>
      <c r="C50" s="61" t="str">
        <v>Washington Public Utility Tax Adjustment</v>
      </c>
      <c r="D50" s="59">
        <v>-1019511.5900000001</v>
      </c>
      <c r="E50" s="59">
        <v>0</v>
      </c>
      <c r="F50" s="59">
        <f t="shared" si="9"/>
        <v>1356058.0857120056</v>
      </c>
      <c r="G50" s="59" t="s">
        <v>338</v>
      </c>
    </row>
    <row r="51" spans="1:9" x14ac:dyDescent="0.2">
      <c r="A51" s="156">
        <f t="shared" si="1"/>
        <v>41</v>
      </c>
      <c r="B51" s="155" t="str">
        <v>7.8</v>
      </c>
      <c r="C51" s="61" t="str">
        <v>Removal of TCJA Deferred Balances Adjustment</v>
      </c>
      <c r="D51" s="59">
        <v>-8451410.0260689482</v>
      </c>
      <c r="E51" s="59">
        <v>40315957.444737718</v>
      </c>
      <c r="F51" s="59">
        <f t="shared" si="9"/>
        <v>15316728.461425625</v>
      </c>
      <c r="G51" s="59" t="s">
        <v>338</v>
      </c>
    </row>
    <row r="52" spans="1:9" x14ac:dyDescent="0.2">
      <c r="A52" s="156">
        <f t="shared" si="1"/>
        <v>42</v>
      </c>
      <c r="B52" s="155" t="str">
        <v>7.9</v>
      </c>
      <c r="C52" s="61" t="str">
        <v>Washington Low Income Tax Credit</v>
      </c>
      <c r="D52" s="59">
        <v>13170.880000000001</v>
      </c>
      <c r="E52" s="59">
        <v>0</v>
      </c>
      <c r="F52" s="59">
        <f t="shared" si="9"/>
        <v>-17518.661381713708</v>
      </c>
      <c r="G52" s="59" t="s">
        <v>338</v>
      </c>
    </row>
    <row r="53" spans="1:9" x14ac:dyDescent="0.2">
      <c r="A53" s="156">
        <f t="shared" si="1"/>
        <v>43</v>
      </c>
      <c r="B53" s="156" t="str">
        <v>7.10</v>
      </c>
      <c r="C53" s="61" t="str">
        <v>Wyoming Wind Generation Tax</v>
      </c>
      <c r="D53" s="62">
        <v>-183694.71263775352</v>
      </c>
      <c r="E53" s="62">
        <v>0</v>
      </c>
      <c r="F53" s="62">
        <f t="shared" si="9"/>
        <v>244333.36787762164</v>
      </c>
      <c r="G53" s="59" t="s">
        <v>338</v>
      </c>
    </row>
    <row r="54" spans="1:9" x14ac:dyDescent="0.2">
      <c r="A54" s="156">
        <f>A53+1</f>
        <v>44</v>
      </c>
      <c r="B54" s="155"/>
      <c r="C54" s="157" t="s">
        <v>204</v>
      </c>
      <c r="D54" s="158">
        <f>SUM(D44:D53)</f>
        <v>-1299916.3028720545</v>
      </c>
      <c r="E54" s="158">
        <f>SUM(E44:E53)</f>
        <v>35698151.009573013</v>
      </c>
      <c r="F54" s="158">
        <f>SUM(F44:F53)</f>
        <v>5337681.5987864118</v>
      </c>
      <c r="G54" s="59"/>
      <c r="H54" s="182">
        <f>SUM('Total Adj'!AB71:AK71)-F54</f>
        <v>0</v>
      </c>
      <c r="I54" s="61" t="s">
        <v>226</v>
      </c>
    </row>
    <row r="55" spans="1:9" x14ac:dyDescent="0.2">
      <c r="A55" s="156">
        <f t="shared" si="1"/>
        <v>45</v>
      </c>
      <c r="B55" s="155"/>
      <c r="C55" s="157"/>
      <c r="D55" s="158"/>
      <c r="E55" s="158"/>
      <c r="F55" s="158"/>
      <c r="G55" s="59"/>
      <c r="H55" s="182"/>
    </row>
    <row r="56" spans="1:9" x14ac:dyDescent="0.2">
      <c r="A56" s="156">
        <f t="shared" si="1"/>
        <v>46</v>
      </c>
      <c r="B56" s="156" t="str">
        <f t="array" ref="B56:B66">TRANSPOSE('Total Adj'!AL8:AV8)</f>
        <v>8.1</v>
      </c>
      <c r="C56" s="61" t="str">
        <f t="array" ref="C56:C66">TRANSPOSE('Total Adj'!AL9:AV9)</f>
        <v>End-of-Period Plant Balances - Historical</v>
      </c>
      <c r="D56" s="59">
        <f t="array" ref="D56:D66">TRANSPOSE('Total Adj'!AL40:AV40)</f>
        <v>0</v>
      </c>
      <c r="E56" s="59">
        <f t="array" ref="E56:E66">TRANSPOSE('Total Adj'!AL67:AV67)</f>
        <v>30000111.714042757</v>
      </c>
      <c r="F56" s="59">
        <f t="shared" ref="F56:F67" si="11">-(D56-(E56*Overall_ROR))/gross_up_factor</f>
        <v>3032652.0846309611</v>
      </c>
      <c r="G56" s="59" t="s">
        <v>339</v>
      </c>
    </row>
    <row r="57" spans="1:9" x14ac:dyDescent="0.2">
      <c r="A57" s="156">
        <f t="shared" si="1"/>
        <v>47</v>
      </c>
      <c r="B57" s="155" t="str">
        <v>8.2</v>
      </c>
      <c r="C57" s="61" t="str">
        <v>Regulatory Assets/ Liabilities Amortization - Year 1</v>
      </c>
      <c r="D57" s="59">
        <v>-4858990.537474798</v>
      </c>
      <c r="E57" s="59">
        <v>26317588.733462926</v>
      </c>
      <c r="F57" s="59">
        <f t="shared" si="11"/>
        <v>9123363.6790960338</v>
      </c>
      <c r="G57" s="59" t="s">
        <v>340</v>
      </c>
    </row>
    <row r="58" spans="1:9" x14ac:dyDescent="0.2">
      <c r="A58" s="156">
        <f t="shared" si="1"/>
        <v>48</v>
      </c>
      <c r="B58" s="155" t="str">
        <v>8.3</v>
      </c>
      <c r="C58" s="61" t="str">
        <v>Customer Advances for Construction</v>
      </c>
      <c r="D58" s="59">
        <v>0</v>
      </c>
      <c r="E58" s="59">
        <v>-1733115.077035418</v>
      </c>
      <c r="F58" s="59">
        <f t="shared" si="11"/>
        <v>-175197.18264304192</v>
      </c>
      <c r="G58" s="59" t="s">
        <v>340</v>
      </c>
    </row>
    <row r="59" spans="1:9" x14ac:dyDescent="0.2">
      <c r="A59" s="156">
        <f t="shared" si="1"/>
        <v>49</v>
      </c>
      <c r="B59" s="155" t="str">
        <v>8.4</v>
      </c>
      <c r="C59" s="61" t="str">
        <v>Pro Forma Major Plant Additions - Year 1</v>
      </c>
      <c r="D59" s="59">
        <v>80090.037251476664</v>
      </c>
      <c r="E59" s="59">
        <v>132944198.85970446</v>
      </c>
      <c r="F59" s="59">
        <f t="shared" si="11"/>
        <v>13332538.474749358</v>
      </c>
      <c r="G59" s="59" t="s">
        <v>340</v>
      </c>
    </row>
    <row r="60" spans="1:9" x14ac:dyDescent="0.2">
      <c r="A60" s="156">
        <f t="shared" si="1"/>
        <v>50</v>
      </c>
      <c r="B60" s="183" t="str">
        <v>8.5</v>
      </c>
      <c r="C60" s="61" t="str">
        <v>Miscellaneous Rate Base</v>
      </c>
      <c r="D60" s="59">
        <v>0</v>
      </c>
      <c r="E60" s="59">
        <v>-27252977.232733469</v>
      </c>
      <c r="F60" s="59">
        <f t="shared" si="11"/>
        <v>-2754949.6816894249</v>
      </c>
      <c r="G60" s="59" t="s">
        <v>340</v>
      </c>
    </row>
    <row r="61" spans="1:9" x14ac:dyDescent="0.2">
      <c r="A61" s="156">
        <f t="shared" si="1"/>
        <v>51</v>
      </c>
      <c r="B61" s="183" t="str">
        <v>8.6</v>
      </c>
      <c r="C61" s="61" t="str">
        <v>Customer Service Deposits</v>
      </c>
      <c r="D61" s="59">
        <v>-1846.1747</v>
      </c>
      <c r="E61" s="59">
        <v>-408390.63249999989</v>
      </c>
      <c r="F61" s="59">
        <f t="shared" si="11"/>
        <v>-38827.795709079284</v>
      </c>
      <c r="G61" s="59" t="s">
        <v>341</v>
      </c>
    </row>
    <row r="62" spans="1:9" x14ac:dyDescent="0.2">
      <c r="A62" s="156">
        <f t="shared" si="1"/>
        <v>52</v>
      </c>
      <c r="B62" s="156" t="str">
        <v>8.7</v>
      </c>
      <c r="C62" s="61" t="str">
        <v>Investor Supplied Working Capital</v>
      </c>
      <c r="D62" s="59">
        <v>0</v>
      </c>
      <c r="E62" s="59">
        <v>29873668.417190563</v>
      </c>
      <c r="F62" s="59">
        <f t="shared" si="11"/>
        <v>3019870.1813020175</v>
      </c>
      <c r="G62" s="59" t="s">
        <v>341</v>
      </c>
    </row>
    <row r="63" spans="1:9" x14ac:dyDescent="0.2">
      <c r="A63" s="156">
        <f t="shared" si="1"/>
        <v>53</v>
      </c>
      <c r="B63" s="156" t="str">
        <v>8.8</v>
      </c>
      <c r="C63" s="61" t="str">
        <v>Labor Day Wildfire Restoration Capital Removal</v>
      </c>
      <c r="D63" s="59">
        <v>0</v>
      </c>
      <c r="E63" s="59">
        <v>-16595924.588451218</v>
      </c>
      <c r="F63" s="59">
        <f t="shared" si="11"/>
        <v>-1677649.2627521115</v>
      </c>
      <c r="G63" s="59" t="s">
        <v>341</v>
      </c>
    </row>
    <row r="64" spans="1:9" x14ac:dyDescent="0.2">
      <c r="A64" s="156">
        <f t="shared" si="1"/>
        <v>54</v>
      </c>
      <c r="B64" s="156" t="str">
        <v>8.9</v>
      </c>
      <c r="C64" s="61" t="str">
        <v>WIJAM Transmission Reallocation</v>
      </c>
      <c r="D64" s="59">
        <v>0</v>
      </c>
      <c r="E64" s="59">
        <v>-6227108.8245538902</v>
      </c>
      <c r="F64" s="59">
        <f t="shared" si="11"/>
        <v>-629486.14118551731</v>
      </c>
      <c r="G64" s="59" t="s">
        <v>341</v>
      </c>
    </row>
    <row r="65" spans="1:9" x14ac:dyDescent="0.2">
      <c r="A65" s="156">
        <f t="shared" si="1"/>
        <v>55</v>
      </c>
      <c r="B65" s="155" t="str">
        <v>8.10</v>
      </c>
      <c r="C65" s="61" t="str">
        <v>Klamath Hydroelectric Assets Transfer - Year 1</v>
      </c>
      <c r="D65" s="59">
        <v>142928.12725308619</v>
      </c>
      <c r="E65" s="59">
        <v>-77495.744994808672</v>
      </c>
      <c r="F65" s="59">
        <f t="shared" si="11"/>
        <v>-197943.39585631088</v>
      </c>
      <c r="G65" s="59" t="s">
        <v>341</v>
      </c>
    </row>
    <row r="66" spans="1:9" x14ac:dyDescent="0.2">
      <c r="A66" s="156">
        <f t="shared" si="1"/>
        <v>56</v>
      </c>
      <c r="B66" s="155" t="str">
        <v>8.11</v>
      </c>
      <c r="C66" s="61" t="str">
        <v>Confidential Wind Capital Additions - Year 1</v>
      </c>
      <c r="D66" s="160">
        <v>-180796.14170084742</v>
      </c>
      <c r="E66" s="160">
        <v>2316422.0932725216</v>
      </c>
      <c r="F66" s="160">
        <f t="shared" si="11"/>
        <v>474640.50010582193</v>
      </c>
      <c r="G66" s="59" t="s">
        <v>341</v>
      </c>
    </row>
    <row r="67" spans="1:9" x14ac:dyDescent="0.2">
      <c r="A67" s="156">
        <f t="shared" si="1"/>
        <v>57</v>
      </c>
      <c r="B67" s="155" t="str">
        <f>'Total Adj'!AW8</f>
        <v>8.12</v>
      </c>
      <c r="C67" s="61" t="str">
        <f>'Total Adj'!AW9</f>
        <v>Major Transmission Capital Addtions - Year 1</v>
      </c>
      <c r="D67" s="62">
        <f>'Total Adj'!AW40</f>
        <v>-511007.59105070744</v>
      </c>
      <c r="E67" s="62">
        <f>'Total Adj'!AW67</f>
        <v>37655292.732782446</v>
      </c>
      <c r="F67" s="62">
        <f t="shared" si="11"/>
        <v>4486193.2892742585</v>
      </c>
      <c r="G67" s="59" t="s">
        <v>341</v>
      </c>
    </row>
    <row r="68" spans="1:9" x14ac:dyDescent="0.2">
      <c r="A68" s="156">
        <f t="shared" si="1"/>
        <v>58</v>
      </c>
      <c r="B68" s="155"/>
      <c r="C68" s="157" t="s">
        <v>205</v>
      </c>
      <c r="D68" s="158">
        <f>SUM(D56:D67)</f>
        <v>-5329622.2804217907</v>
      </c>
      <c r="E68" s="158">
        <f>SUM(E56:E67)</f>
        <v>206812270.45018688</v>
      </c>
      <c r="F68" s="158">
        <f>SUM(F56:F67)</f>
        <v>27995204.749322958</v>
      </c>
      <c r="G68" s="59"/>
      <c r="H68" s="182">
        <f>SUM('Total Adj'!AL71:AW71)-F68</f>
        <v>0</v>
      </c>
      <c r="I68" s="61" t="s">
        <v>226</v>
      </c>
    </row>
    <row r="69" spans="1:9" x14ac:dyDescent="0.2">
      <c r="A69" s="156">
        <f t="shared" si="1"/>
        <v>59</v>
      </c>
      <c r="B69" s="155"/>
      <c r="C69" s="157"/>
      <c r="D69" s="158"/>
      <c r="E69" s="158"/>
      <c r="F69" s="158"/>
      <c r="G69" s="59"/>
      <c r="H69" s="182"/>
    </row>
    <row r="70" spans="1:9" x14ac:dyDescent="0.2">
      <c r="A70" s="156">
        <f t="shared" si="1"/>
        <v>60</v>
      </c>
      <c r="B70" s="183" t="str">
        <f>'Total Adj'!AX8</f>
        <v>9.1</v>
      </c>
      <c r="C70" s="61" t="str">
        <f>'Total Adj'!AX9</f>
        <v>Production Factor - Year 1</v>
      </c>
      <c r="D70" s="62">
        <f>'Total Adj'!AX40</f>
        <v>-842671.37166241417</v>
      </c>
      <c r="E70" s="62">
        <f>'Total Adj'!AX67</f>
        <v>-2800.5264279410185</v>
      </c>
      <c r="F70" s="62">
        <f t="shared" ref="F70:F80" si="12">-(D70-(E70*Overall_ROR))/gross_up_factor</f>
        <v>1120558.8194699404</v>
      </c>
      <c r="G70" s="59" t="s">
        <v>342</v>
      </c>
      <c r="H70" s="182"/>
    </row>
    <row r="71" spans="1:9" x14ac:dyDescent="0.2">
      <c r="A71" s="156">
        <f t="shared" si="1"/>
        <v>61</v>
      </c>
      <c r="B71" s="183"/>
      <c r="C71" s="157" t="s">
        <v>301</v>
      </c>
      <c r="D71" s="161">
        <f>SUM(D70)</f>
        <v>-842671.37166241417</v>
      </c>
      <c r="E71" s="161">
        <f t="shared" ref="E71:F71" si="13">SUM(E70)</f>
        <v>-2800.5264279410185</v>
      </c>
      <c r="F71" s="161">
        <f t="shared" si="13"/>
        <v>1120558.8194699404</v>
      </c>
      <c r="G71" s="59"/>
      <c r="H71" s="182">
        <f>F71-'Total Adj'!AX71</f>
        <v>0</v>
      </c>
      <c r="I71" s="61" t="s">
        <v>226</v>
      </c>
    </row>
    <row r="72" spans="1:9" x14ac:dyDescent="0.2">
      <c r="A72" s="156">
        <f t="shared" ref="A72:A85" si="14">A71+1</f>
        <v>62</v>
      </c>
      <c r="B72" s="183"/>
      <c r="D72" s="160"/>
      <c r="E72" s="160"/>
      <c r="F72" s="160"/>
      <c r="G72" s="59"/>
      <c r="H72" s="182"/>
    </row>
    <row r="73" spans="1:9" x14ac:dyDescent="0.2">
      <c r="A73" s="156">
        <f t="shared" si="14"/>
        <v>63</v>
      </c>
      <c r="B73" s="183" t="str">
        <f t="array" ref="B73:B80">TRANSPOSE('Total Adj'!AY8:BF8)</f>
        <v>10.1</v>
      </c>
      <c r="C73" s="61" t="str">
        <f t="array" ref="C73:C80">TRANSPOSE('Total Adj'!AY9:BF9)</f>
        <v>Removal of Coal-Fired Generation Assets</v>
      </c>
      <c r="D73" s="160">
        <f t="array" ref="D73:D80">TRANSPOSE('Total Adj'!AY40:BF40)</f>
        <v>0</v>
      </c>
      <c r="E73" s="160">
        <f t="array" ref="E73:E80">TRANSPOSE('Total Adj'!AY67:BF67)</f>
        <v>-144705069.51099706</v>
      </c>
      <c r="F73" s="160">
        <f t="shared" si="12"/>
        <v>-14627949.885392481</v>
      </c>
      <c r="G73" s="59" t="s">
        <v>343</v>
      </c>
      <c r="H73" s="182"/>
    </row>
    <row r="74" spans="1:9" x14ac:dyDescent="0.2">
      <c r="A74" s="156">
        <f t="shared" si="14"/>
        <v>64</v>
      </c>
      <c r="B74" s="183" t="str">
        <v>10.2</v>
      </c>
      <c r="C74" s="61" t="str">
        <v>Jim Bridger SCRs Removal</v>
      </c>
      <c r="D74" s="160">
        <v>-315585.97754791973</v>
      </c>
      <c r="E74" s="160">
        <v>-22651761.900813635</v>
      </c>
      <c r="F74" s="160">
        <f t="shared" si="12"/>
        <v>-1870059.2254980134</v>
      </c>
      <c r="G74" s="59" t="s">
        <v>343</v>
      </c>
      <c r="H74" s="182"/>
    </row>
    <row r="75" spans="1:9" x14ac:dyDescent="0.2">
      <c r="A75" s="156">
        <f t="shared" si="14"/>
        <v>65</v>
      </c>
      <c r="B75" s="183" t="str">
        <v>10.3</v>
      </c>
      <c r="C75" s="61" t="str">
        <v>Colstrip Unit 3 Removal</v>
      </c>
      <c r="D75" s="160">
        <v>918036.47581257683</v>
      </c>
      <c r="E75" s="160">
        <v>-9976935.3349126205</v>
      </c>
      <c r="F75" s="160">
        <f t="shared" si="12"/>
        <v>-2229634.1694367481</v>
      </c>
      <c r="G75" s="59" t="s">
        <v>343</v>
      </c>
      <c r="H75" s="182"/>
    </row>
    <row r="76" spans="1:9" x14ac:dyDescent="0.2">
      <c r="A76" s="156">
        <f t="shared" si="14"/>
        <v>66</v>
      </c>
      <c r="B76" s="183" t="str">
        <v>10.4</v>
      </c>
      <c r="C76" s="61" t="str">
        <v>Jim Bridger Mine Rate Base - Year 1</v>
      </c>
      <c r="D76" s="160">
        <v>0</v>
      </c>
      <c r="E76" s="160">
        <v>5211879.293372795</v>
      </c>
      <c r="F76" s="160">
        <f t="shared" si="12"/>
        <v>526858.5915462909</v>
      </c>
      <c r="G76" s="59" t="s">
        <v>343</v>
      </c>
      <c r="H76" s="182"/>
    </row>
    <row r="77" spans="1:9" x14ac:dyDescent="0.2">
      <c r="A77" s="156">
        <f t="shared" si="14"/>
        <v>67</v>
      </c>
      <c r="B77" s="183" t="str">
        <v>10.5</v>
      </c>
      <c r="C77" s="61" t="str">
        <v>Existing Coal-Fired Generation Assets - Year 1</v>
      </c>
      <c r="D77" s="160">
        <v>-2226611.4464667565</v>
      </c>
      <c r="E77" s="160">
        <v>797315.23569899797</v>
      </c>
      <c r="F77" s="160">
        <f>-(D77-(E77*Overall_ROR))/gross_up_factor</f>
        <v>3042227.4006808549</v>
      </c>
      <c r="G77" s="59" t="s">
        <v>343</v>
      </c>
      <c r="H77" s="182"/>
    </row>
    <row r="78" spans="1:9" x14ac:dyDescent="0.2">
      <c r="A78" s="156">
        <f t="shared" si="14"/>
        <v>68</v>
      </c>
      <c r="B78" s="183" t="str">
        <v>10.6</v>
      </c>
      <c r="C78" s="61" t="str">
        <v>Pro Forma JB Units 3, 4 and Colstrip 4 Additions - 
Year 1</v>
      </c>
      <c r="D78" s="160">
        <v>-45557.267758997798</v>
      </c>
      <c r="E78" s="160">
        <v>3711612.3428394538</v>
      </c>
      <c r="F78" s="160">
        <f t="shared" si="12"/>
        <v>435795.54389986472</v>
      </c>
      <c r="G78" s="59" t="s">
        <v>343</v>
      </c>
      <c r="H78" s="182"/>
    </row>
    <row r="79" spans="1:9" x14ac:dyDescent="0.2">
      <c r="A79" s="156">
        <f t="shared" si="14"/>
        <v>69</v>
      </c>
      <c r="B79" s="183" t="str">
        <v>10.7</v>
      </c>
      <c r="C79" s="61" t="str">
        <v>Pro Forma JB Units 1 &amp; 2 Additions - Year 1</v>
      </c>
      <c r="D79" s="160">
        <v>-35986.363904692887</v>
      </c>
      <c r="E79" s="160">
        <v>4061255.9190168967</v>
      </c>
      <c r="F79" s="160">
        <f t="shared" si="12"/>
        <v>458410.0100422668</v>
      </c>
      <c r="G79" s="59" t="s">
        <v>352</v>
      </c>
      <c r="H79" s="182"/>
    </row>
    <row r="80" spans="1:9" x14ac:dyDescent="0.2">
      <c r="A80" s="156">
        <f t="shared" si="14"/>
        <v>70</v>
      </c>
      <c r="B80" s="183" t="str">
        <v>10.8</v>
      </c>
      <c r="C80" s="61" t="str">
        <v>Fly Ash Revenues - Year 1</v>
      </c>
      <c r="D80" s="62">
        <v>-806454.15381934645</v>
      </c>
      <c r="E80" s="62">
        <v>0</v>
      </c>
      <c r="F80" s="62">
        <f t="shared" si="12"/>
        <v>1072669.1945137752</v>
      </c>
      <c r="G80" s="59" t="s">
        <v>352</v>
      </c>
      <c r="H80" s="182"/>
    </row>
    <row r="81" spans="1:9" x14ac:dyDescent="0.2">
      <c r="A81" s="156">
        <f t="shared" si="14"/>
        <v>71</v>
      </c>
      <c r="C81" s="157" t="s">
        <v>302</v>
      </c>
      <c r="D81" s="158">
        <f>SUM(D73:D80)</f>
        <v>-2512158.7336851368</v>
      </c>
      <c r="E81" s="158">
        <f>SUM(E73:E80)</f>
        <v>-163551703.9557952</v>
      </c>
      <c r="F81" s="158">
        <f>SUM(F73:F80)</f>
        <v>-13191682.539644191</v>
      </c>
      <c r="G81" s="59"/>
      <c r="H81" s="182">
        <f>F81-SUM('Total Adj'!AY71:BF71)</f>
        <v>0</v>
      </c>
      <c r="I81" s="61" t="s">
        <v>226</v>
      </c>
    </row>
    <row r="82" spans="1:9" x14ac:dyDescent="0.2">
      <c r="A82" s="156">
        <f t="shared" si="14"/>
        <v>72</v>
      </c>
      <c r="D82" s="59"/>
      <c r="E82" s="59"/>
      <c r="F82" s="59"/>
      <c r="G82" s="59"/>
    </row>
    <row r="83" spans="1:9" x14ac:dyDescent="0.2">
      <c r="A83" s="156">
        <f t="shared" si="14"/>
        <v>73</v>
      </c>
      <c r="C83" s="162" t="s">
        <v>214</v>
      </c>
      <c r="D83" s="161">
        <f>D14+D29+D36+D42+D54+D68+D71+D81</f>
        <v>-4389526.6669820994</v>
      </c>
      <c r="E83" s="161">
        <f>E14+E29+E36+E42+E54+E68+E71+E81</f>
        <v>-49973200.524797335</v>
      </c>
      <c r="F83" s="161">
        <f>F14+F29+F36+F42+F54+F68+F71+F81</f>
        <v>786841.83328123763</v>
      </c>
      <c r="G83" s="59"/>
      <c r="H83" s="182">
        <f>'Total Adj'!B71-F83</f>
        <v>2.828892320394516E-8</v>
      </c>
      <c r="I83" s="61" t="s">
        <v>226</v>
      </c>
    </row>
    <row r="84" spans="1:9" x14ac:dyDescent="0.2">
      <c r="A84" s="156">
        <f t="shared" si="14"/>
        <v>74</v>
      </c>
      <c r="B84" s="61"/>
      <c r="C84" s="162"/>
      <c r="D84" s="161"/>
      <c r="E84" s="161"/>
      <c r="F84" s="161"/>
      <c r="G84" s="59"/>
    </row>
    <row r="85" spans="1:9" x14ac:dyDescent="0.2">
      <c r="A85" s="156">
        <f t="shared" si="14"/>
        <v>75</v>
      </c>
      <c r="C85" s="288" t="s">
        <v>180</v>
      </c>
      <c r="D85" s="288">
        <f>D8+D83</f>
        <v>63511126.989237919</v>
      </c>
      <c r="E85" s="288">
        <f>E8+E83</f>
        <v>1100424346.7003779</v>
      </c>
      <c r="F85" s="288">
        <f>F8+F83-1</f>
        <v>26763218.833281238</v>
      </c>
      <c r="G85" s="59" t="s">
        <v>329</v>
      </c>
      <c r="H85" s="274">
        <f>F85-'Check Sheet'!W9</f>
        <v>-0.19189862906932831</v>
      </c>
      <c r="I85" s="60" t="s">
        <v>226</v>
      </c>
    </row>
    <row r="86" spans="1:9" x14ac:dyDescent="0.2">
      <c r="A86" s="156"/>
      <c r="C86" s="162"/>
      <c r="D86" s="161"/>
      <c r="E86" s="161"/>
      <c r="F86" s="161"/>
      <c r="G86" s="59"/>
    </row>
    <row r="87" spans="1:9" x14ac:dyDescent="0.2">
      <c r="A87" s="156"/>
      <c r="B87" s="165" t="s">
        <v>174</v>
      </c>
      <c r="C87" s="162"/>
      <c r="D87" s="161"/>
      <c r="E87" s="161"/>
      <c r="F87" s="161"/>
      <c r="G87" s="59"/>
    </row>
    <row r="88" spans="1:9" x14ac:dyDescent="0.2">
      <c r="A88" s="156"/>
      <c r="B88" s="165" t="s">
        <v>344</v>
      </c>
    </row>
    <row r="89" spans="1:9" x14ac:dyDescent="0.2">
      <c r="A89" s="156"/>
      <c r="B89" s="165" t="s">
        <v>345</v>
      </c>
    </row>
    <row r="90" spans="1:9" x14ac:dyDescent="0.2">
      <c r="A90" s="156"/>
    </row>
    <row r="91" spans="1:9" x14ac:dyDescent="0.2">
      <c r="A91" s="156"/>
    </row>
    <row r="92" spans="1:9" x14ac:dyDescent="0.2">
      <c r="A92" s="156"/>
    </row>
    <row r="94" spans="1:9" x14ac:dyDescent="0.2">
      <c r="D94" s="266"/>
      <c r="E94" s="182"/>
    </row>
  </sheetData>
  <mergeCells count="1">
    <mergeCell ref="A3:G4"/>
  </mergeCells>
  <printOptions horizontalCentered="1"/>
  <pageMargins left="0.7" right="0.7" top="0.75" bottom="0.75" header="0.3" footer="0.3"/>
  <pageSetup scale="66" orientation="portrait" useFirstPageNumber="1" r:id="rId1"/>
  <headerFooter>
    <oddHeader>&amp;RExhibit No. SLC-2
Page &amp;P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R85"/>
  <sheetViews>
    <sheetView view="pageBreakPreview" zoomScale="90" zoomScaleNormal="100" zoomScaleSheetLayoutView="90" workbookViewId="0">
      <selection activeCell="BD50" sqref="BD50"/>
    </sheetView>
  </sheetViews>
  <sheetFormatPr defaultColWidth="9.140625" defaultRowHeight="11.25" x14ac:dyDescent="0.2"/>
  <cols>
    <col min="1" max="1" width="3.42578125" style="97" customWidth="1"/>
    <col min="2" max="2" width="24.28515625" style="97" customWidth="1"/>
    <col min="3" max="3" width="13.85546875" style="97" customWidth="1"/>
    <col min="4" max="4" width="3.28515625" style="97" customWidth="1"/>
    <col min="5" max="7" width="11.85546875" style="97" customWidth="1"/>
    <col min="8" max="8" width="12.85546875" style="97" customWidth="1"/>
    <col min="9" max="12" width="11.85546875" style="97" customWidth="1"/>
    <col min="13" max="13" width="3" style="233" customWidth="1"/>
    <col min="14" max="14" width="11.85546875" style="97" customWidth="1"/>
    <col min="15" max="15" width="3.140625" style="97" customWidth="1"/>
    <col min="16" max="16" width="13.140625" style="97" bestFit="1" customWidth="1"/>
    <col min="17" max="17" width="12.28515625" style="232" bestFit="1" customWidth="1"/>
    <col min="18" max="18" width="11.28515625" style="247" bestFit="1" customWidth="1"/>
    <col min="19" max="16384" width="9.140625" style="97"/>
  </cols>
  <sheetData>
    <row r="1" spans="1:18" ht="12" x14ac:dyDescent="0.2">
      <c r="A1" s="95" t="s">
        <v>41</v>
      </c>
      <c r="B1" s="96"/>
      <c r="E1" s="98"/>
      <c r="F1" s="98"/>
      <c r="G1" s="98"/>
      <c r="H1" s="98"/>
      <c r="I1" s="98"/>
      <c r="J1" s="98"/>
      <c r="K1" s="98"/>
      <c r="L1" s="98"/>
      <c r="M1" s="275"/>
      <c r="N1" s="98"/>
      <c r="O1" s="98"/>
      <c r="P1" s="242"/>
    </row>
    <row r="2" spans="1:18" ht="12" x14ac:dyDescent="0.2">
      <c r="A2" s="295" t="s">
        <v>183</v>
      </c>
      <c r="B2" s="296"/>
      <c r="E2" s="98"/>
      <c r="F2" s="98"/>
      <c r="G2" s="98"/>
      <c r="H2" s="98"/>
      <c r="I2" s="98"/>
      <c r="J2" s="98"/>
      <c r="K2" s="98"/>
      <c r="L2" s="98"/>
      <c r="M2" s="275"/>
      <c r="N2" s="98"/>
      <c r="O2" s="98"/>
      <c r="P2" s="243"/>
    </row>
    <row r="3" spans="1:18" ht="12" customHeight="1" x14ac:dyDescent="0.2">
      <c r="A3" s="297" t="s">
        <v>264</v>
      </c>
      <c r="B3" s="297"/>
      <c r="C3" s="297"/>
      <c r="E3" s="98"/>
      <c r="F3" s="98"/>
      <c r="G3" s="98"/>
      <c r="H3" s="98"/>
      <c r="I3" s="98"/>
      <c r="J3" s="98"/>
      <c r="K3" s="98"/>
      <c r="L3" s="98"/>
      <c r="M3" s="275"/>
      <c r="N3" s="98"/>
      <c r="O3" s="98"/>
      <c r="P3" s="98"/>
    </row>
    <row r="4" spans="1:18" ht="12" x14ac:dyDescent="0.2">
      <c r="A4" s="99" t="s">
        <v>304</v>
      </c>
      <c r="B4" s="96"/>
      <c r="E4" s="98"/>
      <c r="F4" s="98"/>
      <c r="G4" s="98"/>
      <c r="H4" s="98"/>
      <c r="I4" s="98"/>
      <c r="J4" s="98"/>
      <c r="K4" s="98"/>
      <c r="L4" s="98"/>
      <c r="M4" s="275"/>
      <c r="N4" s="98"/>
      <c r="O4" s="98"/>
      <c r="P4" s="98"/>
    </row>
    <row r="5" spans="1:18" ht="12.75" x14ac:dyDescent="0.2">
      <c r="A5" s="100"/>
      <c r="E5" s="98"/>
      <c r="F5" s="98"/>
      <c r="G5" s="98"/>
      <c r="H5" s="98"/>
      <c r="I5" s="98"/>
      <c r="J5" s="98"/>
      <c r="K5" s="98"/>
      <c r="L5" s="98"/>
      <c r="M5" s="275"/>
      <c r="N5" s="98"/>
      <c r="O5" s="98"/>
      <c r="P5" s="98"/>
    </row>
    <row r="6" spans="1:18" x14ac:dyDescent="0.2">
      <c r="A6" s="101"/>
      <c r="C6" s="104"/>
      <c r="D6" s="105"/>
      <c r="E6" s="102" t="s">
        <v>328</v>
      </c>
      <c r="F6" s="103"/>
      <c r="G6" s="103"/>
      <c r="H6" s="103"/>
      <c r="I6" s="103"/>
      <c r="J6" s="103"/>
      <c r="K6" s="103"/>
      <c r="L6" s="103"/>
      <c r="M6" s="222"/>
      <c r="N6" s="103"/>
      <c r="P6" s="226"/>
      <c r="Q6" s="233"/>
    </row>
    <row r="7" spans="1:18" x14ac:dyDescent="0.2">
      <c r="C7" s="223"/>
      <c r="D7" s="224"/>
      <c r="E7" s="225"/>
      <c r="F7" s="222"/>
      <c r="G7" s="222"/>
      <c r="H7" s="222"/>
      <c r="I7" s="222"/>
      <c r="J7" s="222"/>
      <c r="K7" s="222"/>
      <c r="L7" s="222"/>
      <c r="N7" s="106" t="s">
        <v>184</v>
      </c>
      <c r="Q7" s="234"/>
    </row>
    <row r="8" spans="1:18" x14ac:dyDescent="0.2">
      <c r="C8" s="106"/>
      <c r="D8" s="105"/>
      <c r="E8" s="106" t="s">
        <v>185</v>
      </c>
      <c r="F8" s="106" t="s">
        <v>186</v>
      </c>
      <c r="G8" s="106" t="s">
        <v>187</v>
      </c>
      <c r="H8" s="106" t="s">
        <v>33</v>
      </c>
      <c r="I8" s="106" t="s">
        <v>188</v>
      </c>
      <c r="J8" s="106" t="s">
        <v>189</v>
      </c>
      <c r="K8" s="106" t="s">
        <v>228</v>
      </c>
      <c r="L8" s="106" t="s">
        <v>303</v>
      </c>
      <c r="M8" s="224"/>
      <c r="N8" s="106" t="s">
        <v>327</v>
      </c>
    </row>
    <row r="9" spans="1:18" ht="57.75" customHeight="1" x14ac:dyDescent="0.2">
      <c r="C9" s="107" t="s">
        <v>305</v>
      </c>
      <c r="D9" s="108"/>
      <c r="E9" s="107" t="s">
        <v>190</v>
      </c>
      <c r="F9" s="107" t="s">
        <v>191</v>
      </c>
      <c r="G9" s="107" t="s">
        <v>192</v>
      </c>
      <c r="H9" s="107" t="s">
        <v>193</v>
      </c>
      <c r="I9" s="107" t="s">
        <v>194</v>
      </c>
      <c r="J9" s="107" t="s">
        <v>195</v>
      </c>
      <c r="K9" s="107" t="s">
        <v>326</v>
      </c>
      <c r="L9" s="107" t="s">
        <v>325</v>
      </c>
      <c r="M9" s="276"/>
      <c r="N9" s="107" t="s">
        <v>196</v>
      </c>
      <c r="P9" s="107" t="s">
        <v>197</v>
      </c>
      <c r="Q9" s="235"/>
      <c r="R9" s="247" t="s">
        <v>259</v>
      </c>
    </row>
    <row r="10" spans="1:18" x14ac:dyDescent="0.2">
      <c r="A10" s="109">
        <v>1</v>
      </c>
      <c r="B10" s="109" t="s">
        <v>44</v>
      </c>
    </row>
    <row r="11" spans="1:18" x14ac:dyDescent="0.2">
      <c r="A11" s="109">
        <v>2</v>
      </c>
      <c r="B11" s="109" t="s">
        <v>45</v>
      </c>
      <c r="C11" s="58">
        <f>Summary!B9</f>
        <v>373551615.56999999</v>
      </c>
      <c r="D11" s="110"/>
      <c r="E11" s="58">
        <f>'Page 1.4'!D6</f>
        <v>31472700.330736585</v>
      </c>
      <c r="F11" s="58">
        <f>'Page 1.4'!E6</f>
        <v>0</v>
      </c>
      <c r="G11" s="58">
        <f>'Page 1.4'!F6</f>
        <v>0</v>
      </c>
      <c r="H11" s="58">
        <f>'Page 1.4'!G6</f>
        <v>0</v>
      </c>
      <c r="I11" s="58">
        <f>'Page 1.4'!H6</f>
        <v>0</v>
      </c>
      <c r="J11" s="58">
        <f>'Page 1.4'!I6</f>
        <v>0</v>
      </c>
      <c r="K11" s="58">
        <f>'Page 1.4'!J6</f>
        <v>0</v>
      </c>
      <c r="L11" s="58">
        <f>'Page 1.4'!K6</f>
        <v>0</v>
      </c>
      <c r="N11" s="58">
        <f>SUM(E11:M11)</f>
        <v>31472700.330736585</v>
      </c>
      <c r="P11" s="111">
        <f>+C11+N11</f>
        <v>405024315.90073657</v>
      </c>
      <c r="Q11" s="236"/>
      <c r="R11" s="248">
        <f>P11-'Check Sheet'!S9</f>
        <v>0</v>
      </c>
    </row>
    <row r="12" spans="1:18" x14ac:dyDescent="0.2">
      <c r="A12" s="109">
        <v>3</v>
      </c>
      <c r="B12" s="109" t="s">
        <v>46</v>
      </c>
      <c r="C12" s="58">
        <f>Summary!B10</f>
        <v>0</v>
      </c>
      <c r="D12" s="110"/>
      <c r="E12" s="58">
        <f>'Page 1.4'!D7</f>
        <v>0</v>
      </c>
      <c r="F12" s="58">
        <f>'Page 1.4'!E7</f>
        <v>0</v>
      </c>
      <c r="G12" s="58">
        <f>'Page 1.4'!F7</f>
        <v>0</v>
      </c>
      <c r="H12" s="58">
        <f>'Page 1.4'!G7</f>
        <v>0</v>
      </c>
      <c r="I12" s="58">
        <f>'Page 1.4'!H7</f>
        <v>0</v>
      </c>
      <c r="J12" s="58">
        <f>'Page 1.4'!I7</f>
        <v>0</v>
      </c>
      <c r="K12" s="58">
        <f>'Page 1.4'!J7</f>
        <v>0</v>
      </c>
      <c r="L12" s="58">
        <f>'Page 1.4'!K7</f>
        <v>0</v>
      </c>
      <c r="N12" s="58">
        <f>SUM(E12:M12)</f>
        <v>0</v>
      </c>
      <c r="P12" s="111">
        <f>+C12+N12</f>
        <v>0</v>
      </c>
      <c r="Q12" s="236"/>
      <c r="R12" s="248">
        <f>P12-'Check Sheet'!S10</f>
        <v>0</v>
      </c>
    </row>
    <row r="13" spans="1:18" x14ac:dyDescent="0.2">
      <c r="A13" s="109">
        <v>4</v>
      </c>
      <c r="B13" s="109" t="s">
        <v>47</v>
      </c>
      <c r="C13" s="58">
        <f>Summary!B11</f>
        <v>1285828.8120363725</v>
      </c>
      <c r="D13" s="110"/>
      <c r="E13" s="58">
        <f>'Page 1.4'!D8</f>
        <v>0</v>
      </c>
      <c r="F13" s="58">
        <f>'Page 1.4'!E8</f>
        <v>0</v>
      </c>
      <c r="G13" s="58">
        <f>'Page 1.4'!F8</f>
        <v>19038327.299635988</v>
      </c>
      <c r="H13" s="58">
        <f>'Page 1.4'!G8</f>
        <v>0</v>
      </c>
      <c r="I13" s="58">
        <f>'Page 1.4'!H8</f>
        <v>0</v>
      </c>
      <c r="J13" s="58">
        <f>'Page 1.4'!I8</f>
        <v>0</v>
      </c>
      <c r="K13" s="58">
        <f>'Page 1.4'!J8</f>
        <v>110156.92612526193</v>
      </c>
      <c r="L13" s="58">
        <f>'Page 1.4'!K8</f>
        <v>0</v>
      </c>
      <c r="N13" s="58">
        <f>SUM(E13:M13)</f>
        <v>19148484.22576125</v>
      </c>
      <c r="P13" s="111">
        <f>+C13+N13</f>
        <v>20434313.037797622</v>
      </c>
      <c r="Q13" s="236"/>
      <c r="R13" s="248">
        <f>P13-'Check Sheet'!S11</f>
        <v>0</v>
      </c>
    </row>
    <row r="14" spans="1:18" x14ac:dyDescent="0.2">
      <c r="A14" s="109">
        <v>5</v>
      </c>
      <c r="B14" s="109" t="s">
        <v>48</v>
      </c>
      <c r="C14" s="58">
        <f>Summary!B12</f>
        <v>20011924.237952776</v>
      </c>
      <c r="D14" s="110"/>
      <c r="E14" s="58">
        <f>'Page 1.4'!D9</f>
        <v>1403022.0003689292</v>
      </c>
      <c r="F14" s="58">
        <f>'Page 1.4'!E9</f>
        <v>0</v>
      </c>
      <c r="G14" s="58">
        <f>'Page 1.4'!F9</f>
        <v>265774.14632870059</v>
      </c>
      <c r="H14" s="58">
        <f>'Page 1.4'!G9</f>
        <v>0</v>
      </c>
      <c r="I14" s="58">
        <f>'Page 1.4'!H9</f>
        <v>0</v>
      </c>
      <c r="J14" s="58">
        <f>'Page 1.4'!I9</f>
        <v>0</v>
      </c>
      <c r="K14" s="58">
        <f>'Page 1.4'!J9</f>
        <v>-5532.8879920264008</v>
      </c>
      <c r="L14" s="58">
        <f>'Page 1.4'!K9</f>
        <v>-1020828.0428092993</v>
      </c>
      <c r="N14" s="58">
        <f>SUM(E14:M14)</f>
        <v>642435.21589630411</v>
      </c>
      <c r="P14" s="111">
        <f>+C14+N14</f>
        <v>20654359.453849081</v>
      </c>
      <c r="Q14" s="236"/>
      <c r="R14" s="248">
        <f>P14-'Check Sheet'!S12</f>
        <v>0</v>
      </c>
    </row>
    <row r="15" spans="1:18" x14ac:dyDescent="0.2">
      <c r="A15" s="109">
        <v>6</v>
      </c>
      <c r="B15" s="109" t="s">
        <v>49</v>
      </c>
      <c r="C15" s="112">
        <f>SUM(C11:C14)</f>
        <v>394849368.61998916</v>
      </c>
      <c r="D15" s="113"/>
      <c r="E15" s="112">
        <f t="shared" ref="E15:P15" si="0">SUM(E11:E14)</f>
        <v>32875722.331105515</v>
      </c>
      <c r="F15" s="112">
        <f t="shared" si="0"/>
        <v>0</v>
      </c>
      <c r="G15" s="112">
        <f t="shared" si="0"/>
        <v>19304101.445964687</v>
      </c>
      <c r="H15" s="112">
        <f t="shared" si="0"/>
        <v>0</v>
      </c>
      <c r="I15" s="112">
        <f t="shared" si="0"/>
        <v>0</v>
      </c>
      <c r="J15" s="112">
        <f t="shared" si="0"/>
        <v>0</v>
      </c>
      <c r="K15" s="112">
        <f t="shared" ref="K15:L15" si="1">SUM(K11:K14)</f>
        <v>104624.03813323553</v>
      </c>
      <c r="L15" s="112">
        <f t="shared" si="1"/>
        <v>-1020828.0428092993</v>
      </c>
      <c r="N15" s="112">
        <f t="shared" si="0"/>
        <v>51263619.772394136</v>
      </c>
      <c r="P15" s="112">
        <f t="shared" si="0"/>
        <v>446112988.39238328</v>
      </c>
      <c r="Q15" s="237"/>
      <c r="R15" s="248">
        <f>P15-'Check Sheet'!S13</f>
        <v>0</v>
      </c>
    </row>
    <row r="16" spans="1:18" ht="12.75" x14ac:dyDescent="0.2">
      <c r="A16" s="109">
        <v>7</v>
      </c>
      <c r="B16" s="109"/>
      <c r="C16" s="114"/>
      <c r="D16" s="110"/>
      <c r="E16" s="114"/>
      <c r="F16" s="114"/>
      <c r="G16" s="114"/>
      <c r="H16" s="114"/>
      <c r="I16" s="114"/>
      <c r="J16" s="114"/>
      <c r="K16" s="114"/>
      <c r="L16" s="114"/>
      <c r="N16" s="114"/>
      <c r="R16" s="248"/>
    </row>
    <row r="17" spans="1:18" ht="12.75" x14ac:dyDescent="0.2">
      <c r="A17" s="109">
        <v>8</v>
      </c>
      <c r="B17" s="109" t="s">
        <v>50</v>
      </c>
      <c r="C17" s="114"/>
      <c r="D17" s="110"/>
      <c r="E17" s="114"/>
      <c r="F17" s="114"/>
      <c r="G17" s="114"/>
      <c r="H17" s="114"/>
      <c r="I17" s="114"/>
      <c r="J17" s="114"/>
      <c r="K17" s="114"/>
      <c r="L17" s="114"/>
      <c r="N17" s="114"/>
      <c r="R17" s="248"/>
    </row>
    <row r="18" spans="1:18" x14ac:dyDescent="0.2">
      <c r="A18" s="109">
        <v>9</v>
      </c>
      <c r="B18" s="109" t="s">
        <v>51</v>
      </c>
      <c r="C18" s="58">
        <f>Summary!B16</f>
        <v>59399957.533967733</v>
      </c>
      <c r="D18" s="110"/>
      <c r="E18" s="58">
        <f>'Page 1.4'!D13</f>
        <v>0</v>
      </c>
      <c r="F18" s="58">
        <f>'Page 1.4'!E13</f>
        <v>372494.26762657589</v>
      </c>
      <c r="G18" s="58">
        <f>'Page 1.4'!F13</f>
        <v>-2185033.31137479</v>
      </c>
      <c r="H18" s="58">
        <f>'Page 1.4'!G13</f>
        <v>2233092.2074194313</v>
      </c>
      <c r="I18" s="58">
        <f>'Page 1.4'!H13</f>
        <v>0</v>
      </c>
      <c r="J18" s="58">
        <f>'Page 1.4'!I13</f>
        <v>0</v>
      </c>
      <c r="K18" s="58">
        <f>'Page 1.4'!J13</f>
        <v>212943.29145472497</v>
      </c>
      <c r="L18" s="58">
        <f>'Page 1.4'!K13</f>
        <v>-1201932.5238463734</v>
      </c>
      <c r="N18" s="58">
        <f t="shared" ref="N18:N27" si="2">SUM(E18:M18)</f>
        <v>-568436.0687204313</v>
      </c>
      <c r="P18" s="111">
        <f t="shared" ref="P18:P27" si="3">+C18+N18</f>
        <v>58831521.465247303</v>
      </c>
      <c r="Q18" s="236"/>
      <c r="R18" s="248">
        <f>P18-'Check Sheet'!S16</f>
        <v>0</v>
      </c>
    </row>
    <row r="19" spans="1:18" x14ac:dyDescent="0.2">
      <c r="A19" s="109">
        <v>10</v>
      </c>
      <c r="B19" s="109" t="s">
        <v>52</v>
      </c>
      <c r="C19" s="58">
        <f>Summary!B17</f>
        <v>0</v>
      </c>
      <c r="D19" s="110"/>
      <c r="E19" s="58">
        <f>'Page 1.4'!D14</f>
        <v>0</v>
      </c>
      <c r="F19" s="58">
        <f>'Page 1.4'!E14</f>
        <v>0</v>
      </c>
      <c r="G19" s="58">
        <f>'Page 1.4'!F14</f>
        <v>0</v>
      </c>
      <c r="H19" s="58">
        <f>'Page 1.4'!G14</f>
        <v>0</v>
      </c>
      <c r="I19" s="58">
        <f>'Page 1.4'!H14</f>
        <v>0</v>
      </c>
      <c r="J19" s="58">
        <f>'Page 1.4'!I14</f>
        <v>0</v>
      </c>
      <c r="K19" s="58">
        <f>'Page 1.4'!J14</f>
        <v>0</v>
      </c>
      <c r="L19" s="58">
        <f>'Page 1.4'!K14</f>
        <v>0</v>
      </c>
      <c r="N19" s="58">
        <f t="shared" si="2"/>
        <v>0</v>
      </c>
      <c r="P19" s="111">
        <f t="shared" si="3"/>
        <v>0</v>
      </c>
      <c r="Q19" s="236"/>
      <c r="R19" s="248">
        <f>P19-'Check Sheet'!S17</f>
        <v>0</v>
      </c>
    </row>
    <row r="20" spans="1:18" x14ac:dyDescent="0.2">
      <c r="A20" s="115">
        <v>11</v>
      </c>
      <c r="B20" s="109" t="s">
        <v>53</v>
      </c>
      <c r="C20" s="58">
        <f>Summary!B18</f>
        <v>1451885.6553336573</v>
      </c>
      <c r="D20" s="110"/>
      <c r="E20" s="58">
        <f>'Page 1.4'!D15</f>
        <v>0</v>
      </c>
      <c r="F20" s="58">
        <f>'Page 1.4'!E15</f>
        <v>2245813.7424687804</v>
      </c>
      <c r="G20" s="58">
        <f>'Page 1.4'!F15</f>
        <v>0</v>
      </c>
      <c r="H20" s="58">
        <f>'Page 1.4'!G15</f>
        <v>0</v>
      </c>
      <c r="I20" s="58">
        <f>'Page 1.4'!H15</f>
        <v>0</v>
      </c>
      <c r="J20" s="58">
        <f>'Page 1.4'!I15</f>
        <v>-253659.07857429984</v>
      </c>
      <c r="K20" s="58">
        <f>'Page 1.4'!J15</f>
        <v>573.4824085146538</v>
      </c>
      <c r="L20" s="58">
        <f>'Page 1.4'!K15</f>
        <v>0</v>
      </c>
      <c r="N20" s="58">
        <f t="shared" si="2"/>
        <v>1992728.1463029953</v>
      </c>
      <c r="P20" s="111">
        <f t="shared" si="3"/>
        <v>3444613.8016366526</v>
      </c>
      <c r="Q20" s="236"/>
      <c r="R20" s="248">
        <f>P20-'Check Sheet'!S18</f>
        <v>0</v>
      </c>
    </row>
    <row r="21" spans="1:18" x14ac:dyDescent="0.2">
      <c r="A21" s="109">
        <v>12</v>
      </c>
      <c r="B21" s="109" t="s">
        <v>54</v>
      </c>
      <c r="C21" s="58">
        <f>Summary!B19</f>
        <v>124223582.91229668</v>
      </c>
      <c r="D21" s="110"/>
      <c r="E21" s="58">
        <f>'Page 1.4'!D16</f>
        <v>0</v>
      </c>
      <c r="F21" s="58">
        <f>'Page 1.4'!E16</f>
        <v>153854.16358176555</v>
      </c>
      <c r="G21" s="58">
        <f>'Page 1.4'!F16</f>
        <v>50693580.421179526</v>
      </c>
      <c r="H21" s="58">
        <f>'Page 1.4'!G16</f>
        <v>0</v>
      </c>
      <c r="I21" s="58">
        <f>'Page 1.4'!H16</f>
        <v>0</v>
      </c>
      <c r="J21" s="58">
        <f>'Page 1.4'!I16</f>
        <v>131145.17024851745</v>
      </c>
      <c r="K21" s="58">
        <f>'Page 1.4'!J16</f>
        <v>902275.44766935706</v>
      </c>
      <c r="L21" s="58">
        <f>'Page 1.4'!K16</f>
        <v>0</v>
      </c>
      <c r="N21" s="58">
        <f t="shared" si="2"/>
        <v>51880855.202679165</v>
      </c>
      <c r="P21" s="111">
        <f t="shared" si="3"/>
        <v>176104438.11497584</v>
      </c>
      <c r="Q21" s="236"/>
      <c r="R21" s="248">
        <f>P21-'Check Sheet'!S19</f>
        <v>0</v>
      </c>
    </row>
    <row r="22" spans="1:18" x14ac:dyDescent="0.2">
      <c r="A22" s="109">
        <v>13</v>
      </c>
      <c r="B22" s="109" t="s">
        <v>55</v>
      </c>
      <c r="C22" s="58">
        <f>Summary!B20</f>
        <v>18668674.704801075</v>
      </c>
      <c r="D22" s="110"/>
      <c r="E22" s="58">
        <f>'Page 1.4'!D17</f>
        <v>0</v>
      </c>
      <c r="F22" s="58">
        <f>'Page 1.4'!E17</f>
        <v>610878.30084100435</v>
      </c>
      <c r="G22" s="58">
        <f>'Page 1.4'!F17</f>
        <v>630176.87420901121</v>
      </c>
      <c r="H22" s="58">
        <f>'Page 1.4'!G17</f>
        <v>0</v>
      </c>
      <c r="I22" s="58">
        <f>'Page 1.4'!H17</f>
        <v>0</v>
      </c>
      <c r="J22" s="58">
        <f>'Page 1.4'!I17</f>
        <v>0</v>
      </c>
      <c r="K22" s="58">
        <f>'Page 1.4'!J17</f>
        <v>72376.057689283043</v>
      </c>
      <c r="L22" s="58">
        <f>'Page 1.4'!K17</f>
        <v>0</v>
      </c>
      <c r="N22" s="58">
        <f t="shared" si="2"/>
        <v>1313431.2327392986</v>
      </c>
      <c r="P22" s="111">
        <f t="shared" si="3"/>
        <v>19982105.937540375</v>
      </c>
      <c r="Q22" s="236"/>
      <c r="R22" s="248">
        <f>P22-'Check Sheet'!S20</f>
        <v>0</v>
      </c>
    </row>
    <row r="23" spans="1:18" x14ac:dyDescent="0.2">
      <c r="A23" s="109">
        <v>14</v>
      </c>
      <c r="B23" s="109" t="s">
        <v>56</v>
      </c>
      <c r="C23" s="58">
        <f>Summary!B21</f>
        <v>14095287.65784201</v>
      </c>
      <c r="D23" s="110"/>
      <c r="E23" s="58">
        <f>'Page 1.4'!D18</f>
        <v>0</v>
      </c>
      <c r="F23" s="58">
        <f>'Page 1.4'!E18</f>
        <v>4495602.4101354945</v>
      </c>
      <c r="G23" s="58">
        <f>'Page 1.4'!F18</f>
        <v>0</v>
      </c>
      <c r="H23" s="58">
        <f>'Page 1.4'!G18</f>
        <v>0</v>
      </c>
      <c r="I23" s="58">
        <f>'Page 1.4'!H18</f>
        <v>0</v>
      </c>
      <c r="J23" s="58">
        <f>'Page 1.4'!I18</f>
        <v>0</v>
      </c>
      <c r="K23" s="58">
        <f>'Page 1.4'!J18</f>
        <v>0</v>
      </c>
      <c r="L23" s="58">
        <f>'Page 1.4'!K18</f>
        <v>0</v>
      </c>
      <c r="N23" s="58">
        <f t="shared" si="2"/>
        <v>4495602.4101354945</v>
      </c>
      <c r="P23" s="111">
        <f t="shared" si="3"/>
        <v>18590890.067977503</v>
      </c>
      <c r="Q23" s="236"/>
      <c r="R23" s="248">
        <f>P23-'Check Sheet'!S21</f>
        <v>0</v>
      </c>
    </row>
    <row r="24" spans="1:18" x14ac:dyDescent="0.2">
      <c r="A24" s="109">
        <v>15</v>
      </c>
      <c r="B24" s="109" t="s">
        <v>57</v>
      </c>
      <c r="C24" s="58">
        <f>Summary!B22</f>
        <v>6726004.9395781606</v>
      </c>
      <c r="D24" s="110"/>
      <c r="E24" s="58">
        <f>'Page 1.4'!D19</f>
        <v>0</v>
      </c>
      <c r="F24" s="58">
        <f>'Page 1.4'!E19</f>
        <v>27612.00663405098</v>
      </c>
      <c r="G24" s="58">
        <f>'Page 1.4'!F19</f>
        <v>0</v>
      </c>
      <c r="H24" s="58">
        <f>'Page 1.4'!G19</f>
        <v>0</v>
      </c>
      <c r="I24" s="58">
        <f>'Page 1.4'!H19</f>
        <v>0</v>
      </c>
      <c r="J24" s="58">
        <f>'Page 1.4'!I19</f>
        <v>0</v>
      </c>
      <c r="K24" s="58">
        <f>'Page 1.4'!J19</f>
        <v>0</v>
      </c>
      <c r="L24" s="58">
        <f>'Page 1.4'!K19</f>
        <v>0</v>
      </c>
      <c r="N24" s="58">
        <f t="shared" si="2"/>
        <v>27612.00663405098</v>
      </c>
      <c r="P24" s="111">
        <f t="shared" si="3"/>
        <v>6753616.9462122116</v>
      </c>
      <c r="Q24" s="236"/>
      <c r="R24" s="248">
        <f>P24-'Check Sheet'!S22</f>
        <v>0</v>
      </c>
    </row>
    <row r="25" spans="1:18" x14ac:dyDescent="0.2">
      <c r="A25" s="109">
        <v>16</v>
      </c>
      <c r="B25" s="109" t="s">
        <v>58</v>
      </c>
      <c r="C25" s="58">
        <f>Summary!B23</f>
        <v>664976.96386129013</v>
      </c>
      <c r="D25" s="110"/>
      <c r="E25" s="58">
        <f>'Page 1.4'!D20</f>
        <v>0</v>
      </c>
      <c r="F25" s="58">
        <f>'Page 1.4'!E20</f>
        <v>44716.371428883809</v>
      </c>
      <c r="G25" s="58">
        <f>'Page 1.4'!F20</f>
        <v>0</v>
      </c>
      <c r="H25" s="58">
        <f>'Page 1.4'!G20</f>
        <v>0</v>
      </c>
      <c r="I25" s="58">
        <f>'Page 1.4'!H20</f>
        <v>0</v>
      </c>
      <c r="J25" s="58">
        <f>'Page 1.4'!I20</f>
        <v>0</v>
      </c>
      <c r="K25" s="58">
        <f>'Page 1.4'!J20</f>
        <v>0</v>
      </c>
      <c r="L25" s="58">
        <f>'Page 1.4'!K20</f>
        <v>0</v>
      </c>
      <c r="N25" s="58">
        <f t="shared" si="2"/>
        <v>44716.371428883809</v>
      </c>
      <c r="P25" s="111">
        <f t="shared" si="3"/>
        <v>709693.335290174</v>
      </c>
      <c r="Q25" s="236"/>
      <c r="R25" s="248">
        <f>P25-'Check Sheet'!S23</f>
        <v>0</v>
      </c>
    </row>
    <row r="26" spans="1:18" x14ac:dyDescent="0.2">
      <c r="A26" s="109">
        <v>17</v>
      </c>
      <c r="B26" s="109" t="s">
        <v>59</v>
      </c>
      <c r="C26" s="58">
        <f>Summary!B24</f>
        <v>0</v>
      </c>
      <c r="D26" s="110"/>
      <c r="E26" s="58">
        <f>'Page 1.4'!D21</f>
        <v>0</v>
      </c>
      <c r="F26" s="58">
        <f>'Page 1.4'!E21</f>
        <v>0</v>
      </c>
      <c r="G26" s="58">
        <f>'Page 1.4'!F21</f>
        <v>0</v>
      </c>
      <c r="H26" s="58">
        <f>'Page 1.4'!G21</f>
        <v>0</v>
      </c>
      <c r="I26" s="58">
        <f>'Page 1.4'!H21</f>
        <v>0</v>
      </c>
      <c r="J26" s="58">
        <f>'Page 1.4'!I21</f>
        <v>0</v>
      </c>
      <c r="K26" s="58">
        <f>'Page 1.4'!J21</f>
        <v>0</v>
      </c>
      <c r="L26" s="58">
        <f>'Page 1.4'!K21</f>
        <v>0</v>
      </c>
      <c r="N26" s="58">
        <f t="shared" si="2"/>
        <v>0</v>
      </c>
      <c r="P26" s="111">
        <f t="shared" si="3"/>
        <v>0</v>
      </c>
      <c r="Q26" s="236"/>
      <c r="R26" s="248">
        <f>P26-'Check Sheet'!S24</f>
        <v>0</v>
      </c>
    </row>
    <row r="27" spans="1:18" x14ac:dyDescent="0.2">
      <c r="A27" s="109">
        <v>18</v>
      </c>
      <c r="B27" s="109" t="s">
        <v>60</v>
      </c>
      <c r="C27" s="58">
        <f>Summary!B25</f>
        <v>17574535.448868852</v>
      </c>
      <c r="D27" s="110"/>
      <c r="E27" s="58">
        <f>'Page 1.4'!D22</f>
        <v>0</v>
      </c>
      <c r="F27" s="58">
        <f>'Page 1.4'!E22</f>
        <v>-2400033.2756195422</v>
      </c>
      <c r="G27" s="58">
        <f>'Page 1.4'!F22</f>
        <v>37776</v>
      </c>
      <c r="H27" s="58">
        <f>'Page 1.4'!G22</f>
        <v>0</v>
      </c>
      <c r="I27" s="58">
        <f>'Page 1.4'!H22</f>
        <v>0</v>
      </c>
      <c r="J27" s="58">
        <f>'Page 1.4'!I22</f>
        <v>0</v>
      </c>
      <c r="K27" s="58">
        <f>'Page 1.4'!J22</f>
        <v>0</v>
      </c>
      <c r="L27" s="58">
        <f>'Page 1.4'!K22</f>
        <v>-15196.135492579706</v>
      </c>
      <c r="N27" s="116">
        <f t="shared" si="2"/>
        <v>-2377453.4111121218</v>
      </c>
      <c r="P27" s="111">
        <f t="shared" si="3"/>
        <v>15197082.03775673</v>
      </c>
      <c r="Q27" s="236"/>
      <c r="R27" s="248">
        <f>P27-'Check Sheet'!S25</f>
        <v>0</v>
      </c>
    </row>
    <row r="28" spans="1:18" x14ac:dyDescent="0.2">
      <c r="A28" s="109">
        <v>19</v>
      </c>
      <c r="B28" s="109" t="s">
        <v>61</v>
      </c>
      <c r="C28" s="136">
        <f>SUM(C18:C27)</f>
        <v>242804905.81654945</v>
      </c>
      <c r="D28" s="113"/>
      <c r="E28" s="136">
        <f t="shared" ref="E28:J28" si="4">SUM(E18:E27)</f>
        <v>0</v>
      </c>
      <c r="F28" s="136">
        <f t="shared" si="4"/>
        <v>5550937.9870970128</v>
      </c>
      <c r="G28" s="136">
        <f t="shared" si="4"/>
        <v>49176499.984013744</v>
      </c>
      <c r="H28" s="136">
        <f t="shared" si="4"/>
        <v>2233092.2074194313</v>
      </c>
      <c r="I28" s="136">
        <f t="shared" si="4"/>
        <v>0</v>
      </c>
      <c r="J28" s="136">
        <f t="shared" si="4"/>
        <v>-122513.90832578239</v>
      </c>
      <c r="K28" s="136">
        <f t="shared" ref="K28:L28" si="5">SUM(K18:K27)</f>
        <v>1188168.2792218798</v>
      </c>
      <c r="L28" s="136">
        <f t="shared" si="5"/>
        <v>-1217128.6593389532</v>
      </c>
      <c r="N28" s="111">
        <f>SUM(N18:N27)</f>
        <v>56809055.890087329</v>
      </c>
      <c r="P28" s="136">
        <f>SUM(P18:P27)</f>
        <v>299613961.70663685</v>
      </c>
      <c r="Q28" s="238"/>
      <c r="R28" s="248">
        <f>P28-'Check Sheet'!S26</f>
        <v>0</v>
      </c>
    </row>
    <row r="29" spans="1:18" x14ac:dyDescent="0.2">
      <c r="A29" s="109">
        <v>20</v>
      </c>
      <c r="B29" s="109" t="s">
        <v>62</v>
      </c>
      <c r="C29" s="58">
        <f>Summary!B27</f>
        <v>67617924.859086528</v>
      </c>
      <c r="D29" s="110"/>
      <c r="E29" s="58">
        <f>'Page 1.4'!D24</f>
        <v>0</v>
      </c>
      <c r="F29" s="58">
        <f>'Page 1.4'!E24</f>
        <v>0</v>
      </c>
      <c r="G29" s="58">
        <f>'Page 1.4'!F24</f>
        <v>0</v>
      </c>
      <c r="H29" s="58">
        <f>'Page 1.4'!G24</f>
        <v>-16220473.329020642</v>
      </c>
      <c r="I29" s="58">
        <f>'Page 1.4'!H24</f>
        <v>0</v>
      </c>
      <c r="J29" s="58">
        <f>'Page 1.4'!I24</f>
        <v>744555.75728509633</v>
      </c>
      <c r="K29" s="58">
        <f>'Page 1.4'!J24</f>
        <v>23210.389051953243</v>
      </c>
      <c r="L29" s="58">
        <f>'Page 1.4'!K24</f>
        <v>3454317.9490513015</v>
      </c>
      <c r="N29" s="58">
        <f t="shared" ref="N29:N36" si="6">SUM(E29:M29)</f>
        <v>-11998389.233632291</v>
      </c>
      <c r="P29" s="111">
        <f t="shared" ref="P29:P36" si="7">+C29+N29</f>
        <v>55619535.62545424</v>
      </c>
      <c r="Q29" s="236"/>
      <c r="R29" s="248">
        <f>P29-'Check Sheet'!S27</f>
        <v>0</v>
      </c>
    </row>
    <row r="30" spans="1:18" x14ac:dyDescent="0.2">
      <c r="A30" s="109">
        <v>21</v>
      </c>
      <c r="B30" s="109" t="s">
        <v>63</v>
      </c>
      <c r="C30" s="58">
        <f>Summary!B28</f>
        <v>4068762.4448733251</v>
      </c>
      <c r="D30" s="110"/>
      <c r="E30" s="58">
        <f>'Page 1.4'!D25</f>
        <v>0</v>
      </c>
      <c r="F30" s="58">
        <f>'Page 1.4'!E25</f>
        <v>0</v>
      </c>
      <c r="G30" s="58">
        <f>'Page 1.4'!F25</f>
        <v>0</v>
      </c>
      <c r="H30" s="58">
        <f>'Page 1.4'!G25</f>
        <v>4316441.701700381</v>
      </c>
      <c r="I30" s="58">
        <f>'Page 1.4'!H25</f>
        <v>0</v>
      </c>
      <c r="J30" s="58">
        <f>'Page 1.4'!I25</f>
        <v>7087454.5807298403</v>
      </c>
      <c r="K30" s="58">
        <f>'Page 1.4'!J25</f>
        <v>0</v>
      </c>
      <c r="L30" s="58">
        <f>'Page 1.4'!K25</f>
        <v>0</v>
      </c>
      <c r="N30" s="58">
        <f t="shared" si="6"/>
        <v>11403896.28243022</v>
      </c>
      <c r="P30" s="111">
        <f t="shared" si="7"/>
        <v>15472658.727303546</v>
      </c>
      <c r="Q30" s="236"/>
      <c r="R30" s="248">
        <f>P30-'Check Sheet'!S28</f>
        <v>0</v>
      </c>
    </row>
    <row r="31" spans="1:18" x14ac:dyDescent="0.2">
      <c r="A31" s="109">
        <v>22</v>
      </c>
      <c r="B31" s="109" t="s">
        <v>64</v>
      </c>
      <c r="C31" s="58">
        <f>Summary!B29</f>
        <v>26622826.535992358</v>
      </c>
      <c r="D31" s="110"/>
      <c r="E31" s="58">
        <f>'Page 1.4'!D26</f>
        <v>0</v>
      </c>
      <c r="F31" s="58">
        <f>'Page 1.4'!E26</f>
        <v>0</v>
      </c>
      <c r="G31" s="58">
        <f>'Page 1.4'!F26</f>
        <v>0</v>
      </c>
      <c r="H31" s="58">
        <f>'Page 1.4'!G26</f>
        <v>0</v>
      </c>
      <c r="I31" s="58">
        <f>'Page 1.4'!H26</f>
        <v>2350182.6170963505</v>
      </c>
      <c r="J31" s="58">
        <f>'Page 1.4'!I26</f>
        <v>0</v>
      </c>
      <c r="K31" s="58">
        <f>'Page 1.4'!J26</f>
        <v>1260.2852436666144</v>
      </c>
      <c r="L31" s="58">
        <f>'Page 1.4'!K26</f>
        <v>-76109.754345669193</v>
      </c>
      <c r="N31" s="58">
        <f t="shared" si="6"/>
        <v>2275333.1479943478</v>
      </c>
      <c r="P31" s="111">
        <f t="shared" si="7"/>
        <v>28898159.683986705</v>
      </c>
      <c r="Q31" s="236"/>
      <c r="R31" s="248">
        <f>P31-'Check Sheet'!S29</f>
        <v>0</v>
      </c>
    </row>
    <row r="32" spans="1:18" x14ac:dyDescent="0.2">
      <c r="A32" s="109">
        <v>23</v>
      </c>
      <c r="B32" s="109" t="s">
        <v>65</v>
      </c>
      <c r="C32" s="58">
        <f>Summary!B30</f>
        <v>-11584544.100133309</v>
      </c>
      <c r="D32" s="110"/>
      <c r="E32" s="58">
        <f>'Page 1.4'!D27</f>
        <v>6903901.689532158</v>
      </c>
      <c r="F32" s="58">
        <f>'Page 1.4'!E27</f>
        <v>-1431267.0015494097</v>
      </c>
      <c r="G32" s="58">
        <f>'Page 1.4'!F27</f>
        <v>-6273203.6929903021</v>
      </c>
      <c r="H32" s="58">
        <f>'Page 1.4'!G27</f>
        <v>2456888.7698105471</v>
      </c>
      <c r="I32" s="58">
        <f>'Page 1.4'!H27</f>
        <v>-6322844.60398365</v>
      </c>
      <c r="J32" s="58">
        <f>'Page 1.4'!I27</f>
        <v>2846371.9491408938</v>
      </c>
      <c r="K32" s="58">
        <f>'Page 1.4'!J27</f>
        <v>-265343.54372185015</v>
      </c>
      <c r="L32" s="58">
        <f>'Page 1.4'!K27</f>
        <v>-522400.12987566914</v>
      </c>
      <c r="N32" s="58">
        <f t="shared" si="6"/>
        <v>-2607896.5636372822</v>
      </c>
      <c r="P32" s="111">
        <f t="shared" si="7"/>
        <v>-14192440.663770592</v>
      </c>
      <c r="Q32" s="236"/>
      <c r="R32" s="248">
        <f>P32-'Check Sheet'!S30</f>
        <v>3.2480146735906601E-2</v>
      </c>
    </row>
    <row r="33" spans="1:18" x14ac:dyDescent="0.2">
      <c r="A33" s="109">
        <v>24</v>
      </c>
      <c r="B33" s="109" t="s">
        <v>66</v>
      </c>
      <c r="C33" s="58">
        <f>Summary!B31</f>
        <v>0</v>
      </c>
      <c r="D33" s="110"/>
      <c r="E33" s="58">
        <f>'Page 1.4'!D28</f>
        <v>0</v>
      </c>
      <c r="F33" s="58">
        <f>'Page 1.4'!E28</f>
        <v>0</v>
      </c>
      <c r="G33" s="58">
        <f>'Page 1.4'!F28</f>
        <v>0</v>
      </c>
      <c r="H33" s="58">
        <f>'Page 1.4'!G28</f>
        <v>0</v>
      </c>
      <c r="I33" s="58">
        <f>'Page 1.4'!H28</f>
        <v>0</v>
      </c>
      <c r="J33" s="58">
        <f>'Page 1.4'!I28</f>
        <v>0</v>
      </c>
      <c r="K33" s="58">
        <f>'Page 1.4'!J28</f>
        <v>0</v>
      </c>
      <c r="L33" s="58">
        <f>'Page 1.4'!K28</f>
        <v>0</v>
      </c>
      <c r="N33" s="58">
        <f t="shared" si="6"/>
        <v>0</v>
      </c>
      <c r="P33" s="111">
        <f t="shared" si="7"/>
        <v>0</v>
      </c>
      <c r="Q33" s="236"/>
      <c r="R33" s="248">
        <f>P33-'Check Sheet'!S31</f>
        <v>0</v>
      </c>
    </row>
    <row r="34" spans="1:18" x14ac:dyDescent="0.2">
      <c r="A34" s="109">
        <v>25</v>
      </c>
      <c r="B34" s="109" t="s">
        <v>67</v>
      </c>
      <c r="C34" s="58">
        <f>Summary!B32</f>
        <v>-2401026.3881861214</v>
      </c>
      <c r="D34" s="110"/>
      <c r="E34" s="58">
        <f>'Page 1.4'!D29</f>
        <v>0</v>
      </c>
      <c r="F34" s="58">
        <f>'Page 1.4'!E29</f>
        <v>291371.44046879199</v>
      </c>
      <c r="G34" s="58">
        <f>'Page 1.4'!F29</f>
        <v>0</v>
      </c>
      <c r="H34" s="58">
        <f>'Page 1.4'!G29</f>
        <v>-498746.1113269059</v>
      </c>
      <c r="I34" s="58">
        <f>'Page 1.4'!H29</f>
        <v>5272578.2897593528</v>
      </c>
      <c r="J34" s="58">
        <f>'Page 1.4'!I29</f>
        <v>-5228583.0284082573</v>
      </c>
      <c r="K34" s="58">
        <f>'Page 1.4'!J29</f>
        <v>0</v>
      </c>
      <c r="L34" s="58">
        <f>'Page 1.4'!K29</f>
        <v>-147348.71461517236</v>
      </c>
      <c r="N34" s="58">
        <f t="shared" si="6"/>
        <v>-310728.12412219087</v>
      </c>
      <c r="P34" s="111">
        <f t="shared" si="7"/>
        <v>-2711754.5123083121</v>
      </c>
      <c r="Q34" s="236"/>
      <c r="R34" s="248">
        <f>P34-'Check Sheet'!S32</f>
        <v>0</v>
      </c>
    </row>
    <row r="35" spans="1:18" x14ac:dyDescent="0.2">
      <c r="A35" s="109">
        <v>26</v>
      </c>
      <c r="B35" s="109" t="s">
        <v>68</v>
      </c>
      <c r="C35" s="58">
        <f>Summary!B33</f>
        <v>0</v>
      </c>
      <c r="D35" s="110"/>
      <c r="E35" s="58">
        <f>'Page 1.4'!D30</f>
        <v>0</v>
      </c>
      <c r="F35" s="58">
        <f>'Page 1.4'!E30</f>
        <v>0</v>
      </c>
      <c r="G35" s="58">
        <f>'Page 1.4'!F30</f>
        <v>0</v>
      </c>
      <c r="H35" s="58">
        <f>'Page 1.4'!G30</f>
        <v>0</v>
      </c>
      <c r="I35" s="58">
        <f>'Page 1.4'!H30</f>
        <v>0</v>
      </c>
      <c r="J35" s="58">
        <f>'Page 1.4'!I30</f>
        <v>0</v>
      </c>
      <c r="K35" s="58">
        <f>'Page 1.4'!J30</f>
        <v>0</v>
      </c>
      <c r="L35" s="58">
        <f>'Page 1.4'!K30</f>
        <v>0</v>
      </c>
      <c r="N35" s="58">
        <f t="shared" si="6"/>
        <v>0</v>
      </c>
      <c r="P35" s="111">
        <f t="shared" si="7"/>
        <v>0</v>
      </c>
      <c r="Q35" s="236"/>
      <c r="R35" s="248">
        <f>P35-'Check Sheet'!S33</f>
        <v>0</v>
      </c>
    </row>
    <row r="36" spans="1:18" x14ac:dyDescent="0.2">
      <c r="A36" s="109">
        <v>27</v>
      </c>
      <c r="B36" s="109" t="s">
        <v>69</v>
      </c>
      <c r="C36" s="58">
        <f>Summary!B34</f>
        <v>-180134.20441316953</v>
      </c>
      <c r="D36" s="110"/>
      <c r="E36" s="58">
        <f>'Page 1.4'!D31</f>
        <v>0</v>
      </c>
      <c r="F36" s="58">
        <f>'Page 1.4'!E31</f>
        <v>79538.110256100932</v>
      </c>
      <c r="G36" s="58">
        <f>'Page 1.4'!F31</f>
        <v>0</v>
      </c>
      <c r="H36" s="58">
        <f>'Page 1.4'!G31</f>
        <v>0</v>
      </c>
      <c r="I36" s="58">
        <f>'Page 1.4'!H31</f>
        <v>0</v>
      </c>
      <c r="J36" s="58">
        <f>'Page 1.4'!I31</f>
        <v>2336.9299999999998</v>
      </c>
      <c r="K36" s="58">
        <f>'Page 1.4'!J31</f>
        <v>0</v>
      </c>
      <c r="L36" s="58">
        <f>'Page 1.4'!K31</f>
        <v>0</v>
      </c>
      <c r="N36" s="58">
        <f t="shared" si="6"/>
        <v>81875.040256100925</v>
      </c>
      <c r="P36" s="111">
        <f t="shared" si="7"/>
        <v>-98259.164157068604</v>
      </c>
      <c r="Q36" s="236"/>
      <c r="R36" s="248">
        <f>P36-'Check Sheet'!S34</f>
        <v>0</v>
      </c>
    </row>
    <row r="37" spans="1:18" x14ac:dyDescent="0.2">
      <c r="A37" s="109">
        <v>28</v>
      </c>
      <c r="B37" s="109" t="s">
        <v>70</v>
      </c>
      <c r="C37" s="118">
        <f>SUM(C28:C36)</f>
        <v>326948714.96376914</v>
      </c>
      <c r="D37" s="113"/>
      <c r="E37" s="118">
        <f t="shared" ref="E37:J37" si="8">SUM(E28:E36)</f>
        <v>6903901.689532158</v>
      </c>
      <c r="F37" s="118">
        <f t="shared" si="8"/>
        <v>4490580.536272496</v>
      </c>
      <c r="G37" s="118">
        <f t="shared" si="8"/>
        <v>42903296.291023441</v>
      </c>
      <c r="H37" s="118">
        <f t="shared" si="8"/>
        <v>-7712796.7614171896</v>
      </c>
      <c r="I37" s="118">
        <f t="shared" si="8"/>
        <v>1299916.3028720533</v>
      </c>
      <c r="J37" s="118">
        <f t="shared" si="8"/>
        <v>5329622.2804217897</v>
      </c>
      <c r="K37" s="118">
        <f t="shared" ref="K37:L37" si="9">SUM(K28:K36)</f>
        <v>947295.4097956497</v>
      </c>
      <c r="L37" s="118">
        <f t="shared" si="9"/>
        <v>1491330.6908758371</v>
      </c>
      <c r="N37" s="118">
        <f>SUM(N28:N36)</f>
        <v>55653146.439376235</v>
      </c>
      <c r="P37" s="118">
        <f>SUM(P28:P36)</f>
        <v>382601861.40314537</v>
      </c>
      <c r="Q37" s="238"/>
      <c r="R37" s="248">
        <f>P37-'Check Sheet'!S35</f>
        <v>3.2480120658874512E-2</v>
      </c>
    </row>
    <row r="38" spans="1:18" ht="12.75" x14ac:dyDescent="0.2">
      <c r="A38" s="109">
        <v>29</v>
      </c>
      <c r="B38" s="109"/>
      <c r="C38" s="114"/>
      <c r="D38" s="110"/>
      <c r="E38" s="114"/>
      <c r="F38" s="114"/>
      <c r="G38" s="114"/>
      <c r="H38" s="114"/>
      <c r="I38" s="114"/>
      <c r="J38" s="114"/>
      <c r="K38" s="114"/>
      <c r="L38" s="114"/>
      <c r="N38" s="114"/>
      <c r="P38" s="110"/>
      <c r="Q38" s="238"/>
      <c r="R38" s="248">
        <f>P38-'Check Sheet'!S36</f>
        <v>0</v>
      </c>
    </row>
    <row r="39" spans="1:18" ht="12" thickBot="1" x14ac:dyDescent="0.25">
      <c r="A39" s="109">
        <v>30</v>
      </c>
      <c r="B39" s="119" t="s">
        <v>71</v>
      </c>
      <c r="C39" s="120">
        <f>C15-C37</f>
        <v>67900653.656220019</v>
      </c>
      <c r="D39" s="121"/>
      <c r="E39" s="120">
        <f t="shared" ref="E39:J39" si="10">E15-E37</f>
        <v>25971820.641573358</v>
      </c>
      <c r="F39" s="120">
        <f t="shared" si="10"/>
        <v>-4490580.536272496</v>
      </c>
      <c r="G39" s="120">
        <f t="shared" si="10"/>
        <v>-23599194.845058754</v>
      </c>
      <c r="H39" s="120">
        <f t="shared" si="10"/>
        <v>7712796.7614171896</v>
      </c>
      <c r="I39" s="120">
        <f t="shared" si="10"/>
        <v>-1299916.3028720533</v>
      </c>
      <c r="J39" s="120">
        <f t="shared" si="10"/>
        <v>-5329622.2804217897</v>
      </c>
      <c r="K39" s="120">
        <f t="shared" ref="K39:L39" si="11">K15-K37</f>
        <v>-842671.37166241417</v>
      </c>
      <c r="L39" s="120">
        <f t="shared" si="11"/>
        <v>-2512158.7336851363</v>
      </c>
      <c r="N39" s="120">
        <f>N15-N37</f>
        <v>-4389526.6669820994</v>
      </c>
      <c r="P39" s="120">
        <f>P15-P37</f>
        <v>63511126.989237905</v>
      </c>
      <c r="Q39" s="239"/>
      <c r="R39" s="248">
        <f>P39-'Check Sheet'!S37</f>
        <v>-3.2480120658874512E-2</v>
      </c>
    </row>
    <row r="40" spans="1:18" ht="13.5" thickTop="1" x14ac:dyDescent="0.2">
      <c r="A40" s="109">
        <v>31</v>
      </c>
      <c r="B40" s="109"/>
      <c r="C40" s="114"/>
      <c r="D40" s="110"/>
      <c r="E40" s="114"/>
      <c r="F40" s="114"/>
      <c r="G40" s="114"/>
      <c r="H40" s="114"/>
      <c r="I40" s="114"/>
      <c r="J40" s="114"/>
      <c r="K40" s="114"/>
      <c r="L40" s="114"/>
      <c r="N40" s="114"/>
      <c r="R40" s="248">
        <f>P40-'Check Sheet'!S38</f>
        <v>0</v>
      </c>
    </row>
    <row r="41" spans="1:18" ht="12.75" x14ac:dyDescent="0.2">
      <c r="A41" s="109">
        <v>32</v>
      </c>
      <c r="B41" s="109" t="s">
        <v>72</v>
      </c>
      <c r="C41" s="114"/>
      <c r="D41" s="110"/>
      <c r="E41" s="114"/>
      <c r="F41" s="114"/>
      <c r="G41" s="114"/>
      <c r="H41" s="114"/>
      <c r="I41" s="114"/>
      <c r="J41" s="114"/>
      <c r="K41" s="114"/>
      <c r="L41" s="114"/>
      <c r="N41" s="114"/>
      <c r="R41" s="248">
        <f>P41-'Check Sheet'!S39</f>
        <v>0</v>
      </c>
    </row>
    <row r="42" spans="1:18" x14ac:dyDescent="0.2">
      <c r="A42" s="109">
        <v>33</v>
      </c>
      <c r="B42" s="109" t="s">
        <v>73</v>
      </c>
      <c r="C42" s="58">
        <f>Summary!B40</f>
        <v>2263546946.4584427</v>
      </c>
      <c r="D42" s="110"/>
      <c r="E42" s="58">
        <f>'Page 1.4'!D37</f>
        <v>0</v>
      </c>
      <c r="F42" s="58">
        <f>'Page 1.4'!E37</f>
        <v>0</v>
      </c>
      <c r="G42" s="58">
        <f>'Page 1.4'!F37</f>
        <v>0</v>
      </c>
      <c r="H42" s="58">
        <f>'Page 1.4'!G37</f>
        <v>0</v>
      </c>
      <c r="I42" s="58">
        <f>'Page 1.4'!H37</f>
        <v>0</v>
      </c>
      <c r="J42" s="58">
        <f>'Page 1.4'!I37</f>
        <v>173486737.29628566</v>
      </c>
      <c r="K42" s="58">
        <f>'Page 1.4'!J37</f>
        <v>192349.41342615057</v>
      </c>
      <c r="L42" s="58">
        <f>'Page 1.4'!K37</f>
        <v>-28684344.426496804</v>
      </c>
      <c r="N42" s="58">
        <f t="shared" ref="N42:N52" si="12">SUM(E42:M42)</f>
        <v>144994742.28321502</v>
      </c>
      <c r="P42" s="111">
        <f t="shared" ref="P42:P52" si="13">+C42+N42</f>
        <v>2408541688.7416577</v>
      </c>
      <c r="Q42" s="236"/>
      <c r="R42" s="248">
        <f>P42-'Check Sheet'!S40</f>
        <v>0</v>
      </c>
    </row>
    <row r="43" spans="1:18" x14ac:dyDescent="0.2">
      <c r="A43" s="109">
        <v>34</v>
      </c>
      <c r="B43" s="109" t="s">
        <v>74</v>
      </c>
      <c r="C43" s="58">
        <f>Summary!B41</f>
        <v>467184.71621561563</v>
      </c>
      <c r="D43" s="110"/>
      <c r="E43" s="58">
        <f>'Page 1.4'!D38</f>
        <v>0</v>
      </c>
      <c r="F43" s="58">
        <f>'Page 1.4'!E38</f>
        <v>0</v>
      </c>
      <c r="G43" s="58">
        <f>'Page 1.4'!F38</f>
        <v>0</v>
      </c>
      <c r="H43" s="58">
        <f>'Page 1.4'!G38</f>
        <v>0</v>
      </c>
      <c r="I43" s="58">
        <f>'Page 1.4'!H38</f>
        <v>0</v>
      </c>
      <c r="J43" s="58">
        <f>'Page 1.4'!I38</f>
        <v>0</v>
      </c>
      <c r="K43" s="58">
        <f>'Page 1.4'!J38</f>
        <v>0</v>
      </c>
      <c r="L43" s="58">
        <f>'Page 1.4'!K38</f>
        <v>0</v>
      </c>
      <c r="N43" s="58">
        <f t="shared" si="12"/>
        <v>0</v>
      </c>
      <c r="P43" s="111">
        <f t="shared" si="13"/>
        <v>467184.71621561563</v>
      </c>
      <c r="Q43" s="236"/>
      <c r="R43" s="248">
        <f>P43-'Check Sheet'!S41</f>
        <v>0</v>
      </c>
    </row>
    <row r="44" spans="1:18" x14ac:dyDescent="0.2">
      <c r="A44" s="109">
        <v>35</v>
      </c>
      <c r="B44" s="109" t="s">
        <v>75</v>
      </c>
      <c r="C44" s="58">
        <f>Summary!B42</f>
        <v>9959813.7233746387</v>
      </c>
      <c r="D44" s="110"/>
      <c r="E44" s="58">
        <f>'Page 1.4'!D39</f>
        <v>0</v>
      </c>
      <c r="F44" s="58">
        <f>'Page 1.4'!E39</f>
        <v>0</v>
      </c>
      <c r="G44" s="58">
        <f>'Page 1.4'!F39</f>
        <v>0</v>
      </c>
      <c r="H44" s="58">
        <f>'Page 1.4'!G39</f>
        <v>0</v>
      </c>
      <c r="I44" s="58">
        <f>'Page 1.4'!H39</f>
        <v>0</v>
      </c>
      <c r="J44" s="58">
        <f>'Page 1.4'!I39</f>
        <v>-9567567.1148098409</v>
      </c>
      <c r="K44" s="58">
        <f>'Page 1.4'!J39</f>
        <v>0</v>
      </c>
      <c r="L44" s="58">
        <f>'Page 1.4'!K39</f>
        <v>0</v>
      </c>
      <c r="N44" s="58">
        <f t="shared" si="12"/>
        <v>-9567567.1148098409</v>
      </c>
      <c r="P44" s="111">
        <f t="shared" si="13"/>
        <v>392246.60856479779</v>
      </c>
      <c r="Q44" s="236"/>
      <c r="R44" s="248">
        <f>P44-'Check Sheet'!S42</f>
        <v>-3.6088749766349792E-9</v>
      </c>
    </row>
    <row r="45" spans="1:18" x14ac:dyDescent="0.2">
      <c r="A45" s="109">
        <v>36</v>
      </c>
      <c r="B45" s="109" t="s">
        <v>76</v>
      </c>
      <c r="C45" s="58">
        <f>Summary!B43</f>
        <v>115844.19848648913</v>
      </c>
      <c r="D45" s="110"/>
      <c r="E45" s="58">
        <f>'Page 1.4'!D40</f>
        <v>0</v>
      </c>
      <c r="F45" s="58">
        <f>'Page 1.4'!E40</f>
        <v>0</v>
      </c>
      <c r="G45" s="58">
        <f>'Page 1.4'!F40</f>
        <v>0</v>
      </c>
      <c r="H45" s="58">
        <f>'Page 1.4'!G40</f>
        <v>0</v>
      </c>
      <c r="I45" s="58">
        <f>'Page 1.4'!H40</f>
        <v>0</v>
      </c>
      <c r="J45" s="58">
        <f>'Page 1.4'!I40</f>
        <v>0</v>
      </c>
      <c r="K45" s="58">
        <f>'Page 1.4'!J40</f>
        <v>0</v>
      </c>
      <c r="L45" s="58">
        <f>'Page 1.4'!K40</f>
        <v>0</v>
      </c>
      <c r="N45" s="58">
        <f t="shared" si="12"/>
        <v>0</v>
      </c>
      <c r="P45" s="111">
        <f t="shared" si="13"/>
        <v>115844.19848648913</v>
      </c>
      <c r="Q45" s="236"/>
      <c r="R45" s="248">
        <f>P45-'Check Sheet'!S43</f>
        <v>0</v>
      </c>
    </row>
    <row r="46" spans="1:18" x14ac:dyDescent="0.2">
      <c r="A46" s="109">
        <v>37</v>
      </c>
      <c r="B46" s="109" t="s">
        <v>77</v>
      </c>
      <c r="C46" s="58">
        <f>Summary!B44</f>
        <v>0</v>
      </c>
      <c r="D46" s="110"/>
      <c r="E46" s="58">
        <f>'Page 1.4'!D41</f>
        <v>0</v>
      </c>
      <c r="F46" s="58">
        <f>'Page 1.4'!E41</f>
        <v>0</v>
      </c>
      <c r="G46" s="58">
        <f>'Page 1.4'!F41</f>
        <v>0</v>
      </c>
      <c r="H46" s="58">
        <f>'Page 1.4'!G41</f>
        <v>0</v>
      </c>
      <c r="I46" s="58">
        <f>'Page 1.4'!H41</f>
        <v>0</v>
      </c>
      <c r="J46" s="58">
        <f>'Page 1.4'!I41</f>
        <v>0</v>
      </c>
      <c r="K46" s="58">
        <f>'Page 1.4'!J41</f>
        <v>0</v>
      </c>
      <c r="L46" s="58">
        <f>'Page 1.4'!K41</f>
        <v>0</v>
      </c>
      <c r="N46" s="58">
        <f t="shared" si="12"/>
        <v>0</v>
      </c>
      <c r="P46" s="111">
        <f t="shared" si="13"/>
        <v>0</v>
      </c>
      <c r="Q46" s="236"/>
      <c r="R46" s="248">
        <f>P46-'Check Sheet'!S44</f>
        <v>0</v>
      </c>
    </row>
    <row r="47" spans="1:18" x14ac:dyDescent="0.2">
      <c r="A47" s="109">
        <v>38</v>
      </c>
      <c r="B47" s="109" t="s">
        <v>78</v>
      </c>
      <c r="C47" s="58">
        <f>Summary!B45</f>
        <v>3284761.1438008379</v>
      </c>
      <c r="D47" s="110"/>
      <c r="E47" s="58">
        <f>'Page 1.4'!D42</f>
        <v>0</v>
      </c>
      <c r="F47" s="58">
        <f>'Page 1.4'!E42</f>
        <v>0</v>
      </c>
      <c r="G47" s="58">
        <f>'Page 1.4'!F42</f>
        <v>0</v>
      </c>
      <c r="H47" s="58">
        <f>'Page 1.4'!G42</f>
        <v>0</v>
      </c>
      <c r="I47" s="58">
        <f>'Page 1.4'!H42</f>
        <v>0</v>
      </c>
      <c r="J47" s="58">
        <f>'Page 1.4'!I42</f>
        <v>-3284761.1438008333</v>
      </c>
      <c r="K47" s="58">
        <f>'Page 1.4'!J42</f>
        <v>0</v>
      </c>
      <c r="L47" s="58">
        <f>'Page 1.4'!K42</f>
        <v>0</v>
      </c>
      <c r="N47" s="58">
        <f t="shared" si="12"/>
        <v>-3284761.1438008333</v>
      </c>
      <c r="P47" s="111">
        <f t="shared" si="13"/>
        <v>4.6566128730773926E-9</v>
      </c>
      <c r="Q47" s="236"/>
      <c r="R47" s="248">
        <f>P47-'Check Sheet'!S45</f>
        <v>0</v>
      </c>
    </row>
    <row r="48" spans="1:18" x14ac:dyDescent="0.2">
      <c r="A48" s="109">
        <v>39</v>
      </c>
      <c r="B48" s="109" t="s">
        <v>79</v>
      </c>
      <c r="C48" s="58">
        <f>Summary!B46</f>
        <v>9196314.682773713</v>
      </c>
      <c r="D48" s="110"/>
      <c r="E48" s="58">
        <f>'Page 1.4'!D43</f>
        <v>0</v>
      </c>
      <c r="F48" s="58">
        <f>'Page 1.4'!E43</f>
        <v>0</v>
      </c>
      <c r="G48" s="58">
        <f>'Page 1.4'!F43</f>
        <v>0</v>
      </c>
      <c r="H48" s="58">
        <f>'Page 1.4'!G43</f>
        <v>0</v>
      </c>
      <c r="I48" s="58">
        <f>'Page 1.4'!H43</f>
        <v>0</v>
      </c>
      <c r="J48" s="58">
        <f>'Page 1.4'!I43</f>
        <v>-9196314.6827737149</v>
      </c>
      <c r="K48" s="58">
        <f>'Page 1.4'!J43</f>
        <v>0</v>
      </c>
      <c r="L48" s="58">
        <f>'Page 1.4'!K43</f>
        <v>0</v>
      </c>
      <c r="N48" s="58">
        <f t="shared" si="12"/>
        <v>-9196314.6827737149</v>
      </c>
      <c r="P48" s="111">
        <f t="shared" si="13"/>
        <v>0</v>
      </c>
      <c r="Q48" s="236"/>
      <c r="R48" s="248">
        <f>P48-'Check Sheet'!S46</f>
        <v>0</v>
      </c>
    </row>
    <row r="49" spans="1:18" x14ac:dyDescent="0.2">
      <c r="A49" s="109">
        <v>40</v>
      </c>
      <c r="B49" s="109" t="s">
        <v>80</v>
      </c>
      <c r="C49" s="58">
        <f>Summary!B47</f>
        <v>12260466.638808388</v>
      </c>
      <c r="D49" s="110"/>
      <c r="E49" s="58">
        <f>'Page 1.4'!D44</f>
        <v>0</v>
      </c>
      <c r="F49" s="58">
        <f>'Page 1.4'!E44</f>
        <v>0</v>
      </c>
      <c r="G49" s="58">
        <f>'Page 1.4'!F44</f>
        <v>0</v>
      </c>
      <c r="H49" s="58">
        <f>'Page 1.4'!G44</f>
        <v>0</v>
      </c>
      <c r="I49" s="58">
        <f>'Page 1.4'!H44</f>
        <v>0</v>
      </c>
      <c r="J49" s="58">
        <f>'Page 1.4'!I44</f>
        <v>-12260466.638721503</v>
      </c>
      <c r="K49" s="58">
        <f>'Page 1.4'!J44</f>
        <v>0</v>
      </c>
      <c r="L49" s="58">
        <f>'Page 1.4'!K44</f>
        <v>0</v>
      </c>
      <c r="N49" s="58">
        <f t="shared" si="12"/>
        <v>-12260466.638721503</v>
      </c>
      <c r="P49" s="111">
        <f t="shared" si="13"/>
        <v>8.6884945631027222E-5</v>
      </c>
      <c r="Q49" s="236"/>
      <c r="R49" s="248">
        <f>P49-'Check Sheet'!S47</f>
        <v>0</v>
      </c>
    </row>
    <row r="50" spans="1:18" x14ac:dyDescent="0.2">
      <c r="A50" s="109">
        <v>41</v>
      </c>
      <c r="B50" s="109" t="s">
        <v>81</v>
      </c>
      <c r="C50" s="58">
        <f>Summary!B48</f>
        <v>2747159.4147250163</v>
      </c>
      <c r="D50" s="110"/>
      <c r="E50" s="58">
        <f>'Page 1.4'!D45</f>
        <v>0</v>
      </c>
      <c r="F50" s="58">
        <f>'Page 1.4'!E45</f>
        <v>0</v>
      </c>
      <c r="G50" s="58">
        <f>'Page 1.4'!F45</f>
        <v>0</v>
      </c>
      <c r="H50" s="58">
        <f>'Page 1.4'!G45</f>
        <v>0</v>
      </c>
      <c r="I50" s="58">
        <f>'Page 1.4'!H45</f>
        <v>0</v>
      </c>
      <c r="J50" s="58">
        <f>'Page 1.4'!I45</f>
        <v>27126509.002465546</v>
      </c>
      <c r="K50" s="58">
        <f>'Page 1.4'!J45</f>
        <v>0</v>
      </c>
      <c r="L50" s="58">
        <f>'Page 1.4'!K45</f>
        <v>0</v>
      </c>
      <c r="N50" s="58">
        <f t="shared" si="12"/>
        <v>27126509.002465546</v>
      </c>
      <c r="P50" s="111">
        <f t="shared" si="13"/>
        <v>29873668.417190563</v>
      </c>
      <c r="Q50" s="236"/>
      <c r="R50" s="248">
        <f>P50-'Check Sheet'!S48</f>
        <v>0</v>
      </c>
    </row>
    <row r="51" spans="1:18" x14ac:dyDescent="0.2">
      <c r="A51" s="109">
        <v>42</v>
      </c>
      <c r="B51" s="109" t="s">
        <v>82</v>
      </c>
      <c r="C51" s="58">
        <f>Summary!B49</f>
        <v>3311.89</v>
      </c>
      <c r="D51" s="110"/>
      <c r="E51" s="58">
        <f>'Page 1.4'!D46</f>
        <v>0</v>
      </c>
      <c r="F51" s="58">
        <f>'Page 1.4'!E46</f>
        <v>0</v>
      </c>
      <c r="G51" s="58">
        <f>'Page 1.4'!F46</f>
        <v>0</v>
      </c>
      <c r="H51" s="58">
        <f>'Page 1.4'!G46</f>
        <v>0</v>
      </c>
      <c r="I51" s="58">
        <f>'Page 1.4'!H46</f>
        <v>0</v>
      </c>
      <c r="J51" s="58">
        <f>'Page 1.4'!I46</f>
        <v>0</v>
      </c>
      <c r="K51" s="58">
        <f>'Page 1.4'!J46</f>
        <v>0</v>
      </c>
      <c r="L51" s="58">
        <f>'Page 1.4'!K46</f>
        <v>0</v>
      </c>
      <c r="N51" s="58">
        <f t="shared" si="12"/>
        <v>0</v>
      </c>
      <c r="P51" s="111">
        <f t="shared" si="13"/>
        <v>3311.89</v>
      </c>
      <c r="Q51" s="236"/>
      <c r="R51" s="248">
        <f>P51-'Check Sheet'!S49</f>
        <v>0</v>
      </c>
    </row>
    <row r="52" spans="1:18" x14ac:dyDescent="0.2">
      <c r="A52" s="109">
        <v>43</v>
      </c>
      <c r="B52" s="109" t="s">
        <v>83</v>
      </c>
      <c r="C52" s="58">
        <f>Summary!B50</f>
        <v>0</v>
      </c>
      <c r="D52" s="110"/>
      <c r="E52" s="58">
        <f>'Page 1.4'!D47</f>
        <v>0</v>
      </c>
      <c r="F52" s="58">
        <f>'Page 1.4'!E47</f>
        <v>0</v>
      </c>
      <c r="G52" s="58">
        <f>'Page 1.4'!F47</f>
        <v>0</v>
      </c>
      <c r="H52" s="58">
        <f>'Page 1.4'!G47</f>
        <v>0</v>
      </c>
      <c r="I52" s="58">
        <f>'Page 1.4'!H47</f>
        <v>0</v>
      </c>
      <c r="J52" s="58">
        <f>'Page 1.4'!I47</f>
        <v>0</v>
      </c>
      <c r="K52" s="58">
        <f>'Page 1.4'!J47</f>
        <v>0</v>
      </c>
      <c r="L52" s="58">
        <f>'Page 1.4'!K47</f>
        <v>0</v>
      </c>
      <c r="N52" s="58">
        <f t="shared" si="12"/>
        <v>0</v>
      </c>
      <c r="P52" s="111">
        <f t="shared" si="13"/>
        <v>0</v>
      </c>
      <c r="Q52" s="236"/>
      <c r="R52" s="248">
        <f>P52-'Check Sheet'!S50</f>
        <v>0</v>
      </c>
    </row>
    <row r="53" spans="1:18" x14ac:dyDescent="0.2">
      <c r="A53" s="109">
        <v>44</v>
      </c>
      <c r="B53" s="109" t="s">
        <v>84</v>
      </c>
      <c r="C53" s="118">
        <f>SUM(C42:C52)</f>
        <v>2301581802.8666267</v>
      </c>
      <c r="D53" s="113"/>
      <c r="E53" s="118">
        <f t="shared" ref="E53:J53" si="14">SUM(E42:E52)</f>
        <v>0</v>
      </c>
      <c r="F53" s="118">
        <f t="shared" si="14"/>
        <v>0</v>
      </c>
      <c r="G53" s="118">
        <f t="shared" si="14"/>
        <v>0</v>
      </c>
      <c r="H53" s="118">
        <f t="shared" si="14"/>
        <v>0</v>
      </c>
      <c r="I53" s="118">
        <f t="shared" si="14"/>
        <v>0</v>
      </c>
      <c r="J53" s="118">
        <f t="shared" si="14"/>
        <v>166304136.71864533</v>
      </c>
      <c r="K53" s="118">
        <f t="shared" ref="K53:L53" si="15">SUM(K42:K52)</f>
        <v>192349.41342615057</v>
      </c>
      <c r="L53" s="118">
        <f t="shared" si="15"/>
        <v>-28684344.426496804</v>
      </c>
      <c r="N53" s="118">
        <f>SUM(N42:N52)</f>
        <v>137812141.70557466</v>
      </c>
      <c r="P53" s="118">
        <f>SUM(P42:P52)</f>
        <v>2439393944.5722017</v>
      </c>
      <c r="Q53" s="238"/>
      <c r="R53" s="248">
        <f>P53-'Check Sheet'!S51</f>
        <v>0</v>
      </c>
    </row>
    <row r="54" spans="1:18" ht="12.75" x14ac:dyDescent="0.2">
      <c r="A54" s="109">
        <v>45</v>
      </c>
      <c r="B54" s="109"/>
      <c r="C54" s="114"/>
      <c r="D54" s="110"/>
      <c r="E54" s="114"/>
      <c r="F54" s="114"/>
      <c r="G54" s="114"/>
      <c r="H54" s="114"/>
      <c r="I54" s="114"/>
      <c r="J54" s="114"/>
      <c r="K54" s="114"/>
      <c r="L54" s="114"/>
      <c r="N54" s="114"/>
      <c r="R54" s="248">
        <f>P54-'Check Sheet'!S52</f>
        <v>0</v>
      </c>
    </row>
    <row r="55" spans="1:18" ht="12.75" x14ac:dyDescent="0.2">
      <c r="A55" s="109">
        <v>46</v>
      </c>
      <c r="B55" s="109" t="s">
        <v>85</v>
      </c>
      <c r="C55" s="114"/>
      <c r="D55" s="110"/>
      <c r="E55" s="114"/>
      <c r="F55" s="114"/>
      <c r="G55" s="114"/>
      <c r="H55" s="114"/>
      <c r="I55" s="114"/>
      <c r="J55" s="114"/>
      <c r="K55" s="114"/>
      <c r="L55" s="114"/>
      <c r="N55" s="114"/>
      <c r="R55" s="248">
        <f>P55-'Check Sheet'!S53</f>
        <v>0</v>
      </c>
    </row>
    <row r="56" spans="1:18" x14ac:dyDescent="0.2">
      <c r="A56" s="109">
        <v>47</v>
      </c>
      <c r="B56" s="109" t="s">
        <v>86</v>
      </c>
      <c r="C56" s="58">
        <f>Summary!B54</f>
        <v>-750094987.07093287</v>
      </c>
      <c r="D56" s="110"/>
      <c r="E56" s="58">
        <f>'Page 1.4'!D51</f>
        <v>0</v>
      </c>
      <c r="F56" s="58">
        <f>'Page 1.4'!E51</f>
        <v>0</v>
      </c>
      <c r="G56" s="58">
        <f>'Page 1.4'!F51</f>
        <v>0</v>
      </c>
      <c r="H56" s="58">
        <f>'Page 1.4'!G51</f>
        <v>-106560177.01764593</v>
      </c>
      <c r="I56" s="58">
        <f>'Page 1.4'!H51</f>
        <v>0</v>
      </c>
      <c r="J56" s="58">
        <f>'Page 1.4'!I51</f>
        <v>3786568.4281471842</v>
      </c>
      <c r="K56" s="58">
        <f>'Page 1.4'!J51</f>
        <v>-195149.93985409159</v>
      </c>
      <c r="L56" s="58">
        <f>'Page 1.4'!K51</f>
        <v>-152437360.72464868</v>
      </c>
      <c r="N56" s="58">
        <f t="shared" ref="N56:N62" si="16">SUM(E56:M56)</f>
        <v>-255406119.2540015</v>
      </c>
      <c r="P56" s="111">
        <f t="shared" ref="P56:P63" si="17">+C56+N56</f>
        <v>-1005501106.3249344</v>
      </c>
      <c r="Q56" s="236"/>
      <c r="R56" s="248">
        <f>P56-'Check Sheet'!S54</f>
        <v>0</v>
      </c>
    </row>
    <row r="57" spans="1:18" x14ac:dyDescent="0.2">
      <c r="A57" s="109">
        <v>48</v>
      </c>
      <c r="B57" s="109" t="s">
        <v>87</v>
      </c>
      <c r="C57" s="58">
        <f>Summary!B55</f>
        <v>-55896700.377980158</v>
      </c>
      <c r="D57" s="110"/>
      <c r="E57" s="58">
        <f>'Page 1.4'!D52</f>
        <v>0</v>
      </c>
      <c r="F57" s="58">
        <f>'Page 1.4'!E52</f>
        <v>0</v>
      </c>
      <c r="G57" s="58">
        <f>'Page 1.4'!F52</f>
        <v>0</v>
      </c>
      <c r="H57" s="58">
        <f>'Page 1.4'!G52</f>
        <v>-9036196.9699134193</v>
      </c>
      <c r="I57" s="58">
        <f>'Page 1.4'!H52</f>
        <v>0</v>
      </c>
      <c r="J57" s="58">
        <f>'Page 1.4'!I52</f>
        <v>0</v>
      </c>
      <c r="K57" s="58">
        <f>'Page 1.4'!J52</f>
        <v>0</v>
      </c>
      <c r="L57" s="58">
        <f>'Page 1.4'!K52</f>
        <v>0</v>
      </c>
      <c r="N57" s="58">
        <f t="shared" si="16"/>
        <v>-9036196.9699134193</v>
      </c>
      <c r="P57" s="111">
        <f t="shared" si="17"/>
        <v>-64932897.347893581</v>
      </c>
      <c r="Q57" s="236"/>
      <c r="R57" s="248">
        <f>P57-'Check Sheet'!S55</f>
        <v>0</v>
      </c>
    </row>
    <row r="58" spans="1:18" x14ac:dyDescent="0.2">
      <c r="A58" s="109">
        <v>49</v>
      </c>
      <c r="B58" s="109" t="s">
        <v>88</v>
      </c>
      <c r="C58" s="58">
        <f>Summary!B56</f>
        <v>-161876853.08065826</v>
      </c>
      <c r="D58" s="110"/>
      <c r="E58" s="58">
        <f>'Page 1.4'!D53</f>
        <v>0</v>
      </c>
      <c r="F58" s="58">
        <f>'Page 1.4'!E53</f>
        <v>-1233408.0920866497</v>
      </c>
      <c r="G58" s="58">
        <f>'Page 1.4'!F53</f>
        <v>0</v>
      </c>
      <c r="H58" s="58">
        <f>'Page 1.4'!G53</f>
        <v>4379287.4542611726</v>
      </c>
      <c r="I58" s="58">
        <f>'Page 1.4'!H53</f>
        <v>-17626245.990426987</v>
      </c>
      <c r="J58" s="58">
        <f>'Page 1.4'!I53</f>
        <v>-6168689.8377324194</v>
      </c>
      <c r="K58" s="58">
        <f>'Page 1.4'!J53</f>
        <v>0</v>
      </c>
      <c r="L58" s="58">
        <f>'Page 1.4'!K53</f>
        <v>17570001.195350304</v>
      </c>
      <c r="N58" s="58">
        <f t="shared" si="16"/>
        <v>-3079055.2706345804</v>
      </c>
      <c r="P58" s="111">
        <f t="shared" si="17"/>
        <v>-164955908.35129285</v>
      </c>
      <c r="Q58" s="236"/>
      <c r="R58" s="248">
        <f>P58-'Check Sheet'!S56</f>
        <v>0</v>
      </c>
    </row>
    <row r="59" spans="1:18" x14ac:dyDescent="0.2">
      <c r="A59" s="109">
        <v>50</v>
      </c>
      <c r="B59" s="109" t="s">
        <v>89</v>
      </c>
      <c r="C59" s="58">
        <f>Summary!B57</f>
        <v>-14943.338687945423</v>
      </c>
      <c r="D59" s="110"/>
      <c r="E59" s="58">
        <f>'Page 1.4'!D54</f>
        <v>0</v>
      </c>
      <c r="F59" s="58">
        <f>'Page 1.4'!E54</f>
        <v>0</v>
      </c>
      <c r="G59" s="58">
        <f>'Page 1.4'!F54</f>
        <v>0</v>
      </c>
      <c r="H59" s="58">
        <f>'Page 1.4'!G54</f>
        <v>0</v>
      </c>
      <c r="I59" s="58">
        <f>'Page 1.4'!H54</f>
        <v>0</v>
      </c>
      <c r="J59" s="58">
        <f>'Page 1.4'!I54</f>
        <v>0</v>
      </c>
      <c r="K59" s="58">
        <f>'Page 1.4'!J54</f>
        <v>0</v>
      </c>
      <c r="L59" s="58">
        <f>'Page 1.4'!K54</f>
        <v>0</v>
      </c>
      <c r="N59" s="58">
        <f t="shared" si="16"/>
        <v>0</v>
      </c>
      <c r="P59" s="111">
        <f t="shared" si="17"/>
        <v>-14943.338687945423</v>
      </c>
      <c r="Q59" s="236"/>
      <c r="R59" s="248">
        <f>P59-'Check Sheet'!S57</f>
        <v>0</v>
      </c>
    </row>
    <row r="60" spans="1:18" x14ac:dyDescent="0.2">
      <c r="A60" s="109">
        <v>51</v>
      </c>
      <c r="B60" s="109" t="s">
        <v>90</v>
      </c>
      <c r="C60" s="58">
        <f>Summary!B58</f>
        <v>-6092041.5722579714</v>
      </c>
      <c r="D60" s="110"/>
      <c r="E60" s="58">
        <f>'Page 1.4'!D55</f>
        <v>0</v>
      </c>
      <c r="F60" s="58">
        <f>'Page 1.4'!E55</f>
        <v>0</v>
      </c>
      <c r="G60" s="58">
        <f>'Page 1.4'!F55</f>
        <v>0</v>
      </c>
      <c r="H60" s="58">
        <f>'Page 1.4'!G55</f>
        <v>0</v>
      </c>
      <c r="I60" s="58">
        <f>'Page 1.4'!H55</f>
        <v>0</v>
      </c>
      <c r="J60" s="58">
        <f>'Page 1.4'!I55</f>
        <v>-1733115.077035418</v>
      </c>
      <c r="K60" s="58">
        <f>'Page 1.4'!J55</f>
        <v>0</v>
      </c>
      <c r="L60" s="58">
        <f>'Page 1.4'!K55</f>
        <v>0</v>
      </c>
      <c r="N60" s="58">
        <f t="shared" si="16"/>
        <v>-1733115.077035418</v>
      </c>
      <c r="P60" s="111">
        <f t="shared" si="17"/>
        <v>-7825156.6492933892</v>
      </c>
      <c r="Q60" s="236"/>
      <c r="R60" s="248">
        <f>P60-'Check Sheet'!S58</f>
        <v>0</v>
      </c>
    </row>
    <row r="61" spans="1:18" x14ac:dyDescent="0.2">
      <c r="A61" s="109">
        <v>52</v>
      </c>
      <c r="B61" s="109" t="s">
        <v>91</v>
      </c>
      <c r="C61" s="58">
        <f>Summary!B59</f>
        <v>0</v>
      </c>
      <c r="D61" s="110"/>
      <c r="E61" s="58">
        <f>'Page 1.4'!D56</f>
        <v>0</v>
      </c>
      <c r="F61" s="58">
        <f>'Page 1.4'!E56</f>
        <v>0</v>
      </c>
      <c r="G61" s="58">
        <f>'Page 1.4'!F56</f>
        <v>0</v>
      </c>
      <c r="H61" s="58">
        <f>'Page 1.4'!G56</f>
        <v>0</v>
      </c>
      <c r="I61" s="58">
        <f>'Page 1.4'!H56</f>
        <v>0</v>
      </c>
      <c r="J61" s="58">
        <f>'Page 1.4'!I56</f>
        <v>-408390.63249999989</v>
      </c>
      <c r="K61" s="58">
        <f>'Page 1.4'!J56</f>
        <v>0</v>
      </c>
      <c r="L61" s="58">
        <f>'Page 1.4'!K56</f>
        <v>0</v>
      </c>
      <c r="N61" s="58">
        <f t="shared" si="16"/>
        <v>-408390.63249999989</v>
      </c>
      <c r="P61" s="111">
        <f t="shared" si="17"/>
        <v>-408390.63249999989</v>
      </c>
      <c r="Q61" s="236"/>
      <c r="R61" s="248">
        <f>P61-'Check Sheet'!S59</f>
        <v>0</v>
      </c>
    </row>
    <row r="62" spans="1:18" x14ac:dyDescent="0.2">
      <c r="A62" s="109">
        <v>53</v>
      </c>
      <c r="B62" s="109" t="s">
        <v>92</v>
      </c>
      <c r="C62" s="58">
        <f>Summary!B60</f>
        <v>-177208730.2009342</v>
      </c>
      <c r="D62" s="110"/>
      <c r="E62" s="58">
        <f>'Page 1.4'!D57</f>
        <v>0</v>
      </c>
      <c r="F62" s="58">
        <f>'Page 1.4'!E57</f>
        <v>0</v>
      </c>
      <c r="G62" s="58">
        <f>'Page 1.4'!F57</f>
        <v>0</v>
      </c>
      <c r="H62" s="58">
        <f>'Page 1.4'!G57</f>
        <v>-16478622.876949267</v>
      </c>
      <c r="I62" s="58">
        <f>'Page 1.4'!H57</f>
        <v>53324397</v>
      </c>
      <c r="J62" s="58">
        <f>'Page 1.4'!I57</f>
        <v>45031760.850662217</v>
      </c>
      <c r="K62" s="58">
        <f>'Page 1.4'!J57</f>
        <v>0</v>
      </c>
      <c r="L62" s="58">
        <f>'Page 1.4'!K57</f>
        <v>0</v>
      </c>
      <c r="N62" s="58">
        <f t="shared" si="16"/>
        <v>81877534.973712951</v>
      </c>
      <c r="P62" s="111">
        <f t="shared" si="17"/>
        <v>-95331195.227221251</v>
      </c>
      <c r="Q62" s="236"/>
      <c r="R62" s="248">
        <f>P62-'Check Sheet'!S60</f>
        <v>0</v>
      </c>
    </row>
    <row r="63" spans="1:18" ht="12.75" x14ac:dyDescent="0.2">
      <c r="A63" s="109">
        <v>54</v>
      </c>
      <c r="B63" s="109"/>
      <c r="C63" s="114"/>
      <c r="D63" s="110"/>
      <c r="E63" s="58">
        <f>'Page 1.4'!D58</f>
        <v>0</v>
      </c>
      <c r="F63" s="58">
        <f>'Page 1.4'!E58</f>
        <v>0</v>
      </c>
      <c r="G63" s="58">
        <f>'Page 1.4'!F58</f>
        <v>0</v>
      </c>
      <c r="H63" s="58">
        <f>'Page 1.4'!G58</f>
        <v>0</v>
      </c>
      <c r="I63" s="58">
        <f>'Page 1.4'!H58</f>
        <v>0</v>
      </c>
      <c r="J63" s="58">
        <f>'Page 1.4'!I58</f>
        <v>0</v>
      </c>
      <c r="K63" s="58">
        <f>'Page 1.4'!J58</f>
        <v>0</v>
      </c>
      <c r="L63" s="58">
        <f>'Page 1.4'!K58</f>
        <v>0</v>
      </c>
      <c r="N63" s="114"/>
      <c r="P63" s="111">
        <f t="shared" si="17"/>
        <v>0</v>
      </c>
      <c r="Q63" s="236"/>
      <c r="R63" s="248">
        <f>P63-'Check Sheet'!S61</f>
        <v>0</v>
      </c>
    </row>
    <row r="64" spans="1:18" x14ac:dyDescent="0.2">
      <c r="A64" s="109">
        <v>55</v>
      </c>
      <c r="B64" s="109" t="s">
        <v>93</v>
      </c>
      <c r="C64" s="118">
        <f>SUM(C56:C63)</f>
        <v>-1151184255.6414514</v>
      </c>
      <c r="D64" s="113"/>
      <c r="E64" s="118">
        <f t="shared" ref="E64:J64" si="18">SUM(E56:E63)</f>
        <v>0</v>
      </c>
      <c r="F64" s="118">
        <f t="shared" si="18"/>
        <v>-1233408.0920866497</v>
      </c>
      <c r="G64" s="118">
        <f t="shared" si="18"/>
        <v>0</v>
      </c>
      <c r="H64" s="118">
        <f t="shared" si="18"/>
        <v>-127695709.41024745</v>
      </c>
      <c r="I64" s="118">
        <f t="shared" si="18"/>
        <v>35698151.009573013</v>
      </c>
      <c r="J64" s="118">
        <f t="shared" si="18"/>
        <v>40508133.731541559</v>
      </c>
      <c r="K64" s="118">
        <f t="shared" ref="K64:L64" si="19">SUM(K56:K63)</f>
        <v>-195149.93985409159</v>
      </c>
      <c r="L64" s="118">
        <f t="shared" si="19"/>
        <v>-134867359.52929837</v>
      </c>
      <c r="N64" s="118">
        <f>SUM(N56:N63)</f>
        <v>-187785342.23037198</v>
      </c>
      <c r="P64" s="118">
        <f>SUM(P56:P63)</f>
        <v>-1338969597.8718233</v>
      </c>
      <c r="Q64" s="238"/>
      <c r="R64" s="248">
        <f>P64-'Check Sheet'!S62</f>
        <v>0</v>
      </c>
    </row>
    <row r="65" spans="1:18" ht="12.75" x14ac:dyDescent="0.2">
      <c r="A65" s="109">
        <v>56</v>
      </c>
      <c r="B65" s="109"/>
      <c r="C65" s="114"/>
      <c r="D65" s="110"/>
      <c r="E65" s="114"/>
      <c r="F65" s="114"/>
      <c r="G65" s="114"/>
      <c r="H65" s="114"/>
      <c r="I65" s="114"/>
      <c r="J65" s="114"/>
      <c r="K65" s="114"/>
      <c r="L65" s="114"/>
      <c r="N65" s="114"/>
      <c r="P65" s="110"/>
      <c r="Q65" s="238"/>
      <c r="R65" s="248"/>
    </row>
    <row r="66" spans="1:18" ht="12" thickBot="1" x14ac:dyDescent="0.25">
      <c r="A66" s="109">
        <v>57</v>
      </c>
      <c r="B66" s="109" t="s">
        <v>94</v>
      </c>
      <c r="C66" s="120">
        <f>C53+C64</f>
        <v>1150397547.2251754</v>
      </c>
      <c r="D66" s="113"/>
      <c r="E66" s="120">
        <f t="shared" ref="E66:J66" si="20">E53+E64</f>
        <v>0</v>
      </c>
      <c r="F66" s="120">
        <f t="shared" si="20"/>
        <v>-1233408.0920866497</v>
      </c>
      <c r="G66" s="120">
        <f t="shared" si="20"/>
        <v>0</v>
      </c>
      <c r="H66" s="120">
        <f t="shared" si="20"/>
        <v>-127695709.41024745</v>
      </c>
      <c r="I66" s="120">
        <f t="shared" si="20"/>
        <v>35698151.009573013</v>
      </c>
      <c r="J66" s="120">
        <f t="shared" si="20"/>
        <v>206812270.45018691</v>
      </c>
      <c r="K66" s="120">
        <f t="shared" ref="K66:L66" si="21">K53+K64</f>
        <v>-2800.5264279410185</v>
      </c>
      <c r="L66" s="120">
        <f t="shared" si="21"/>
        <v>-163551703.95579517</v>
      </c>
      <c r="N66" s="120">
        <f>N53+N64</f>
        <v>-49973200.52479732</v>
      </c>
      <c r="P66" s="120">
        <f>P53+P64</f>
        <v>1100424346.7003784</v>
      </c>
      <c r="Q66" s="238"/>
      <c r="R66" s="248">
        <f>P66-'Check Sheet'!S64</f>
        <v>0</v>
      </c>
    </row>
    <row r="67" spans="1:18" ht="13.5" thickTop="1" x14ac:dyDescent="0.2">
      <c r="A67" s="109">
        <v>58</v>
      </c>
      <c r="B67" s="109"/>
      <c r="C67" s="114"/>
      <c r="D67" s="110"/>
      <c r="E67" s="114"/>
      <c r="F67" s="114"/>
      <c r="G67" s="114"/>
      <c r="H67" s="114"/>
      <c r="I67" s="114"/>
      <c r="J67" s="114"/>
      <c r="K67" s="114"/>
      <c r="L67" s="114"/>
      <c r="N67" s="114"/>
      <c r="R67" s="248"/>
    </row>
    <row r="68" spans="1:18" s="135" customFormat="1" x14ac:dyDescent="0.2">
      <c r="A68" s="131">
        <v>59</v>
      </c>
      <c r="B68" s="131" t="s">
        <v>95</v>
      </c>
      <c r="C68" s="132">
        <f>Unadj_ROE</f>
        <v>6.9782431408979315E-2</v>
      </c>
      <c r="D68" s="133"/>
      <c r="E68" s="249">
        <f>'Page 1.4'!D63</f>
        <v>4.4034303408934439E-2</v>
      </c>
      <c r="F68" s="249">
        <f>'Page 1.4'!E63</f>
        <v>-7.4982295488754402E-3</v>
      </c>
      <c r="G68" s="249">
        <f>'Page 1.4'!F63</f>
        <v>-4.001160027843649E-2</v>
      </c>
      <c r="H68" s="249">
        <f>'Page 1.4'!G63</f>
        <v>2.9083962700457947E-2</v>
      </c>
      <c r="I68" s="249">
        <f>'Page 1.4'!H63</f>
        <v>-5.6025129082821618E-3</v>
      </c>
      <c r="J68" s="249">
        <f>'Page 1.4'!I63</f>
        <v>-2.5201768622049925E-2</v>
      </c>
      <c r="K68" s="249">
        <f>'Page 1.4'!J63</f>
        <v>-1.4284427314514292E-3</v>
      </c>
      <c r="L68" s="249">
        <f>'Page 1.4'!K63</f>
        <v>1.4114390394147025E-2</v>
      </c>
      <c r="M68" s="277"/>
      <c r="N68" s="132"/>
      <c r="O68" s="134"/>
      <c r="P68" s="132">
        <f>Summary!J67</f>
        <v>6.7230219209938949E-2</v>
      </c>
      <c r="Q68" s="240"/>
      <c r="R68" s="248"/>
    </row>
    <row r="69" spans="1:18" x14ac:dyDescent="0.2">
      <c r="A69" s="109">
        <v>60</v>
      </c>
      <c r="B69" s="97" t="s">
        <v>132</v>
      </c>
      <c r="C69" s="58">
        <f>Summary!B68</f>
        <v>25976377.235100564</v>
      </c>
      <c r="D69" s="122"/>
      <c r="E69" s="58">
        <f>'Page 1.4'!D64</f>
        <v>-34545264.347281739</v>
      </c>
      <c r="F69" s="58">
        <f>'Page 1.4'!E64</f>
        <v>5848263.5754221901</v>
      </c>
      <c r="G69" s="58">
        <f>'Page 1.4'!F64</f>
        <v>31389421.463992383</v>
      </c>
      <c r="H69" s="58">
        <f>'Page 1.4'!G64</f>
        <v>-23167341.486786719</v>
      </c>
      <c r="I69" s="58">
        <f>'Page 1.4'!H64</f>
        <v>5337681.5987864146</v>
      </c>
      <c r="J69" s="58">
        <f>'Page 1.4'!I64</f>
        <v>27995204.749322969</v>
      </c>
      <c r="K69" s="58">
        <f>'Page 1.4'!J64</f>
        <v>1120558.8194699404</v>
      </c>
      <c r="L69" s="58">
        <f>'Page 1.4'!K64</f>
        <v>-13191682.539644193</v>
      </c>
      <c r="N69" s="58">
        <f>-(N39-(N66*Overall_ROR))/gross_up_factor</f>
        <v>786841.83328124159</v>
      </c>
      <c r="P69" s="58">
        <f>-(P39-(P66*Overall_ROR))/gross_up_factor</f>
        <v>26763219.068381857</v>
      </c>
      <c r="Q69" s="241"/>
      <c r="R69" s="248">
        <f>P69-'Check Sheet'!W9</f>
        <v>4.32019904255867E-2</v>
      </c>
    </row>
    <row r="70" spans="1:18" x14ac:dyDescent="0.2">
      <c r="A70" s="109">
        <v>61</v>
      </c>
      <c r="B70" s="109"/>
      <c r="C70" s="123"/>
      <c r="D70" s="110"/>
      <c r="E70" s="123"/>
      <c r="F70" s="123"/>
      <c r="G70" s="123"/>
      <c r="H70" s="123"/>
      <c r="I70" s="123"/>
      <c r="J70" s="123"/>
      <c r="K70" s="123"/>
      <c r="L70" s="123"/>
      <c r="N70" s="123"/>
      <c r="R70" s="248"/>
    </row>
    <row r="71" spans="1:18" ht="12.75" x14ac:dyDescent="0.2">
      <c r="A71" s="109">
        <v>62</v>
      </c>
      <c r="B71" s="109" t="s">
        <v>96</v>
      </c>
      <c r="C71" s="114"/>
      <c r="D71" s="110"/>
      <c r="E71" s="114"/>
      <c r="F71" s="114"/>
      <c r="G71" s="114"/>
      <c r="H71" s="114"/>
      <c r="I71" s="114"/>
      <c r="J71" s="114"/>
      <c r="K71" s="114"/>
      <c r="L71" s="114"/>
      <c r="N71" s="114"/>
      <c r="Q71" s="236"/>
      <c r="R71" s="248"/>
    </row>
    <row r="72" spans="1:18" x14ac:dyDescent="0.2">
      <c r="A72" s="109">
        <v>63</v>
      </c>
      <c r="B72" s="109" t="s">
        <v>97</v>
      </c>
      <c r="C72" s="111">
        <f>Summary!B71</f>
        <v>53915083.167900674</v>
      </c>
      <c r="D72" s="111"/>
      <c r="E72" s="111">
        <f>'Page 1.4'!D67</f>
        <v>32875722.331105515</v>
      </c>
      <c r="F72" s="111">
        <f>'Page 1.4'!E67</f>
        <v>-5630476.0973531138</v>
      </c>
      <c r="G72" s="111">
        <f>'Page 1.4'!F67</f>
        <v>-29872398.538049057</v>
      </c>
      <c r="H72" s="111">
        <f>'Page 1.4'!G67</f>
        <v>9670939.4199008308</v>
      </c>
      <c r="I72" s="111">
        <f>'Page 1.4'!H67</f>
        <v>-2350182.6170963505</v>
      </c>
      <c r="J72" s="111">
        <f>'Page 1.4'!I67</f>
        <v>-7711833.3596891537</v>
      </c>
      <c r="K72" s="111">
        <f>'Page 1.4'!J67</f>
        <v>-1108014.9153842642</v>
      </c>
      <c r="L72" s="111">
        <f>'Page 1.4'!K67</f>
        <v>-3181907.5781759783</v>
      </c>
      <c r="N72" s="111">
        <f>SUM(E72:M72)</f>
        <v>-7308151.3547415733</v>
      </c>
      <c r="P72" s="111">
        <f>+P15-P28-P29-P30-P31-P36</f>
        <v>46606931.813158996</v>
      </c>
      <c r="Q72" s="236"/>
      <c r="R72" s="248">
        <f>P72-'Check Sheet'!S70</f>
        <v>0</v>
      </c>
    </row>
    <row r="73" spans="1:18" x14ac:dyDescent="0.2">
      <c r="A73" s="109">
        <v>64</v>
      </c>
      <c r="B73" s="109" t="s">
        <v>98</v>
      </c>
      <c r="C73" s="111">
        <f>Summary!B72</f>
        <v>0</v>
      </c>
      <c r="D73" s="110"/>
      <c r="E73" s="111">
        <f>'Page 1.4'!D68</f>
        <v>0</v>
      </c>
      <c r="F73" s="111">
        <f>'Page 1.4'!E68</f>
        <v>0</v>
      </c>
      <c r="G73" s="111">
        <f>'Page 1.4'!F68</f>
        <v>0</v>
      </c>
      <c r="H73" s="111">
        <f>'Page 1.4'!G68</f>
        <v>0</v>
      </c>
      <c r="I73" s="111">
        <f>'Page 1.4'!H68</f>
        <v>0</v>
      </c>
      <c r="J73" s="111">
        <f>'Page 1.4'!I68</f>
        <v>0</v>
      </c>
      <c r="K73" s="111">
        <f>'Page 1.4'!J68</f>
        <v>0</v>
      </c>
      <c r="L73" s="111">
        <f>'Page 1.4'!K68</f>
        <v>0</v>
      </c>
      <c r="R73" s="248"/>
    </row>
    <row r="74" spans="1:18" x14ac:dyDescent="0.2">
      <c r="A74" s="109">
        <v>65</v>
      </c>
      <c r="B74" s="109" t="s">
        <v>99</v>
      </c>
      <c r="C74" s="111">
        <f>Summary!B73</f>
        <v>-3636274.7351071914</v>
      </c>
      <c r="D74" s="110"/>
      <c r="E74" s="111">
        <f>'Page 1.4'!D69</f>
        <v>0</v>
      </c>
      <c r="F74" s="111">
        <f>'Page 1.4'!E69</f>
        <v>0</v>
      </c>
      <c r="G74" s="111">
        <f>'Page 1.4'!F69</f>
        <v>0</v>
      </c>
      <c r="H74" s="111">
        <f>'Page 1.4'!G69</f>
        <v>0</v>
      </c>
      <c r="I74" s="111">
        <f>'Page 1.4'!H69</f>
        <v>0</v>
      </c>
      <c r="J74" s="111">
        <f>'Page 1.4'!I69</f>
        <v>0</v>
      </c>
      <c r="K74" s="111">
        <f>'Page 1.4'!J69</f>
        <v>0</v>
      </c>
      <c r="L74" s="111">
        <f>'Page 1.4'!K69</f>
        <v>0</v>
      </c>
      <c r="N74" s="111">
        <f>SUM(E74:M74)</f>
        <v>0</v>
      </c>
      <c r="P74" s="111">
        <f>+C74+N74</f>
        <v>-3636274.7351071914</v>
      </c>
      <c r="Q74" s="236"/>
      <c r="R74" s="248">
        <f>P74-'Check Sheet'!S72</f>
        <v>0</v>
      </c>
    </row>
    <row r="75" spans="1:18" x14ac:dyDescent="0.2">
      <c r="A75" s="109">
        <v>66</v>
      </c>
      <c r="B75" s="109" t="s">
        <v>100</v>
      </c>
      <c r="C75" s="111">
        <f>Summary!B74</f>
        <v>27945749.878154576</v>
      </c>
      <c r="D75" s="110"/>
      <c r="E75" s="111">
        <f>'Page 1.4'!D70</f>
        <v>0</v>
      </c>
      <c r="F75" s="111">
        <f>'Page 1.4'!E70</f>
        <v>0</v>
      </c>
      <c r="G75" s="111">
        <f>'Page 1.4'!F70</f>
        <v>0</v>
      </c>
      <c r="H75" s="111">
        <f>'Page 1.4'!G70</f>
        <v>0</v>
      </c>
      <c r="I75" s="111">
        <f>'Page 1.4'!H70</f>
        <v>-2372504.2984719351</v>
      </c>
      <c r="J75" s="111">
        <f>'Page 1.4'!I70</f>
        <v>0</v>
      </c>
      <c r="K75" s="111">
        <f>'Page 1.4'!J70</f>
        <v>0</v>
      </c>
      <c r="L75" s="111">
        <f>'Page 1.4'!K70</f>
        <v>0</v>
      </c>
      <c r="N75" s="111">
        <f>SUM(E75:M75)</f>
        <v>-2372504.2984719351</v>
      </c>
      <c r="P75" s="111">
        <f>+C75+N75</f>
        <v>25573245.579682641</v>
      </c>
      <c r="Q75" s="236"/>
      <c r="R75" s="248">
        <f>P75-'Check Sheet'!S73</f>
        <v>0</v>
      </c>
    </row>
    <row r="76" spans="1:18" x14ac:dyDescent="0.2">
      <c r="A76" s="109">
        <v>67</v>
      </c>
      <c r="B76" s="124" t="s">
        <v>101</v>
      </c>
      <c r="C76" s="111">
        <f>Summary!B75</f>
        <v>75168482.555254906</v>
      </c>
      <c r="D76" s="113"/>
      <c r="E76" s="111">
        <f>'Page 1.4'!D71</f>
        <v>0</v>
      </c>
      <c r="F76" s="111">
        <f>'Page 1.4'!E71</f>
        <v>-770947.16000000015</v>
      </c>
      <c r="G76" s="111">
        <f>'Page 1.4'!F71</f>
        <v>0</v>
      </c>
      <c r="H76" s="111">
        <f>'Page 1.4'!G71</f>
        <v>2028530.9125303458</v>
      </c>
      <c r="I76" s="111">
        <f>'Page 1.4'!H71</f>
        <v>5421811.4518899042</v>
      </c>
      <c r="J76" s="111">
        <f>'Page 1.4'!I71</f>
        <v>17129662.983612403</v>
      </c>
      <c r="K76" s="111">
        <f>'Page 1.4'!J71</f>
        <v>0</v>
      </c>
      <c r="L76" s="111">
        <f>'Page 1.4'!K71</f>
        <v>3454317.9490313819</v>
      </c>
      <c r="N76" s="111">
        <f>SUM(E76:M76)</f>
        <v>27263376.137064036</v>
      </c>
      <c r="P76" s="111">
        <f>+C76+N76</f>
        <v>102431858.69231895</v>
      </c>
      <c r="Q76" s="236"/>
      <c r="R76" s="248">
        <f>P76-'Check Sheet'!S74</f>
        <v>0.15466736257076263</v>
      </c>
    </row>
    <row r="77" spans="1:18" x14ac:dyDescent="0.2">
      <c r="A77" s="109">
        <v>68</v>
      </c>
      <c r="B77" s="124" t="s">
        <v>102</v>
      </c>
      <c r="C77" s="111">
        <f>Summary!B76</f>
        <v>107655465.02100359</v>
      </c>
      <c r="D77" s="113"/>
      <c r="E77" s="111">
        <f>'Page 1.4'!D72</f>
        <v>0</v>
      </c>
      <c r="F77" s="111">
        <f>'Page 1.4'!E72</f>
        <v>414133.89288217115</v>
      </c>
      <c r="G77" s="111">
        <f>'Page 1.4'!F72</f>
        <v>0</v>
      </c>
      <c r="H77" s="111">
        <f>'Page 1.4'!G72</f>
        <v>0</v>
      </c>
      <c r="I77" s="111">
        <f>'Page 1.4'!H72</f>
        <v>6950739.3668227764</v>
      </c>
      <c r="J77" s="111">
        <f>'Page 1.4'!I72</f>
        <v>-4136322.5148429112</v>
      </c>
      <c r="K77" s="111">
        <f>'Page 1.4'!J72</f>
        <v>0</v>
      </c>
      <c r="L77" s="111">
        <f>'Page 1.4'!K72</f>
        <v>2760030.0369300186</v>
      </c>
      <c r="N77" s="125">
        <f>SUM(E77:M77)</f>
        <v>5988580.7817920549</v>
      </c>
      <c r="P77" s="111">
        <f>+C77+N77</f>
        <v>113644045.80279565</v>
      </c>
      <c r="Q77" s="236"/>
      <c r="R77" s="248">
        <f>P77-'Check Sheet'!S75</f>
        <v>0</v>
      </c>
    </row>
    <row r="78" spans="1:18" x14ac:dyDescent="0.2">
      <c r="A78" s="109">
        <v>69</v>
      </c>
      <c r="B78" s="109" t="s">
        <v>103</v>
      </c>
      <c r="C78" s="137">
        <f>Summary!B77</f>
        <v>-2881374.4408953935</v>
      </c>
      <c r="D78" s="110"/>
      <c r="E78" s="137">
        <f>'Page 1.4'!D73</f>
        <v>32875722.331105515</v>
      </c>
      <c r="F78" s="137">
        <f>'Page 1.4'!E73</f>
        <v>-6815557.1502352851</v>
      </c>
      <c r="G78" s="137">
        <f>'Page 1.4'!F73</f>
        <v>-29872398.538049057</v>
      </c>
      <c r="H78" s="137">
        <f>'Page 1.4'!G73</f>
        <v>11699470.332431177</v>
      </c>
      <c r="I78" s="137">
        <f>'Page 1.4'!H73</f>
        <v>-1506606.2335572876</v>
      </c>
      <c r="J78" s="137">
        <f>'Page 1.4'!I73</f>
        <v>13554152.13876616</v>
      </c>
      <c r="K78" s="137">
        <f>'Page 1.4'!J73</f>
        <v>-1108014.9153842642</v>
      </c>
      <c r="L78" s="137">
        <f>'Page 1.4'!K73</f>
        <v>-2487619.666074615</v>
      </c>
      <c r="N78" s="126">
        <f>SUM(E78:M78)</f>
        <v>16339148.299002346</v>
      </c>
      <c r="P78" s="117">
        <f>+C78+N78</f>
        <v>13457773.858106952</v>
      </c>
      <c r="Q78" s="238"/>
      <c r="R78" s="248">
        <f>P78-'Check Sheet'!S76</f>
        <v>0.15466734394431114</v>
      </c>
    </row>
    <row r="79" spans="1:18" x14ac:dyDescent="0.2">
      <c r="A79" s="109">
        <v>70</v>
      </c>
      <c r="B79" s="109"/>
      <c r="C79" s="127"/>
      <c r="D79" s="110"/>
      <c r="E79" s="127"/>
      <c r="F79" s="127"/>
      <c r="G79" s="127"/>
      <c r="H79" s="127"/>
      <c r="I79" s="127"/>
      <c r="J79" s="127"/>
      <c r="K79" s="127"/>
      <c r="L79" s="127"/>
      <c r="N79" s="127"/>
      <c r="R79" s="248"/>
    </row>
    <row r="80" spans="1:18" x14ac:dyDescent="0.2">
      <c r="A80" s="109">
        <v>71</v>
      </c>
      <c r="B80" s="109" t="s">
        <v>104</v>
      </c>
      <c r="C80" s="111">
        <v>0</v>
      </c>
      <c r="D80" s="113"/>
      <c r="E80" s="111">
        <f>'Page 1.4'!D75</f>
        <v>0</v>
      </c>
      <c r="F80" s="111">
        <f>'Page 1.4'!E75</f>
        <v>0</v>
      </c>
      <c r="G80" s="111">
        <f>'Page 1.4'!F75</f>
        <v>0</v>
      </c>
      <c r="H80" s="111">
        <f>'Page 1.4'!G75</f>
        <v>0</v>
      </c>
      <c r="I80" s="111">
        <f>'Page 1.4'!H75</f>
        <v>0</v>
      </c>
      <c r="J80" s="111">
        <f>'Page 1.4'!I75</f>
        <v>0</v>
      </c>
      <c r="K80" s="111">
        <f>'Page 1.4'!J75</f>
        <v>0</v>
      </c>
      <c r="L80" s="111">
        <f>'Page 1.4'!K75</f>
        <v>0</v>
      </c>
      <c r="N80" s="111">
        <f>SUM(E80:M80)</f>
        <v>0</v>
      </c>
      <c r="P80" s="128">
        <f>+C80+N80</f>
        <v>0</v>
      </c>
      <c r="Q80" s="238"/>
      <c r="R80" s="248">
        <f>P80-'Check Sheet'!S78</f>
        <v>0</v>
      </c>
    </row>
    <row r="81" spans="1:18" ht="12" thickBot="1" x14ac:dyDescent="0.25">
      <c r="A81" s="109">
        <v>72</v>
      </c>
      <c r="B81" s="109" t="s">
        <v>105</v>
      </c>
      <c r="C81" s="129">
        <f>Summary!B80</f>
        <v>-2881374.4408953935</v>
      </c>
      <c r="D81" s="113"/>
      <c r="E81" s="129">
        <f>'Page 1.4'!D76</f>
        <v>32875722.331105515</v>
      </c>
      <c r="F81" s="129">
        <f>'Page 1.4'!E76</f>
        <v>-6815557.1502352851</v>
      </c>
      <c r="G81" s="129">
        <f>'Page 1.4'!F76</f>
        <v>-29872398.538049057</v>
      </c>
      <c r="H81" s="129">
        <f>'Page 1.4'!G76</f>
        <v>11699470.332431177</v>
      </c>
      <c r="I81" s="129">
        <f>'Page 1.4'!H76</f>
        <v>-1506606.2335572876</v>
      </c>
      <c r="J81" s="129">
        <f>'Page 1.4'!I76</f>
        <v>13554152.13876616</v>
      </c>
      <c r="K81" s="129">
        <f>'Page 1.4'!J76</f>
        <v>-1108014.9153842642</v>
      </c>
      <c r="L81" s="129">
        <f>'Page 1.4'!K76</f>
        <v>-2487619.666074615</v>
      </c>
      <c r="N81" s="129">
        <f>SUM(E81:M81)</f>
        <v>16339148.299002346</v>
      </c>
      <c r="P81" s="130">
        <f>+C81+N81</f>
        <v>13457773.858106952</v>
      </c>
      <c r="Q81" s="238"/>
      <c r="R81" s="248">
        <f>P81-'Check Sheet'!S79</f>
        <v>0.15466734394431114</v>
      </c>
    </row>
    <row r="82" spans="1:18" ht="13.5" thickTop="1" x14ac:dyDescent="0.2">
      <c r="A82" s="109">
        <v>73</v>
      </c>
      <c r="B82" s="109"/>
      <c r="C82" s="114"/>
      <c r="D82" s="110"/>
      <c r="E82" s="114"/>
      <c r="F82" s="114"/>
      <c r="G82" s="114"/>
      <c r="H82" s="114"/>
      <c r="I82" s="114"/>
      <c r="J82" s="114"/>
      <c r="K82" s="114"/>
      <c r="L82" s="114"/>
      <c r="N82" s="114"/>
      <c r="R82" s="248"/>
    </row>
    <row r="83" spans="1:18" ht="12" thickBot="1" x14ac:dyDescent="0.25">
      <c r="A83" s="109">
        <v>74</v>
      </c>
      <c r="B83" s="124" t="s">
        <v>198</v>
      </c>
      <c r="C83" s="129">
        <f>Summary!B84</f>
        <v>-11584544.100133309</v>
      </c>
      <c r="D83" s="113"/>
      <c r="E83" s="129">
        <f>'Page 1.4'!D80</f>
        <v>6903901.689532158</v>
      </c>
      <c r="F83" s="129">
        <f>'Page 1.4'!E80</f>
        <v>-1431267.0015494097</v>
      </c>
      <c r="G83" s="129">
        <f>'Page 1.4'!F80</f>
        <v>-6273203.6929903021</v>
      </c>
      <c r="H83" s="129">
        <f>'Page 1.4'!G80</f>
        <v>2456888.7698105471</v>
      </c>
      <c r="I83" s="129">
        <f>'Page 1.4'!H80</f>
        <v>-6322844.60398365</v>
      </c>
      <c r="J83" s="129">
        <f>'Page 1.4'!I80</f>
        <v>2846371.9491408938</v>
      </c>
      <c r="K83" s="129">
        <f>'Page 1.4'!J80</f>
        <v>-265343.54372185015</v>
      </c>
      <c r="L83" s="129">
        <f>'Page 1.4'!K80</f>
        <v>-522400.12987566914</v>
      </c>
      <c r="N83" s="129">
        <f>SUM(E83:M83)</f>
        <v>-2607896.5636372822</v>
      </c>
      <c r="P83" s="129">
        <f>+C83+N83</f>
        <v>-14192440.663770592</v>
      </c>
      <c r="Q83" s="236"/>
      <c r="R83" s="248">
        <f>P83-'Check Sheet'!S83</f>
        <v>3.2480146735906601E-2</v>
      </c>
    </row>
    <row r="84" spans="1:18" ht="12" thickTop="1" x14ac:dyDescent="0.2"/>
    <row r="85" spans="1:18" x14ac:dyDescent="0.2">
      <c r="P85" s="111"/>
    </row>
  </sheetData>
  <mergeCells count="2">
    <mergeCell ref="A2:B2"/>
    <mergeCell ref="A3:C3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SLC-2
Page &amp;P</oddHeader>
  </headerFooter>
  <colBreaks count="1" manualBreakCount="1">
    <brk id="12" max="1048575" man="1"/>
  </colBreaks>
  <customProperties>
    <customPr name="_pios_id" r:id="rId2"/>
  </customProperties>
  <ignoredErrors>
    <ignoredError sqref="N28 P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81"/>
  <sheetViews>
    <sheetView view="pageBreakPreview" zoomScale="80" zoomScaleNormal="100" zoomScaleSheetLayoutView="80" workbookViewId="0">
      <selection activeCell="BD50" sqref="BD50"/>
    </sheetView>
  </sheetViews>
  <sheetFormatPr defaultColWidth="9.140625" defaultRowHeight="12.75" x14ac:dyDescent="0.2"/>
  <cols>
    <col min="1" max="1" width="5.140625" style="184" customWidth="1"/>
    <col min="2" max="2" width="25.140625" style="184" bestFit="1" customWidth="1"/>
    <col min="3" max="3" width="14.28515625" style="184" bestFit="1" customWidth="1"/>
    <col min="4" max="4" width="13" style="184" bestFit="1" customWidth="1"/>
    <col min="5" max="5" width="12" style="184" bestFit="1" customWidth="1"/>
    <col min="6" max="6" width="15" style="184" bestFit="1" customWidth="1"/>
    <col min="7" max="7" width="14.28515625" style="184" bestFit="1" customWidth="1"/>
    <col min="8" max="8" width="13" style="184" bestFit="1" customWidth="1"/>
    <col min="9" max="9" width="13.42578125" style="184" bestFit="1" customWidth="1"/>
    <col min="10" max="10" width="14.28515625" style="184" bestFit="1" customWidth="1"/>
    <col min="11" max="11" width="14" style="184" customWidth="1"/>
    <col min="12" max="12" width="9.140625" style="184"/>
    <col min="13" max="13" width="20.5703125" style="184" bestFit="1" customWidth="1"/>
    <col min="14" max="16384" width="9.140625" style="184"/>
  </cols>
  <sheetData>
    <row r="1" spans="1:11" x14ac:dyDescent="0.2">
      <c r="B1" s="298" t="s">
        <v>178</v>
      </c>
      <c r="C1" s="298"/>
      <c r="D1" s="298"/>
      <c r="E1" s="298"/>
      <c r="F1" s="298"/>
      <c r="G1" s="298"/>
      <c r="H1" s="298"/>
      <c r="I1" s="298"/>
      <c r="J1" s="298"/>
      <c r="K1" s="298"/>
    </row>
    <row r="3" spans="1:11" ht="38.25" x14ac:dyDescent="0.2">
      <c r="C3" s="185" t="s">
        <v>156</v>
      </c>
      <c r="D3" s="185" t="s">
        <v>165</v>
      </c>
      <c r="E3" s="185" t="s">
        <v>166</v>
      </c>
      <c r="F3" s="185" t="s">
        <v>167</v>
      </c>
      <c r="G3" s="185" t="s">
        <v>168</v>
      </c>
      <c r="H3" s="185" t="s">
        <v>169</v>
      </c>
      <c r="I3" s="185" t="s">
        <v>231</v>
      </c>
      <c r="J3" s="185" t="s">
        <v>258</v>
      </c>
      <c r="K3" s="185" t="s">
        <v>323</v>
      </c>
    </row>
    <row r="5" spans="1:11" x14ac:dyDescent="0.2">
      <c r="A5" s="186">
        <v>1</v>
      </c>
      <c r="B5" s="186" t="s">
        <v>44</v>
      </c>
    </row>
    <row r="6" spans="1:11" x14ac:dyDescent="0.2">
      <c r="A6" s="186">
        <v>2</v>
      </c>
      <c r="B6" s="186" t="s">
        <v>45</v>
      </c>
      <c r="C6" s="187">
        <f>SUM(D6:K6)</f>
        <v>31472700.330736585</v>
      </c>
      <c r="D6" s="187">
        <f>'Page 1.5'!D6+'Page 1.6'!D6</f>
        <v>31472700.330736585</v>
      </c>
      <c r="E6" s="187">
        <f>'Page 1.5'!E6+'Page 1.6'!E6</f>
        <v>0</v>
      </c>
      <c r="F6" s="187">
        <f>'Page 1.5'!F6+'Page 1.6'!F6</f>
        <v>0</v>
      </c>
      <c r="G6" s="187">
        <f>'Page 1.5'!G6+'Page 1.6'!G6</f>
        <v>0</v>
      </c>
      <c r="H6" s="187">
        <f>'Page 1.5'!H6+'Page 1.6'!H6</f>
        <v>0</v>
      </c>
      <c r="I6" s="187">
        <f>'Page 1.5'!I6+'Page 1.6'!I6</f>
        <v>0</v>
      </c>
      <c r="J6" s="187">
        <f>'Page 1.5'!J6+'Page 1.6'!J6</f>
        <v>0</v>
      </c>
      <c r="K6" s="187">
        <f>'Page 1.5'!K6+'Page 1.6'!K6</f>
        <v>0</v>
      </c>
    </row>
    <row r="7" spans="1:11" x14ac:dyDescent="0.2">
      <c r="A7" s="186">
        <v>3</v>
      </c>
      <c r="B7" s="186" t="s">
        <v>46</v>
      </c>
      <c r="C7" s="187">
        <f t="shared" ref="C7:C9" si="0">SUM(D7:K7)</f>
        <v>0</v>
      </c>
      <c r="D7" s="187">
        <f>'Page 1.5'!D7+'Page 1.6'!D7</f>
        <v>0</v>
      </c>
      <c r="E7" s="187">
        <f>'Page 1.5'!E7+'Page 1.6'!E7</f>
        <v>0</v>
      </c>
      <c r="F7" s="187">
        <f>'Page 1.5'!F7+'Page 1.6'!F7</f>
        <v>0</v>
      </c>
      <c r="G7" s="187">
        <f>'Page 1.5'!G7+'Page 1.6'!G7</f>
        <v>0</v>
      </c>
      <c r="H7" s="187">
        <f>'Page 1.5'!H7+'Page 1.6'!H7</f>
        <v>0</v>
      </c>
      <c r="I7" s="187">
        <f>'Page 1.5'!I7+'Page 1.6'!I7</f>
        <v>0</v>
      </c>
      <c r="J7" s="187">
        <f>'Page 1.5'!J7+'Page 1.6'!J7</f>
        <v>0</v>
      </c>
      <c r="K7" s="187">
        <f>'Page 1.5'!K7+'Page 1.6'!K7</f>
        <v>0</v>
      </c>
    </row>
    <row r="8" spans="1:11" x14ac:dyDescent="0.2">
      <c r="A8" s="186">
        <v>4</v>
      </c>
      <c r="B8" s="186" t="s">
        <v>47</v>
      </c>
      <c r="C8" s="187">
        <f t="shared" si="0"/>
        <v>19148484.22576125</v>
      </c>
      <c r="D8" s="187">
        <f>'Page 1.5'!D8+'Page 1.6'!D8</f>
        <v>0</v>
      </c>
      <c r="E8" s="187">
        <f>'Page 1.5'!E8+'Page 1.6'!E8</f>
        <v>0</v>
      </c>
      <c r="F8" s="187">
        <f>'Page 1.5'!F8+'Page 1.6'!F8</f>
        <v>19038327.299635988</v>
      </c>
      <c r="G8" s="187">
        <f>'Page 1.5'!G8+'Page 1.6'!G8</f>
        <v>0</v>
      </c>
      <c r="H8" s="187">
        <f>'Page 1.5'!H8+'Page 1.6'!H8</f>
        <v>0</v>
      </c>
      <c r="I8" s="187">
        <f>'Page 1.5'!I8+'Page 1.6'!I8</f>
        <v>0</v>
      </c>
      <c r="J8" s="187">
        <f>'Page 1.5'!J8+'Page 1.6'!J8</f>
        <v>110156.92612526193</v>
      </c>
      <c r="K8" s="187">
        <f>'Page 1.5'!K8+'Page 1.6'!K8</f>
        <v>0</v>
      </c>
    </row>
    <row r="9" spans="1:11" x14ac:dyDescent="0.2">
      <c r="A9" s="186">
        <v>5</v>
      </c>
      <c r="B9" s="186" t="s">
        <v>48</v>
      </c>
      <c r="C9" s="187">
        <f t="shared" si="0"/>
        <v>642435.21589630411</v>
      </c>
      <c r="D9" s="187">
        <f>'Page 1.5'!D9+'Page 1.6'!D9</f>
        <v>1403022.0003689292</v>
      </c>
      <c r="E9" s="187">
        <f>'Page 1.5'!E9+'Page 1.6'!E9</f>
        <v>0</v>
      </c>
      <c r="F9" s="187">
        <f>'Page 1.5'!F9+'Page 1.6'!F9</f>
        <v>265774.14632870059</v>
      </c>
      <c r="G9" s="187">
        <f>'Page 1.5'!G9+'Page 1.6'!G9</f>
        <v>0</v>
      </c>
      <c r="H9" s="187">
        <f>'Page 1.5'!H9+'Page 1.6'!H9</f>
        <v>0</v>
      </c>
      <c r="I9" s="187">
        <f>'Page 1.5'!I9+'Page 1.6'!I9</f>
        <v>0</v>
      </c>
      <c r="J9" s="187">
        <f>'Page 1.5'!J9+'Page 1.6'!J9</f>
        <v>-5532.8879920264008</v>
      </c>
      <c r="K9" s="187">
        <f>'Page 1.5'!K9+'Page 1.6'!K9</f>
        <v>-1020828.0428092993</v>
      </c>
    </row>
    <row r="10" spans="1:11" x14ac:dyDescent="0.2">
      <c r="A10" s="186">
        <v>6</v>
      </c>
      <c r="B10" s="186" t="s">
        <v>49</v>
      </c>
      <c r="C10" s="188">
        <f>SUM(C6:C9)</f>
        <v>51263619.772394136</v>
      </c>
      <c r="D10" s="188">
        <f t="shared" ref="D10:I10" si="1">SUM(D6:D9)</f>
        <v>32875722.331105515</v>
      </c>
      <c r="E10" s="188">
        <f t="shared" si="1"/>
        <v>0</v>
      </c>
      <c r="F10" s="188">
        <f t="shared" si="1"/>
        <v>19304101.445964687</v>
      </c>
      <c r="G10" s="188">
        <f t="shared" si="1"/>
        <v>0</v>
      </c>
      <c r="H10" s="188">
        <f t="shared" si="1"/>
        <v>0</v>
      </c>
      <c r="I10" s="188">
        <f t="shared" si="1"/>
        <v>0</v>
      </c>
      <c r="J10" s="188">
        <f t="shared" ref="J10:K10" si="2">SUM(J6:J9)</f>
        <v>104624.03813323553</v>
      </c>
      <c r="K10" s="188">
        <f t="shared" si="2"/>
        <v>-1020828.0428092993</v>
      </c>
    </row>
    <row r="11" spans="1:11" x14ac:dyDescent="0.2">
      <c r="A11" s="186">
        <v>7</v>
      </c>
      <c r="B11" s="186"/>
    </row>
    <row r="12" spans="1:11" x14ac:dyDescent="0.2">
      <c r="A12" s="186">
        <v>8</v>
      </c>
      <c r="B12" s="186" t="s">
        <v>50</v>
      </c>
    </row>
    <row r="13" spans="1:11" x14ac:dyDescent="0.2">
      <c r="A13" s="186">
        <v>9</v>
      </c>
      <c r="B13" s="186" t="s">
        <v>51</v>
      </c>
      <c r="C13" s="187">
        <f t="shared" ref="C13:C31" si="3">SUM(D13:K13)</f>
        <v>-568436.0687204313</v>
      </c>
      <c r="D13" s="187">
        <f>'Page 1.5'!D13+'Page 1.6'!D13</f>
        <v>0</v>
      </c>
      <c r="E13" s="187">
        <f>'Page 1.5'!E13+'Page 1.6'!E13</f>
        <v>372494.26762657589</v>
      </c>
      <c r="F13" s="187">
        <f>'Page 1.5'!F13+'Page 1.6'!F13</f>
        <v>-2185033.31137479</v>
      </c>
      <c r="G13" s="187">
        <f>'Page 1.5'!G13+'Page 1.6'!G13</f>
        <v>2233092.2074194313</v>
      </c>
      <c r="H13" s="187">
        <f>'Page 1.5'!H13+'Page 1.6'!H13</f>
        <v>0</v>
      </c>
      <c r="I13" s="187">
        <f>'Page 1.5'!I13+'Page 1.6'!I13</f>
        <v>0</v>
      </c>
      <c r="J13" s="187">
        <f>'Page 1.5'!J13+'Page 1.6'!J13</f>
        <v>212943.29145472497</v>
      </c>
      <c r="K13" s="187">
        <f>'Page 1.5'!K13+'Page 1.6'!K13</f>
        <v>-1201932.5238463734</v>
      </c>
    </row>
    <row r="14" spans="1:11" x14ac:dyDescent="0.2">
      <c r="A14" s="186">
        <v>10</v>
      </c>
      <c r="B14" s="186" t="s">
        <v>52</v>
      </c>
      <c r="C14" s="187">
        <f t="shared" si="3"/>
        <v>0</v>
      </c>
      <c r="D14" s="187">
        <f>'Page 1.5'!D14+'Page 1.6'!D14</f>
        <v>0</v>
      </c>
      <c r="E14" s="187">
        <f>'Page 1.5'!E14+'Page 1.6'!E14</f>
        <v>0</v>
      </c>
      <c r="F14" s="187">
        <f>'Page 1.5'!F14+'Page 1.6'!F14</f>
        <v>0</v>
      </c>
      <c r="G14" s="187">
        <f>'Page 1.5'!G14+'Page 1.6'!G14</f>
        <v>0</v>
      </c>
      <c r="H14" s="187">
        <f>'Page 1.5'!H14+'Page 1.6'!H14</f>
        <v>0</v>
      </c>
      <c r="I14" s="187">
        <f>'Page 1.5'!I14+'Page 1.6'!I14</f>
        <v>0</v>
      </c>
      <c r="J14" s="187">
        <f>'Page 1.5'!J14+'Page 1.6'!J14</f>
        <v>0</v>
      </c>
      <c r="K14" s="187">
        <f>'Page 1.5'!K14+'Page 1.6'!K14</f>
        <v>0</v>
      </c>
    </row>
    <row r="15" spans="1:11" x14ac:dyDescent="0.2">
      <c r="A15" s="186">
        <v>11</v>
      </c>
      <c r="B15" s="186" t="s">
        <v>53</v>
      </c>
      <c r="C15" s="187">
        <f t="shared" si="3"/>
        <v>1992728.1463029953</v>
      </c>
      <c r="D15" s="187">
        <f>'Page 1.5'!D15+'Page 1.6'!D15</f>
        <v>0</v>
      </c>
      <c r="E15" s="187">
        <f>'Page 1.5'!E15+'Page 1.6'!E15</f>
        <v>2245813.7424687804</v>
      </c>
      <c r="F15" s="187">
        <f>'Page 1.5'!F15+'Page 1.6'!F15</f>
        <v>0</v>
      </c>
      <c r="G15" s="187">
        <f>'Page 1.5'!G15+'Page 1.6'!G15</f>
        <v>0</v>
      </c>
      <c r="H15" s="187">
        <f>'Page 1.5'!H15+'Page 1.6'!H15</f>
        <v>0</v>
      </c>
      <c r="I15" s="187">
        <f>'Page 1.5'!I15+'Page 1.6'!I15</f>
        <v>-253659.07857429984</v>
      </c>
      <c r="J15" s="187">
        <f>'Page 1.5'!J15+'Page 1.6'!J15</f>
        <v>573.4824085146538</v>
      </c>
      <c r="K15" s="187">
        <f>'Page 1.5'!K15+'Page 1.6'!K15</f>
        <v>0</v>
      </c>
    </row>
    <row r="16" spans="1:11" x14ac:dyDescent="0.2">
      <c r="A16" s="186">
        <v>12</v>
      </c>
      <c r="B16" s="186" t="s">
        <v>54</v>
      </c>
      <c r="C16" s="187">
        <f t="shared" si="3"/>
        <v>51880855.202679165</v>
      </c>
      <c r="D16" s="187">
        <f>'Page 1.5'!D16+'Page 1.6'!D16</f>
        <v>0</v>
      </c>
      <c r="E16" s="187">
        <f>'Page 1.5'!E16+'Page 1.6'!E16</f>
        <v>153854.16358176555</v>
      </c>
      <c r="F16" s="187">
        <f>'Page 1.5'!F16+'Page 1.6'!F16</f>
        <v>50693580.421179526</v>
      </c>
      <c r="G16" s="187">
        <f>'Page 1.5'!G16+'Page 1.6'!G16</f>
        <v>0</v>
      </c>
      <c r="H16" s="187">
        <f>'Page 1.5'!H16+'Page 1.6'!H16</f>
        <v>0</v>
      </c>
      <c r="I16" s="187">
        <f>'Page 1.5'!I16+'Page 1.6'!I16</f>
        <v>131145.17024851745</v>
      </c>
      <c r="J16" s="187">
        <f>'Page 1.5'!J16+'Page 1.6'!J16</f>
        <v>902275.44766935706</v>
      </c>
      <c r="K16" s="187">
        <f>'Page 1.5'!K16+'Page 1.6'!K16</f>
        <v>0</v>
      </c>
    </row>
    <row r="17" spans="1:11" x14ac:dyDescent="0.2">
      <c r="A17" s="186">
        <v>13</v>
      </c>
      <c r="B17" s="186" t="s">
        <v>55</v>
      </c>
      <c r="C17" s="187">
        <f t="shared" si="3"/>
        <v>1313431.2327392986</v>
      </c>
      <c r="D17" s="187">
        <f>'Page 1.5'!D17+'Page 1.6'!D17</f>
        <v>0</v>
      </c>
      <c r="E17" s="187">
        <f>'Page 1.5'!E17+'Page 1.6'!E17</f>
        <v>610878.30084100435</v>
      </c>
      <c r="F17" s="187">
        <f>'Page 1.5'!F17+'Page 1.6'!F17</f>
        <v>630176.87420901121</v>
      </c>
      <c r="G17" s="187">
        <f>'Page 1.5'!G17+'Page 1.6'!G17</f>
        <v>0</v>
      </c>
      <c r="H17" s="187">
        <f>'Page 1.5'!H17+'Page 1.6'!H17</f>
        <v>0</v>
      </c>
      <c r="I17" s="187">
        <f>'Page 1.5'!I17+'Page 1.6'!I17</f>
        <v>0</v>
      </c>
      <c r="J17" s="187">
        <f>'Page 1.5'!J17+'Page 1.6'!J17</f>
        <v>72376.057689283043</v>
      </c>
      <c r="K17" s="187">
        <f>'Page 1.5'!K17+'Page 1.6'!K17</f>
        <v>0</v>
      </c>
    </row>
    <row r="18" spans="1:11" x14ac:dyDescent="0.2">
      <c r="A18" s="186">
        <v>14</v>
      </c>
      <c r="B18" s="186" t="s">
        <v>56</v>
      </c>
      <c r="C18" s="187">
        <f t="shared" si="3"/>
        <v>4495602.4101354945</v>
      </c>
      <c r="D18" s="187">
        <f>'Page 1.5'!D18+'Page 1.6'!D18</f>
        <v>0</v>
      </c>
      <c r="E18" s="187">
        <f>'Page 1.5'!E18+'Page 1.6'!E18</f>
        <v>4495602.4101354945</v>
      </c>
      <c r="F18" s="187">
        <f>'Page 1.5'!F18+'Page 1.6'!F18</f>
        <v>0</v>
      </c>
      <c r="G18" s="187">
        <f>'Page 1.5'!G18+'Page 1.6'!G18</f>
        <v>0</v>
      </c>
      <c r="H18" s="187">
        <f>'Page 1.5'!H18+'Page 1.6'!H18</f>
        <v>0</v>
      </c>
      <c r="I18" s="187">
        <f>'Page 1.5'!I18+'Page 1.6'!I18</f>
        <v>0</v>
      </c>
      <c r="J18" s="187">
        <f>'Page 1.5'!J18+'Page 1.6'!J18</f>
        <v>0</v>
      </c>
      <c r="K18" s="187">
        <f>'Page 1.5'!K18+'Page 1.6'!K18</f>
        <v>0</v>
      </c>
    </row>
    <row r="19" spans="1:11" x14ac:dyDescent="0.2">
      <c r="A19" s="186">
        <v>15</v>
      </c>
      <c r="B19" s="186" t="s">
        <v>57</v>
      </c>
      <c r="C19" s="187">
        <f t="shared" si="3"/>
        <v>27612.00663405098</v>
      </c>
      <c r="D19" s="187">
        <f>'Page 1.5'!D19+'Page 1.6'!D19</f>
        <v>0</v>
      </c>
      <c r="E19" s="187">
        <f>'Page 1.5'!E19+'Page 1.6'!E19</f>
        <v>27612.00663405098</v>
      </c>
      <c r="F19" s="187">
        <f>'Page 1.5'!F19+'Page 1.6'!F19</f>
        <v>0</v>
      </c>
      <c r="G19" s="187">
        <f>'Page 1.5'!G19+'Page 1.6'!G19</f>
        <v>0</v>
      </c>
      <c r="H19" s="187">
        <f>'Page 1.5'!H19+'Page 1.6'!H19</f>
        <v>0</v>
      </c>
      <c r="I19" s="187">
        <f>'Page 1.5'!I19+'Page 1.6'!I19</f>
        <v>0</v>
      </c>
      <c r="J19" s="187">
        <f>'Page 1.5'!J19+'Page 1.6'!J19</f>
        <v>0</v>
      </c>
      <c r="K19" s="187">
        <f>'Page 1.5'!K19+'Page 1.6'!K19</f>
        <v>0</v>
      </c>
    </row>
    <row r="20" spans="1:11" x14ac:dyDescent="0.2">
      <c r="A20" s="186">
        <v>16</v>
      </c>
      <c r="B20" s="186" t="s">
        <v>58</v>
      </c>
      <c r="C20" s="187">
        <f t="shared" si="3"/>
        <v>44716.371428883809</v>
      </c>
      <c r="D20" s="187">
        <f>'Page 1.5'!D20+'Page 1.6'!D20</f>
        <v>0</v>
      </c>
      <c r="E20" s="187">
        <f>'Page 1.5'!E20+'Page 1.6'!E20</f>
        <v>44716.371428883809</v>
      </c>
      <c r="F20" s="187">
        <f>'Page 1.5'!F20+'Page 1.6'!F20</f>
        <v>0</v>
      </c>
      <c r="G20" s="187">
        <f>'Page 1.5'!G20+'Page 1.6'!G20</f>
        <v>0</v>
      </c>
      <c r="H20" s="187">
        <f>'Page 1.5'!H20+'Page 1.6'!H20</f>
        <v>0</v>
      </c>
      <c r="I20" s="187">
        <f>'Page 1.5'!I20+'Page 1.6'!I20</f>
        <v>0</v>
      </c>
      <c r="J20" s="187">
        <f>'Page 1.5'!J20+'Page 1.6'!J20</f>
        <v>0</v>
      </c>
      <c r="K20" s="187">
        <f>'Page 1.5'!K20+'Page 1.6'!K20</f>
        <v>0</v>
      </c>
    </row>
    <row r="21" spans="1:11" x14ac:dyDescent="0.2">
      <c r="A21" s="186">
        <v>17</v>
      </c>
      <c r="B21" s="186" t="s">
        <v>59</v>
      </c>
      <c r="C21" s="187">
        <f t="shared" si="3"/>
        <v>0</v>
      </c>
      <c r="D21" s="187">
        <f>'Page 1.5'!D21+'Page 1.6'!D21</f>
        <v>0</v>
      </c>
      <c r="E21" s="187">
        <f>'Page 1.5'!E21+'Page 1.6'!E21</f>
        <v>0</v>
      </c>
      <c r="F21" s="187">
        <f>'Page 1.5'!F21+'Page 1.6'!F21</f>
        <v>0</v>
      </c>
      <c r="G21" s="187">
        <f>'Page 1.5'!G21+'Page 1.6'!G21</f>
        <v>0</v>
      </c>
      <c r="H21" s="187">
        <f>'Page 1.5'!H21+'Page 1.6'!H21</f>
        <v>0</v>
      </c>
      <c r="I21" s="187">
        <f>'Page 1.5'!I21+'Page 1.6'!I21</f>
        <v>0</v>
      </c>
      <c r="J21" s="187">
        <f>'Page 1.5'!J21+'Page 1.6'!J21</f>
        <v>0</v>
      </c>
      <c r="K21" s="187">
        <f>'Page 1.5'!K21+'Page 1.6'!K21</f>
        <v>0</v>
      </c>
    </row>
    <row r="22" spans="1:11" x14ac:dyDescent="0.2">
      <c r="A22" s="186">
        <v>18</v>
      </c>
      <c r="B22" s="186" t="s">
        <v>60</v>
      </c>
      <c r="C22" s="189">
        <f t="shared" si="3"/>
        <v>-2377453.4111121218</v>
      </c>
      <c r="D22" s="189">
        <f>'Page 1.5'!D22+'Page 1.6'!D22</f>
        <v>0</v>
      </c>
      <c r="E22" s="189">
        <f>'Page 1.5'!E22+'Page 1.6'!E22</f>
        <v>-2400033.2756195422</v>
      </c>
      <c r="F22" s="189">
        <f>'Page 1.5'!F22+'Page 1.6'!F22</f>
        <v>37776</v>
      </c>
      <c r="G22" s="189">
        <f>'Page 1.5'!G22+'Page 1.6'!G22</f>
        <v>0</v>
      </c>
      <c r="H22" s="189">
        <f>'Page 1.5'!H22+'Page 1.6'!H22</f>
        <v>0</v>
      </c>
      <c r="I22" s="189">
        <f>'Page 1.5'!I22+'Page 1.6'!I22</f>
        <v>0</v>
      </c>
      <c r="J22" s="189">
        <f>'Page 1.5'!J22+'Page 1.6'!J22</f>
        <v>0</v>
      </c>
      <c r="K22" s="189">
        <f>'Page 1.5'!K22+'Page 1.6'!K22</f>
        <v>-15196.135492579706</v>
      </c>
    </row>
    <row r="23" spans="1:11" x14ac:dyDescent="0.2">
      <c r="A23" s="186">
        <v>19</v>
      </c>
      <c r="B23" s="186" t="s">
        <v>61</v>
      </c>
      <c r="C23" s="190">
        <f>SUM(C13:C22)</f>
        <v>56809055.890087329</v>
      </c>
      <c r="D23" s="190">
        <f t="shared" ref="D23:I23" si="4">SUM(D13:D22)</f>
        <v>0</v>
      </c>
      <c r="E23" s="190">
        <f t="shared" si="4"/>
        <v>5550937.9870970128</v>
      </c>
      <c r="F23" s="190">
        <f t="shared" si="4"/>
        <v>49176499.984013744</v>
      </c>
      <c r="G23" s="190">
        <f t="shared" si="4"/>
        <v>2233092.2074194313</v>
      </c>
      <c r="H23" s="190">
        <f t="shared" si="4"/>
        <v>0</v>
      </c>
      <c r="I23" s="190">
        <f t="shared" si="4"/>
        <v>-122513.90832578239</v>
      </c>
      <c r="J23" s="190">
        <f t="shared" ref="J23:K23" si="5">SUM(J13:J22)</f>
        <v>1188168.2792218798</v>
      </c>
      <c r="K23" s="190">
        <f t="shared" si="5"/>
        <v>-1217128.6593389532</v>
      </c>
    </row>
    <row r="24" spans="1:11" x14ac:dyDescent="0.2">
      <c r="A24" s="186">
        <v>20</v>
      </c>
      <c r="B24" s="186" t="s">
        <v>62</v>
      </c>
      <c r="C24" s="187">
        <f t="shared" si="3"/>
        <v>-11998389.233632291</v>
      </c>
      <c r="D24" s="187">
        <f>'Page 1.5'!D24+'Page 1.6'!D24</f>
        <v>0</v>
      </c>
      <c r="E24" s="187">
        <f>'Page 1.5'!E24+'Page 1.6'!E24</f>
        <v>0</v>
      </c>
      <c r="F24" s="187">
        <f>'Page 1.5'!F24+'Page 1.6'!F24</f>
        <v>0</v>
      </c>
      <c r="G24" s="187">
        <f>'Page 1.5'!G24+'Page 1.6'!G24</f>
        <v>-16220473.329020642</v>
      </c>
      <c r="H24" s="187">
        <f>'Page 1.5'!H24+'Page 1.6'!H24</f>
        <v>0</v>
      </c>
      <c r="I24" s="187">
        <f>'Page 1.5'!I24+'Page 1.6'!I24</f>
        <v>744555.75728509633</v>
      </c>
      <c r="J24" s="187">
        <f>'Page 1.5'!J24+'Page 1.6'!J24</f>
        <v>23210.389051953243</v>
      </c>
      <c r="K24" s="187">
        <f>'Page 1.5'!K24+'Page 1.6'!K24</f>
        <v>3454317.9490513015</v>
      </c>
    </row>
    <row r="25" spans="1:11" x14ac:dyDescent="0.2">
      <c r="A25" s="186">
        <v>21</v>
      </c>
      <c r="B25" s="186" t="s">
        <v>63</v>
      </c>
      <c r="C25" s="187">
        <f t="shared" si="3"/>
        <v>11403896.28243022</v>
      </c>
      <c r="D25" s="187">
        <f>'Page 1.5'!D25+'Page 1.6'!D25</f>
        <v>0</v>
      </c>
      <c r="E25" s="187">
        <f>'Page 1.5'!E25+'Page 1.6'!E25</f>
        <v>0</v>
      </c>
      <c r="F25" s="187">
        <f>'Page 1.5'!F25+'Page 1.6'!F25</f>
        <v>0</v>
      </c>
      <c r="G25" s="187">
        <f>'Page 1.5'!G25+'Page 1.6'!G25</f>
        <v>4316441.701700381</v>
      </c>
      <c r="H25" s="187">
        <f>'Page 1.5'!H25+'Page 1.6'!H25</f>
        <v>0</v>
      </c>
      <c r="I25" s="187">
        <f>'Page 1.5'!I25+'Page 1.6'!I25</f>
        <v>7087454.5807298403</v>
      </c>
      <c r="J25" s="187">
        <f>'Page 1.5'!J25+'Page 1.6'!J25</f>
        <v>0</v>
      </c>
      <c r="K25" s="187">
        <f>'Page 1.5'!K25+'Page 1.6'!K25</f>
        <v>0</v>
      </c>
    </row>
    <row r="26" spans="1:11" x14ac:dyDescent="0.2">
      <c r="A26" s="186">
        <v>22</v>
      </c>
      <c r="B26" s="186" t="s">
        <v>64</v>
      </c>
      <c r="C26" s="187">
        <f t="shared" si="3"/>
        <v>2275333.1479943478</v>
      </c>
      <c r="D26" s="187">
        <f>'Page 1.5'!D26+'Page 1.6'!D26</f>
        <v>0</v>
      </c>
      <c r="E26" s="187">
        <f>'Page 1.5'!E26+'Page 1.6'!E26</f>
        <v>0</v>
      </c>
      <c r="F26" s="187">
        <f>'Page 1.5'!F26+'Page 1.6'!F26</f>
        <v>0</v>
      </c>
      <c r="G26" s="187">
        <f>'Page 1.5'!G26+'Page 1.6'!G26</f>
        <v>0</v>
      </c>
      <c r="H26" s="187">
        <f>'Page 1.5'!H26+'Page 1.6'!H26</f>
        <v>2350182.6170963505</v>
      </c>
      <c r="I26" s="187">
        <f>'Page 1.5'!I26+'Page 1.6'!I26</f>
        <v>0</v>
      </c>
      <c r="J26" s="187">
        <f>'Page 1.5'!J26+'Page 1.6'!J26</f>
        <v>1260.2852436666144</v>
      </c>
      <c r="K26" s="187">
        <f>'Page 1.5'!K26+'Page 1.6'!K26</f>
        <v>-76109.754345669193</v>
      </c>
    </row>
    <row r="27" spans="1:11" x14ac:dyDescent="0.2">
      <c r="A27" s="186">
        <v>23</v>
      </c>
      <c r="B27" s="186" t="s">
        <v>157</v>
      </c>
      <c r="C27" s="187">
        <f>C80</f>
        <v>-2607896.5636372822</v>
      </c>
      <c r="D27" s="187">
        <f>D80</f>
        <v>6903901.689532158</v>
      </c>
      <c r="E27" s="187">
        <f t="shared" ref="E27:I27" si="6">E80</f>
        <v>-1431267.0015494097</v>
      </c>
      <c r="F27" s="187">
        <f t="shared" si="6"/>
        <v>-6273203.6929903021</v>
      </c>
      <c r="G27" s="187">
        <f t="shared" si="6"/>
        <v>2456888.7698105471</v>
      </c>
      <c r="H27" s="187">
        <f t="shared" si="6"/>
        <v>-6322844.60398365</v>
      </c>
      <c r="I27" s="187">
        <f t="shared" si="6"/>
        <v>2846371.9491408938</v>
      </c>
      <c r="J27" s="187">
        <f t="shared" ref="J27:K27" si="7">J80</f>
        <v>-265343.54372185015</v>
      </c>
      <c r="K27" s="187">
        <f t="shared" si="7"/>
        <v>-522400.12987566914</v>
      </c>
    </row>
    <row r="28" spans="1:11" x14ac:dyDescent="0.2">
      <c r="A28" s="186">
        <v>24</v>
      </c>
      <c r="B28" s="186" t="s">
        <v>158</v>
      </c>
      <c r="C28" s="187">
        <f t="shared" si="3"/>
        <v>0</v>
      </c>
      <c r="D28" s="187">
        <v>0</v>
      </c>
      <c r="E28" s="187">
        <f t="shared" ref="E28" si="8">C227</f>
        <v>0</v>
      </c>
      <c r="F28" s="187">
        <f t="shared" ref="F28" si="9">C341</f>
        <v>0</v>
      </c>
      <c r="G28" s="187">
        <f t="shared" ref="G28" si="10">C455</f>
        <v>0</v>
      </c>
      <c r="H28" s="187">
        <f t="shared" ref="H28" si="11">C570</f>
        <v>0</v>
      </c>
      <c r="I28" s="187">
        <f t="shared" ref="I28:K28" si="12">C685</f>
        <v>0</v>
      </c>
      <c r="J28" s="187">
        <f t="shared" si="12"/>
        <v>0</v>
      </c>
      <c r="K28" s="187">
        <f t="shared" si="12"/>
        <v>0</v>
      </c>
    </row>
    <row r="29" spans="1:11" x14ac:dyDescent="0.2">
      <c r="A29" s="186">
        <v>25</v>
      </c>
      <c r="B29" s="186" t="s">
        <v>159</v>
      </c>
      <c r="C29" s="187">
        <f t="shared" si="3"/>
        <v>-310728.12412219087</v>
      </c>
      <c r="D29" s="187">
        <f>'Page 1.5'!D29+'Page 1.6'!D29</f>
        <v>0</v>
      </c>
      <c r="E29" s="187">
        <f>'Page 1.5'!E29+'Page 1.6'!E29</f>
        <v>291371.44046879199</v>
      </c>
      <c r="F29" s="187">
        <f>'Page 1.5'!F29+'Page 1.6'!F29</f>
        <v>0</v>
      </c>
      <c r="G29" s="187">
        <f>'Page 1.5'!G29+'Page 1.6'!G29</f>
        <v>-498746.1113269059</v>
      </c>
      <c r="H29" s="187">
        <f>'Page 1.5'!H29+'Page 1.6'!H29</f>
        <v>5272578.2897593528</v>
      </c>
      <c r="I29" s="187">
        <f>'Page 1.5'!I29+'Page 1.6'!I29</f>
        <v>-5228583.0284082573</v>
      </c>
      <c r="J29" s="187">
        <f>'Page 1.5'!J29+'Page 1.6'!J29</f>
        <v>0</v>
      </c>
      <c r="K29" s="187">
        <f>'Page 1.5'!K29+'Page 1.6'!K29</f>
        <v>-147348.71461517236</v>
      </c>
    </row>
    <row r="30" spans="1:11" x14ac:dyDescent="0.2">
      <c r="A30" s="186">
        <v>26</v>
      </c>
      <c r="B30" s="186" t="s">
        <v>68</v>
      </c>
      <c r="C30" s="187">
        <f t="shared" si="3"/>
        <v>0</v>
      </c>
      <c r="D30" s="187">
        <f>'Page 1.5'!D30+'Page 1.6'!D30</f>
        <v>0</v>
      </c>
      <c r="E30" s="187">
        <f>'Page 1.5'!E30+'Page 1.6'!E30</f>
        <v>0</v>
      </c>
      <c r="F30" s="187">
        <f>'Page 1.5'!F30+'Page 1.6'!F30</f>
        <v>0</v>
      </c>
      <c r="G30" s="187">
        <f>'Page 1.5'!G30+'Page 1.6'!G30</f>
        <v>0</v>
      </c>
      <c r="H30" s="187">
        <f>'Page 1.5'!H30+'Page 1.6'!H30</f>
        <v>0</v>
      </c>
      <c r="I30" s="187">
        <f>'Page 1.5'!I30+'Page 1.6'!I30</f>
        <v>0</v>
      </c>
      <c r="J30" s="187">
        <f>'Page 1.5'!J30+'Page 1.6'!J30</f>
        <v>0</v>
      </c>
      <c r="K30" s="187">
        <f>'Page 1.5'!K30+'Page 1.6'!K30</f>
        <v>0</v>
      </c>
    </row>
    <row r="31" spans="1:11" x14ac:dyDescent="0.2">
      <c r="A31" s="186">
        <v>27</v>
      </c>
      <c r="B31" s="186" t="s">
        <v>69</v>
      </c>
      <c r="C31" s="187">
        <f t="shared" si="3"/>
        <v>81875.040256100925</v>
      </c>
      <c r="D31" s="187">
        <f>'Page 1.5'!D31+'Page 1.6'!D31</f>
        <v>0</v>
      </c>
      <c r="E31" s="187">
        <f>'Page 1.5'!E31+'Page 1.6'!E31</f>
        <v>79538.110256100932</v>
      </c>
      <c r="F31" s="187">
        <f>'Page 1.5'!F31+'Page 1.6'!F31</f>
        <v>0</v>
      </c>
      <c r="G31" s="187">
        <f>'Page 1.5'!G31+'Page 1.6'!G31</f>
        <v>0</v>
      </c>
      <c r="H31" s="187">
        <f>'Page 1.5'!H31+'Page 1.6'!H31</f>
        <v>0</v>
      </c>
      <c r="I31" s="187">
        <f>'Page 1.5'!I31+'Page 1.6'!I31</f>
        <v>2336.9299999999998</v>
      </c>
      <c r="J31" s="187">
        <f>'Page 1.5'!J31+'Page 1.6'!J31</f>
        <v>0</v>
      </c>
      <c r="K31" s="187">
        <f>'Page 1.5'!K31+'Page 1.6'!K31</f>
        <v>0</v>
      </c>
    </row>
    <row r="32" spans="1:11" x14ac:dyDescent="0.2">
      <c r="A32" s="186">
        <v>28</v>
      </c>
      <c r="B32" s="191" t="s">
        <v>70</v>
      </c>
      <c r="C32" s="192">
        <f>SUM(C23:C31)</f>
        <v>55653146.439376235</v>
      </c>
      <c r="D32" s="192">
        <f t="shared" ref="D32:I32" si="13">SUM(D23:D31)</f>
        <v>6903901.689532158</v>
      </c>
      <c r="E32" s="192">
        <f t="shared" si="13"/>
        <v>4490580.536272496</v>
      </c>
      <c r="F32" s="192">
        <f t="shared" si="13"/>
        <v>42903296.291023441</v>
      </c>
      <c r="G32" s="192">
        <f t="shared" si="13"/>
        <v>-7712796.7614171896</v>
      </c>
      <c r="H32" s="192">
        <f t="shared" si="13"/>
        <v>1299916.3028720533</v>
      </c>
      <c r="I32" s="192">
        <f t="shared" si="13"/>
        <v>5329622.2804217897</v>
      </c>
      <c r="J32" s="192">
        <f t="shared" ref="J32:K32" si="14">SUM(J23:J31)</f>
        <v>947295.4097956497</v>
      </c>
      <c r="K32" s="192">
        <f t="shared" si="14"/>
        <v>1491330.6908758371</v>
      </c>
    </row>
    <row r="33" spans="1:11" x14ac:dyDescent="0.2">
      <c r="A33" s="186">
        <v>29</v>
      </c>
      <c r="B33" s="186"/>
    </row>
    <row r="34" spans="1:11" ht="13.5" thickBot="1" x14ac:dyDescent="0.25">
      <c r="A34" s="186">
        <v>30</v>
      </c>
      <c r="B34" s="186" t="s">
        <v>71</v>
      </c>
      <c r="C34" s="193">
        <f>C10-C32</f>
        <v>-4389526.6669820994</v>
      </c>
      <c r="D34" s="193">
        <f t="shared" ref="D34:I34" si="15">D10-D32</f>
        <v>25971820.641573358</v>
      </c>
      <c r="E34" s="193">
        <f t="shared" si="15"/>
        <v>-4490580.536272496</v>
      </c>
      <c r="F34" s="193">
        <f t="shared" si="15"/>
        <v>-23599194.845058754</v>
      </c>
      <c r="G34" s="193">
        <f t="shared" si="15"/>
        <v>7712796.7614171896</v>
      </c>
      <c r="H34" s="193">
        <f t="shared" si="15"/>
        <v>-1299916.3028720533</v>
      </c>
      <c r="I34" s="193">
        <f t="shared" si="15"/>
        <v>-5329622.2804217897</v>
      </c>
      <c r="J34" s="193">
        <f t="shared" ref="J34:K34" si="16">J10-J32</f>
        <v>-842671.37166241417</v>
      </c>
      <c r="K34" s="193">
        <f t="shared" si="16"/>
        <v>-2512158.7336851363</v>
      </c>
    </row>
    <row r="35" spans="1:11" ht="13.5" thickTop="1" x14ac:dyDescent="0.2">
      <c r="A35" s="186">
        <v>31</v>
      </c>
      <c r="B35" s="186"/>
    </row>
    <row r="36" spans="1:11" x14ac:dyDescent="0.2">
      <c r="A36" s="186">
        <v>32</v>
      </c>
      <c r="B36" s="186" t="s">
        <v>72</v>
      </c>
    </row>
    <row r="37" spans="1:11" x14ac:dyDescent="0.2">
      <c r="A37" s="186">
        <v>33</v>
      </c>
      <c r="B37" s="186" t="s">
        <v>73</v>
      </c>
      <c r="C37" s="187">
        <f t="shared" ref="C37:C47" si="17">SUM(D37:K37)</f>
        <v>144994742.28321502</v>
      </c>
      <c r="D37" s="187">
        <f>'Page 1.5'!D37+'Page 1.6'!D37</f>
        <v>0</v>
      </c>
      <c r="E37" s="187">
        <f>'Page 1.5'!E37+'Page 1.6'!E37</f>
        <v>0</v>
      </c>
      <c r="F37" s="187">
        <f>'Page 1.5'!F37+'Page 1.6'!F37</f>
        <v>0</v>
      </c>
      <c r="G37" s="187">
        <f>'Page 1.5'!G37+'Page 1.6'!G37</f>
        <v>0</v>
      </c>
      <c r="H37" s="187">
        <f>'Page 1.5'!H37+'Page 1.6'!H37</f>
        <v>0</v>
      </c>
      <c r="I37" s="187">
        <f>'Page 1.5'!I37+'Page 1.6'!I37</f>
        <v>173486737.29628566</v>
      </c>
      <c r="J37" s="187">
        <f>'Page 1.5'!J37+'Page 1.6'!J37</f>
        <v>192349.41342615057</v>
      </c>
      <c r="K37" s="187">
        <f>'Page 1.5'!K37+'Page 1.6'!K37</f>
        <v>-28684344.426496804</v>
      </c>
    </row>
    <row r="38" spans="1:11" x14ac:dyDescent="0.2">
      <c r="A38" s="186">
        <v>34</v>
      </c>
      <c r="B38" s="186" t="s">
        <v>74</v>
      </c>
      <c r="C38" s="187">
        <f t="shared" si="17"/>
        <v>0</v>
      </c>
      <c r="D38" s="187">
        <f>'Page 1.5'!D38+'Page 1.6'!D38</f>
        <v>0</v>
      </c>
      <c r="E38" s="187">
        <f>'Page 1.5'!E38+'Page 1.6'!E38</f>
        <v>0</v>
      </c>
      <c r="F38" s="187">
        <f>'Page 1.5'!F38+'Page 1.6'!F38</f>
        <v>0</v>
      </c>
      <c r="G38" s="187">
        <f>'Page 1.5'!G38+'Page 1.6'!G38</f>
        <v>0</v>
      </c>
      <c r="H38" s="187">
        <f>'Page 1.5'!H38+'Page 1.6'!H38</f>
        <v>0</v>
      </c>
      <c r="I38" s="187">
        <f>'Page 1.5'!I38+'Page 1.6'!I38</f>
        <v>0</v>
      </c>
      <c r="J38" s="187">
        <f>'Page 1.5'!J38+'Page 1.6'!J38</f>
        <v>0</v>
      </c>
      <c r="K38" s="187">
        <f>'Page 1.5'!K38+'Page 1.6'!K38</f>
        <v>0</v>
      </c>
    </row>
    <row r="39" spans="1:11" x14ac:dyDescent="0.2">
      <c r="A39" s="186">
        <v>35</v>
      </c>
      <c r="B39" s="186" t="s">
        <v>75</v>
      </c>
      <c r="C39" s="187">
        <f t="shared" si="17"/>
        <v>-9567567.1148098409</v>
      </c>
      <c r="D39" s="187">
        <f>'Page 1.5'!D39+'Page 1.6'!D39</f>
        <v>0</v>
      </c>
      <c r="E39" s="187">
        <f>'Page 1.5'!E39+'Page 1.6'!E39</f>
        <v>0</v>
      </c>
      <c r="F39" s="187">
        <f>'Page 1.5'!F39+'Page 1.6'!F39</f>
        <v>0</v>
      </c>
      <c r="G39" s="187">
        <f>'Page 1.5'!G39+'Page 1.6'!G39</f>
        <v>0</v>
      </c>
      <c r="H39" s="187">
        <f>'Page 1.5'!H39+'Page 1.6'!H39</f>
        <v>0</v>
      </c>
      <c r="I39" s="187">
        <f>'Page 1.5'!I39+'Page 1.6'!I39</f>
        <v>-9567567.1148098409</v>
      </c>
      <c r="J39" s="187">
        <f>'Page 1.5'!J39+'Page 1.6'!J39</f>
        <v>0</v>
      </c>
      <c r="K39" s="187">
        <f>'Page 1.5'!K39+'Page 1.6'!K39</f>
        <v>0</v>
      </c>
    </row>
    <row r="40" spans="1:11" x14ac:dyDescent="0.2">
      <c r="A40" s="186">
        <v>36</v>
      </c>
      <c r="B40" s="186" t="s">
        <v>76</v>
      </c>
      <c r="C40" s="187">
        <f t="shared" si="17"/>
        <v>0</v>
      </c>
      <c r="D40" s="187">
        <f>'Page 1.5'!D40+'Page 1.6'!D40</f>
        <v>0</v>
      </c>
      <c r="E40" s="187">
        <f>'Page 1.5'!E40+'Page 1.6'!E40</f>
        <v>0</v>
      </c>
      <c r="F40" s="187">
        <f>'Page 1.5'!F40+'Page 1.6'!F40</f>
        <v>0</v>
      </c>
      <c r="G40" s="187">
        <f>'Page 1.5'!G40+'Page 1.6'!G40</f>
        <v>0</v>
      </c>
      <c r="H40" s="187">
        <f>'Page 1.5'!H40+'Page 1.6'!H40</f>
        <v>0</v>
      </c>
      <c r="I40" s="187">
        <f>'Page 1.5'!I40+'Page 1.6'!I40</f>
        <v>0</v>
      </c>
      <c r="J40" s="187">
        <f>'Page 1.5'!J40+'Page 1.6'!J40</f>
        <v>0</v>
      </c>
      <c r="K40" s="187">
        <f>'Page 1.5'!K40+'Page 1.6'!K40</f>
        <v>0</v>
      </c>
    </row>
    <row r="41" spans="1:11" x14ac:dyDescent="0.2">
      <c r="A41" s="186">
        <v>37</v>
      </c>
      <c r="B41" s="186" t="s">
        <v>77</v>
      </c>
      <c r="C41" s="187">
        <f t="shared" si="17"/>
        <v>0</v>
      </c>
      <c r="D41" s="187">
        <f>'Page 1.5'!D41+'Page 1.6'!D41</f>
        <v>0</v>
      </c>
      <c r="E41" s="187">
        <f>'Page 1.5'!E41+'Page 1.6'!E41</f>
        <v>0</v>
      </c>
      <c r="F41" s="187">
        <f>'Page 1.5'!F41+'Page 1.6'!F41</f>
        <v>0</v>
      </c>
      <c r="G41" s="187">
        <f>'Page 1.5'!G41+'Page 1.6'!G41</f>
        <v>0</v>
      </c>
      <c r="H41" s="187">
        <f>'Page 1.5'!H41+'Page 1.6'!H41</f>
        <v>0</v>
      </c>
      <c r="I41" s="187">
        <f>'Page 1.5'!I41+'Page 1.6'!I41</f>
        <v>0</v>
      </c>
      <c r="J41" s="187">
        <f>'Page 1.5'!J41+'Page 1.6'!J41</f>
        <v>0</v>
      </c>
      <c r="K41" s="187">
        <f>'Page 1.5'!K41+'Page 1.6'!K41</f>
        <v>0</v>
      </c>
    </row>
    <row r="42" spans="1:11" x14ac:dyDescent="0.2">
      <c r="A42" s="186">
        <v>38</v>
      </c>
      <c r="B42" s="186" t="s">
        <v>78</v>
      </c>
      <c r="C42" s="187">
        <f t="shared" si="17"/>
        <v>-3284761.1438008333</v>
      </c>
      <c r="D42" s="187">
        <f>'Page 1.5'!D42+'Page 1.6'!D42</f>
        <v>0</v>
      </c>
      <c r="E42" s="187">
        <f>'Page 1.5'!E42+'Page 1.6'!E42</f>
        <v>0</v>
      </c>
      <c r="F42" s="187">
        <f>'Page 1.5'!F42+'Page 1.6'!F42</f>
        <v>0</v>
      </c>
      <c r="G42" s="187">
        <f>'Page 1.5'!G42+'Page 1.6'!G42</f>
        <v>0</v>
      </c>
      <c r="H42" s="187">
        <f>'Page 1.5'!H42+'Page 1.6'!H42</f>
        <v>0</v>
      </c>
      <c r="I42" s="187">
        <f>'Page 1.5'!I42+'Page 1.6'!I42</f>
        <v>-3284761.1438008333</v>
      </c>
      <c r="J42" s="187">
        <f>'Page 1.5'!J42+'Page 1.6'!J42</f>
        <v>0</v>
      </c>
      <c r="K42" s="187">
        <f>'Page 1.5'!K42+'Page 1.6'!K42</f>
        <v>0</v>
      </c>
    </row>
    <row r="43" spans="1:11" x14ac:dyDescent="0.2">
      <c r="A43" s="186">
        <v>39</v>
      </c>
      <c r="B43" s="186" t="s">
        <v>79</v>
      </c>
      <c r="C43" s="187">
        <f t="shared" si="17"/>
        <v>-9196314.6827737149</v>
      </c>
      <c r="D43" s="187">
        <f>'Page 1.5'!D43+'Page 1.6'!D43</f>
        <v>0</v>
      </c>
      <c r="E43" s="187">
        <f>'Page 1.5'!E43+'Page 1.6'!E43</f>
        <v>0</v>
      </c>
      <c r="F43" s="187">
        <f>'Page 1.5'!F43+'Page 1.6'!F43</f>
        <v>0</v>
      </c>
      <c r="G43" s="187">
        <f>'Page 1.5'!G43+'Page 1.6'!G43</f>
        <v>0</v>
      </c>
      <c r="H43" s="187">
        <f>'Page 1.5'!H43+'Page 1.6'!H43</f>
        <v>0</v>
      </c>
      <c r="I43" s="187">
        <f>'Page 1.5'!I43+'Page 1.6'!I43</f>
        <v>-9196314.6827737149</v>
      </c>
      <c r="J43" s="187">
        <f>'Page 1.5'!J43+'Page 1.6'!J43</f>
        <v>0</v>
      </c>
      <c r="K43" s="187">
        <f>'Page 1.5'!K43+'Page 1.6'!K43</f>
        <v>0</v>
      </c>
    </row>
    <row r="44" spans="1:11" x14ac:dyDescent="0.2">
      <c r="A44" s="186">
        <v>40</v>
      </c>
      <c r="B44" s="186" t="s">
        <v>80</v>
      </c>
      <c r="C44" s="187">
        <f t="shared" si="17"/>
        <v>-12260466.638721503</v>
      </c>
      <c r="D44" s="187">
        <f>'Page 1.5'!D44+'Page 1.6'!D44</f>
        <v>0</v>
      </c>
      <c r="E44" s="187">
        <f>'Page 1.5'!E44+'Page 1.6'!E44</f>
        <v>0</v>
      </c>
      <c r="F44" s="187">
        <f>'Page 1.5'!F44+'Page 1.6'!F44</f>
        <v>0</v>
      </c>
      <c r="G44" s="187">
        <f>'Page 1.5'!G44+'Page 1.6'!G44</f>
        <v>0</v>
      </c>
      <c r="H44" s="187">
        <f>'Page 1.5'!H44+'Page 1.6'!H44</f>
        <v>0</v>
      </c>
      <c r="I44" s="187">
        <f>'Page 1.5'!I44+'Page 1.6'!I44</f>
        <v>-12260466.638721503</v>
      </c>
      <c r="J44" s="187">
        <f>'Page 1.5'!J44+'Page 1.6'!J44</f>
        <v>0</v>
      </c>
      <c r="K44" s="187">
        <f>'Page 1.5'!K44+'Page 1.6'!K44</f>
        <v>0</v>
      </c>
    </row>
    <row r="45" spans="1:11" x14ac:dyDescent="0.2">
      <c r="A45" s="186">
        <v>41</v>
      </c>
      <c r="B45" s="186" t="s">
        <v>81</v>
      </c>
      <c r="C45" s="187">
        <f t="shared" si="17"/>
        <v>27126509.002465546</v>
      </c>
      <c r="D45" s="187">
        <f>'Page 1.5'!D45+'Page 1.6'!D45</f>
        <v>0</v>
      </c>
      <c r="E45" s="187">
        <f>'Page 1.5'!E45+'Page 1.6'!E45</f>
        <v>0</v>
      </c>
      <c r="F45" s="187">
        <f>'Page 1.5'!F45+'Page 1.6'!F45</f>
        <v>0</v>
      </c>
      <c r="G45" s="187">
        <f>'Page 1.5'!G45+'Page 1.6'!G45</f>
        <v>0</v>
      </c>
      <c r="H45" s="187">
        <f>'Page 1.5'!H45+'Page 1.6'!H45</f>
        <v>0</v>
      </c>
      <c r="I45" s="187">
        <f>'Page 1.5'!I45+'Page 1.6'!I45</f>
        <v>27126509.002465546</v>
      </c>
      <c r="J45" s="187">
        <f>'Page 1.5'!J45+'Page 1.6'!J45</f>
        <v>0</v>
      </c>
      <c r="K45" s="187">
        <f>'Page 1.5'!K45+'Page 1.6'!K45</f>
        <v>0</v>
      </c>
    </row>
    <row r="46" spans="1:11" x14ac:dyDescent="0.2">
      <c r="A46" s="186">
        <v>42</v>
      </c>
      <c r="B46" s="186" t="s">
        <v>160</v>
      </c>
      <c r="C46" s="187">
        <f t="shared" si="17"/>
        <v>0</v>
      </c>
      <c r="D46" s="187">
        <f>'Page 1.5'!D46+'Page 1.6'!D46</f>
        <v>0</v>
      </c>
      <c r="E46" s="187">
        <f>'Page 1.5'!E46+'Page 1.6'!E46</f>
        <v>0</v>
      </c>
      <c r="F46" s="187">
        <f>'Page 1.5'!F46+'Page 1.6'!F46</f>
        <v>0</v>
      </c>
      <c r="G46" s="187">
        <f>'Page 1.5'!G46+'Page 1.6'!G46</f>
        <v>0</v>
      </c>
      <c r="H46" s="187">
        <f>'Page 1.5'!H46+'Page 1.6'!H46</f>
        <v>0</v>
      </c>
      <c r="I46" s="187">
        <f>'Page 1.5'!I46+'Page 1.6'!I46</f>
        <v>0</v>
      </c>
      <c r="J46" s="187">
        <f>'Page 1.5'!J46+'Page 1.6'!J46</f>
        <v>0</v>
      </c>
      <c r="K46" s="187">
        <f>'Page 1.5'!K46+'Page 1.6'!K46</f>
        <v>0</v>
      </c>
    </row>
    <row r="47" spans="1:11" x14ac:dyDescent="0.2">
      <c r="A47" s="186">
        <v>43</v>
      </c>
      <c r="B47" s="186" t="s">
        <v>83</v>
      </c>
      <c r="C47" s="187">
        <f t="shared" si="17"/>
        <v>0</v>
      </c>
      <c r="D47" s="189">
        <f>'Page 1.5'!D47+'Page 1.6'!D47</f>
        <v>0</v>
      </c>
      <c r="E47" s="187">
        <f>'Page 1.5'!E47+'Page 1.6'!E47</f>
        <v>0</v>
      </c>
      <c r="F47" s="187">
        <f>'Page 1.5'!F47+'Page 1.6'!F47</f>
        <v>0</v>
      </c>
      <c r="G47" s="187">
        <f>'Page 1.5'!G47+'Page 1.6'!G47</f>
        <v>0</v>
      </c>
      <c r="H47" s="187">
        <f>'Page 1.5'!H47+'Page 1.6'!H47</f>
        <v>0</v>
      </c>
      <c r="I47" s="187">
        <f>'Page 1.5'!I47+'Page 1.6'!I47</f>
        <v>0</v>
      </c>
      <c r="J47" s="187">
        <f>'Page 1.5'!J47+'Page 1.6'!J47</f>
        <v>0</v>
      </c>
      <c r="K47" s="187">
        <f>'Page 1.5'!K47+'Page 1.6'!K47</f>
        <v>0</v>
      </c>
    </row>
    <row r="48" spans="1:11" x14ac:dyDescent="0.2">
      <c r="A48" s="186">
        <v>44</v>
      </c>
      <c r="B48" s="186" t="s">
        <v>84</v>
      </c>
      <c r="C48" s="192">
        <f>SUM(C37:C47)</f>
        <v>137812141.70557466</v>
      </c>
      <c r="D48" s="192">
        <f t="shared" ref="D48:I48" si="18">SUM(D37:D47)</f>
        <v>0</v>
      </c>
      <c r="E48" s="192">
        <f t="shared" si="18"/>
        <v>0</v>
      </c>
      <c r="F48" s="192">
        <f t="shared" si="18"/>
        <v>0</v>
      </c>
      <c r="G48" s="192">
        <f t="shared" si="18"/>
        <v>0</v>
      </c>
      <c r="H48" s="192">
        <f t="shared" si="18"/>
        <v>0</v>
      </c>
      <c r="I48" s="192">
        <f t="shared" si="18"/>
        <v>166304136.71864533</v>
      </c>
      <c r="J48" s="192">
        <f t="shared" ref="J48:K48" si="19">SUM(J37:J47)</f>
        <v>192349.41342615057</v>
      </c>
      <c r="K48" s="192">
        <f t="shared" si="19"/>
        <v>-28684344.426496804</v>
      </c>
    </row>
    <row r="49" spans="1:13" x14ac:dyDescent="0.2">
      <c r="A49" s="186">
        <v>45</v>
      </c>
      <c r="B49" s="186"/>
    </row>
    <row r="50" spans="1:13" x14ac:dyDescent="0.2">
      <c r="A50" s="186">
        <v>46</v>
      </c>
      <c r="B50" s="186" t="s">
        <v>161</v>
      </c>
    </row>
    <row r="51" spans="1:13" x14ac:dyDescent="0.2">
      <c r="A51" s="186">
        <v>47</v>
      </c>
      <c r="B51" s="186" t="s">
        <v>86</v>
      </c>
      <c r="C51" s="187">
        <f t="shared" ref="C51:C57" si="20">SUM(D51:K51)</f>
        <v>-255406119.2540015</v>
      </c>
      <c r="D51" s="187">
        <f>'Page 1.5'!D51+'Page 1.6'!D51</f>
        <v>0</v>
      </c>
      <c r="E51" s="187">
        <f>'Page 1.5'!E51+'Page 1.6'!E51</f>
        <v>0</v>
      </c>
      <c r="F51" s="187">
        <f>'Page 1.5'!F51+'Page 1.6'!F51</f>
        <v>0</v>
      </c>
      <c r="G51" s="187">
        <f>'Page 1.5'!G51+'Page 1.6'!G51</f>
        <v>-106560177.01764593</v>
      </c>
      <c r="H51" s="187">
        <f>'Page 1.5'!H51+'Page 1.6'!H51</f>
        <v>0</v>
      </c>
      <c r="I51" s="187">
        <f>'Page 1.5'!I51+'Page 1.6'!I51</f>
        <v>3786568.4281471842</v>
      </c>
      <c r="J51" s="187">
        <f>'Page 1.5'!J51+'Page 1.6'!J51</f>
        <v>-195149.93985409159</v>
      </c>
      <c r="K51" s="187">
        <f>'Page 1.5'!K51+'Page 1.6'!K51</f>
        <v>-152437360.72464868</v>
      </c>
    </row>
    <row r="52" spans="1:13" x14ac:dyDescent="0.2">
      <c r="A52" s="186">
        <v>48</v>
      </c>
      <c r="B52" s="186" t="s">
        <v>87</v>
      </c>
      <c r="C52" s="187">
        <f t="shared" si="20"/>
        <v>-9036196.9699134193</v>
      </c>
      <c r="D52" s="187">
        <f>'Page 1.5'!D52+'Page 1.6'!D52</f>
        <v>0</v>
      </c>
      <c r="E52" s="187">
        <f>'Page 1.5'!E52+'Page 1.6'!E52</f>
        <v>0</v>
      </c>
      <c r="F52" s="187">
        <f>'Page 1.5'!F52+'Page 1.6'!F52</f>
        <v>0</v>
      </c>
      <c r="G52" s="187">
        <f>'Page 1.5'!G52+'Page 1.6'!G52</f>
        <v>-9036196.9699134193</v>
      </c>
      <c r="H52" s="187">
        <f>'Page 1.5'!H52+'Page 1.6'!H52</f>
        <v>0</v>
      </c>
      <c r="I52" s="187">
        <f>'Page 1.5'!I52+'Page 1.6'!I52</f>
        <v>0</v>
      </c>
      <c r="J52" s="187">
        <f>'Page 1.5'!J52+'Page 1.6'!J52</f>
        <v>0</v>
      </c>
      <c r="K52" s="187">
        <f>'Page 1.5'!K52+'Page 1.6'!K52</f>
        <v>0</v>
      </c>
    </row>
    <row r="53" spans="1:13" x14ac:dyDescent="0.2">
      <c r="A53" s="186">
        <v>49</v>
      </c>
      <c r="B53" s="186" t="s">
        <v>88</v>
      </c>
      <c r="C53" s="187">
        <f t="shared" si="20"/>
        <v>-3079055.2706345804</v>
      </c>
      <c r="D53" s="187">
        <f>'Page 1.5'!D53+'Page 1.6'!D53</f>
        <v>0</v>
      </c>
      <c r="E53" s="187">
        <f>'Page 1.5'!E53+'Page 1.6'!E53</f>
        <v>-1233408.0920866497</v>
      </c>
      <c r="F53" s="187">
        <f>'Page 1.5'!F53+'Page 1.6'!F53</f>
        <v>0</v>
      </c>
      <c r="G53" s="187">
        <f>'Page 1.5'!G53+'Page 1.6'!G53</f>
        <v>4379287.4542611726</v>
      </c>
      <c r="H53" s="187">
        <f>'Page 1.5'!H53+'Page 1.6'!H53</f>
        <v>-17626245.990426987</v>
      </c>
      <c r="I53" s="187">
        <f>'Page 1.5'!I53+'Page 1.6'!I53</f>
        <v>-6168689.8377324194</v>
      </c>
      <c r="J53" s="187">
        <f>'Page 1.5'!J53+'Page 1.6'!J53</f>
        <v>0</v>
      </c>
      <c r="K53" s="187">
        <f>'Page 1.5'!K53+'Page 1.6'!K53</f>
        <v>17570001.195350304</v>
      </c>
    </row>
    <row r="54" spans="1:13" x14ac:dyDescent="0.2">
      <c r="A54" s="186">
        <v>50</v>
      </c>
      <c r="B54" s="186" t="s">
        <v>89</v>
      </c>
      <c r="C54" s="187">
        <f t="shared" si="20"/>
        <v>0</v>
      </c>
      <c r="D54" s="187">
        <f>'Page 1.5'!D54+'Page 1.6'!D54</f>
        <v>0</v>
      </c>
      <c r="E54" s="187">
        <f>'Page 1.5'!E54+'Page 1.6'!E54</f>
        <v>0</v>
      </c>
      <c r="F54" s="187">
        <f>'Page 1.5'!F54+'Page 1.6'!F54</f>
        <v>0</v>
      </c>
      <c r="G54" s="187">
        <f>'Page 1.5'!G54+'Page 1.6'!G54</f>
        <v>0</v>
      </c>
      <c r="H54" s="187">
        <f>'Page 1.5'!H54+'Page 1.6'!H54</f>
        <v>0</v>
      </c>
      <c r="I54" s="187">
        <f>'Page 1.5'!I54+'Page 1.6'!I54</f>
        <v>0</v>
      </c>
      <c r="J54" s="187">
        <f>'Page 1.5'!J54+'Page 1.6'!J54</f>
        <v>0</v>
      </c>
      <c r="K54" s="187">
        <f>'Page 1.5'!K54+'Page 1.6'!K54</f>
        <v>0</v>
      </c>
    </row>
    <row r="55" spans="1:13" x14ac:dyDescent="0.2">
      <c r="A55" s="186">
        <v>51</v>
      </c>
      <c r="B55" s="186" t="s">
        <v>90</v>
      </c>
      <c r="C55" s="187">
        <f t="shared" si="20"/>
        <v>-1733115.077035418</v>
      </c>
      <c r="D55" s="187">
        <f>'Page 1.5'!D55+'Page 1.6'!D55</f>
        <v>0</v>
      </c>
      <c r="E55" s="187">
        <f>'Page 1.5'!E55+'Page 1.6'!E55</f>
        <v>0</v>
      </c>
      <c r="F55" s="187">
        <f>'Page 1.5'!F55+'Page 1.6'!F55</f>
        <v>0</v>
      </c>
      <c r="G55" s="187">
        <f>'Page 1.5'!G55+'Page 1.6'!G55</f>
        <v>0</v>
      </c>
      <c r="H55" s="187">
        <f>'Page 1.5'!H55+'Page 1.6'!H55</f>
        <v>0</v>
      </c>
      <c r="I55" s="187">
        <f>'Page 1.5'!I55+'Page 1.6'!I55</f>
        <v>-1733115.077035418</v>
      </c>
      <c r="J55" s="187">
        <f>'Page 1.5'!J55+'Page 1.6'!J55</f>
        <v>0</v>
      </c>
      <c r="K55" s="187">
        <f>'Page 1.5'!K55+'Page 1.6'!K55</f>
        <v>0</v>
      </c>
    </row>
    <row r="56" spans="1:13" x14ac:dyDescent="0.2">
      <c r="A56" s="186">
        <v>52</v>
      </c>
      <c r="B56" s="186" t="s">
        <v>91</v>
      </c>
      <c r="C56" s="187">
        <f t="shared" si="20"/>
        <v>-408390.63249999989</v>
      </c>
      <c r="D56" s="187">
        <f>'Page 1.5'!D56+'Page 1.6'!D56</f>
        <v>0</v>
      </c>
      <c r="E56" s="187">
        <f>'Page 1.5'!E56+'Page 1.6'!E56</f>
        <v>0</v>
      </c>
      <c r="F56" s="187">
        <f>'Page 1.5'!F56+'Page 1.6'!F56</f>
        <v>0</v>
      </c>
      <c r="G56" s="187">
        <f>'Page 1.5'!G56+'Page 1.6'!G56</f>
        <v>0</v>
      </c>
      <c r="H56" s="187">
        <f>'Page 1.5'!H56+'Page 1.6'!H56</f>
        <v>0</v>
      </c>
      <c r="I56" s="187">
        <f>'Page 1.5'!I56+'Page 1.6'!I56</f>
        <v>-408390.63249999989</v>
      </c>
      <c r="J56" s="187">
        <f>'Page 1.5'!J56+'Page 1.6'!J56</f>
        <v>0</v>
      </c>
      <c r="K56" s="187">
        <f>'Page 1.5'!K56+'Page 1.6'!K56</f>
        <v>0</v>
      </c>
    </row>
    <row r="57" spans="1:13" x14ac:dyDescent="0.2">
      <c r="A57" s="186">
        <v>53</v>
      </c>
      <c r="B57" s="186" t="s">
        <v>162</v>
      </c>
      <c r="C57" s="187">
        <f t="shared" si="20"/>
        <v>81877534.973712951</v>
      </c>
      <c r="D57" s="187">
        <f>'Page 1.5'!D57+'Page 1.6'!D57</f>
        <v>0</v>
      </c>
      <c r="E57" s="187">
        <f>'Page 1.5'!E57+'Page 1.6'!E57</f>
        <v>0</v>
      </c>
      <c r="F57" s="187">
        <f>'Page 1.5'!F57+'Page 1.6'!F57</f>
        <v>0</v>
      </c>
      <c r="G57" s="187">
        <f>'Page 1.5'!G57+'Page 1.6'!G57</f>
        <v>-16478622.876949267</v>
      </c>
      <c r="H57" s="187">
        <f>'Page 1.5'!H57+'Page 1.6'!H57</f>
        <v>53324397</v>
      </c>
      <c r="I57" s="187">
        <f>'Page 1.5'!I57+'Page 1.6'!I57</f>
        <v>45031760.850662217</v>
      </c>
      <c r="J57" s="187">
        <f>'Page 1.5'!J57+'Page 1.6'!J57</f>
        <v>0</v>
      </c>
      <c r="K57" s="187">
        <f>'Page 1.5'!K57+'Page 1.6'!K57</f>
        <v>0</v>
      </c>
    </row>
    <row r="58" spans="1:13" x14ac:dyDescent="0.2">
      <c r="A58" s="186">
        <v>54</v>
      </c>
      <c r="B58" s="186"/>
      <c r="F58" s="187"/>
      <c r="G58" s="187"/>
    </row>
    <row r="59" spans="1:13" x14ac:dyDescent="0.2">
      <c r="A59" s="186">
        <v>55</v>
      </c>
      <c r="B59" s="186" t="s">
        <v>163</v>
      </c>
      <c r="C59" s="192">
        <f>SUM(C51:C58)</f>
        <v>-187785342.23037198</v>
      </c>
      <c r="D59" s="192">
        <f t="shared" ref="D59:I59" si="21">SUM(D51:D58)</f>
        <v>0</v>
      </c>
      <c r="E59" s="192">
        <f t="shared" si="21"/>
        <v>-1233408.0920866497</v>
      </c>
      <c r="F59" s="192">
        <f t="shared" si="21"/>
        <v>0</v>
      </c>
      <c r="G59" s="192">
        <f t="shared" si="21"/>
        <v>-127695709.41024745</v>
      </c>
      <c r="H59" s="192">
        <f t="shared" si="21"/>
        <v>35698151.009573013</v>
      </c>
      <c r="I59" s="192">
        <f t="shared" si="21"/>
        <v>40508133.731541559</v>
      </c>
      <c r="J59" s="192">
        <f t="shared" ref="J59:K59" si="22">SUM(J51:J58)</f>
        <v>-195149.93985409159</v>
      </c>
      <c r="K59" s="192">
        <f t="shared" si="22"/>
        <v>-134867359.52929837</v>
      </c>
    </row>
    <row r="60" spans="1:13" x14ac:dyDescent="0.2">
      <c r="A60" s="186">
        <v>56</v>
      </c>
      <c r="B60" s="186"/>
    </row>
    <row r="61" spans="1:13" ht="13.5" thickBot="1" x14ac:dyDescent="0.25">
      <c r="A61" s="186">
        <v>57</v>
      </c>
      <c r="B61" s="186" t="s">
        <v>94</v>
      </c>
      <c r="C61" s="193">
        <f>C48+C59</f>
        <v>-49973200.52479732</v>
      </c>
      <c r="D61" s="193">
        <f t="shared" ref="D61:I61" si="23">D48+D59</f>
        <v>0</v>
      </c>
      <c r="E61" s="193">
        <f t="shared" si="23"/>
        <v>-1233408.0920866497</v>
      </c>
      <c r="F61" s="193">
        <f t="shared" si="23"/>
        <v>0</v>
      </c>
      <c r="G61" s="193">
        <f t="shared" si="23"/>
        <v>-127695709.41024745</v>
      </c>
      <c r="H61" s="193">
        <f t="shared" si="23"/>
        <v>35698151.009573013</v>
      </c>
      <c r="I61" s="193">
        <f t="shared" si="23"/>
        <v>206812270.45018691</v>
      </c>
      <c r="J61" s="193">
        <f t="shared" ref="J61:K61" si="24">J48+J59</f>
        <v>-2800.5264279410185</v>
      </c>
      <c r="K61" s="193">
        <f t="shared" si="24"/>
        <v>-163551703.95579517</v>
      </c>
    </row>
    <row r="62" spans="1:13" ht="13.5" thickTop="1" x14ac:dyDescent="0.2">
      <c r="A62" s="186">
        <v>58</v>
      </c>
      <c r="B62" s="186"/>
    </row>
    <row r="63" spans="1:13" x14ac:dyDescent="0.2">
      <c r="A63" s="186">
        <v>59</v>
      </c>
      <c r="B63" s="194" t="s">
        <v>164</v>
      </c>
      <c r="C63" s="195">
        <f t="shared" ref="C63:I63" si="25">(((C34+Unadj_Op_revenue)/(C61+Unadj_rate_base))-Weighted_cost_debt-Weighted_cost_pref)/Percent_common-Unadj_ROE</f>
        <v>-2.5522121294949685E-3</v>
      </c>
      <c r="D63" s="195">
        <f t="shared" si="25"/>
        <v>4.4034303408934439E-2</v>
      </c>
      <c r="E63" s="195">
        <f t="shared" si="25"/>
        <v>-7.4982295488754402E-3</v>
      </c>
      <c r="F63" s="195">
        <f t="shared" si="25"/>
        <v>-4.001160027843649E-2</v>
      </c>
      <c r="G63" s="195">
        <f t="shared" si="25"/>
        <v>2.9083962700457947E-2</v>
      </c>
      <c r="H63" s="195">
        <f t="shared" si="25"/>
        <v>-5.6025129082821618E-3</v>
      </c>
      <c r="I63" s="195">
        <f t="shared" si="25"/>
        <v>-2.5201768622049925E-2</v>
      </c>
      <c r="J63" s="195">
        <f t="shared" ref="J63:K63" si="26">(((J34+Unadj_Op_revenue)/(J61+Unadj_rate_base))-Weighted_cost_debt-Weighted_cost_pref)/Percent_common-Unadj_ROE</f>
        <v>-1.4284427314514292E-3</v>
      </c>
      <c r="K63" s="195">
        <f t="shared" si="26"/>
        <v>1.4114390394147025E-2</v>
      </c>
      <c r="M63" s="250"/>
    </row>
    <row r="64" spans="1:13" x14ac:dyDescent="0.2">
      <c r="A64" s="186">
        <v>60</v>
      </c>
      <c r="B64" s="196" t="s">
        <v>42</v>
      </c>
      <c r="C64" s="197">
        <f t="shared" ref="C64:I64" si="27">-(C34-(C61*Overall_ROR))/gross_up_factor</f>
        <v>786841.83328124159</v>
      </c>
      <c r="D64" s="197">
        <f t="shared" si="27"/>
        <v>-34545264.347281739</v>
      </c>
      <c r="E64" s="197">
        <f t="shared" si="27"/>
        <v>5848263.5754221901</v>
      </c>
      <c r="F64" s="197">
        <f t="shared" si="27"/>
        <v>31389421.463992383</v>
      </c>
      <c r="G64" s="197">
        <f t="shared" si="27"/>
        <v>-23167341.486786719</v>
      </c>
      <c r="H64" s="197">
        <f t="shared" si="27"/>
        <v>5337681.5987864146</v>
      </c>
      <c r="I64" s="197">
        <f t="shared" si="27"/>
        <v>27995204.749322969</v>
      </c>
      <c r="J64" s="197">
        <f t="shared" ref="J64:K64" si="28">-(J34-(J61*Overall_ROR))/gross_up_factor</f>
        <v>1120558.8194699404</v>
      </c>
      <c r="K64" s="197">
        <f t="shared" si="28"/>
        <v>-13191682.539644193</v>
      </c>
    </row>
    <row r="65" spans="1:11" x14ac:dyDescent="0.2">
      <c r="A65" s="186">
        <v>61</v>
      </c>
      <c r="B65" s="186"/>
    </row>
    <row r="66" spans="1:11" x14ac:dyDescent="0.2">
      <c r="A66" s="186">
        <v>62</v>
      </c>
      <c r="B66" s="186" t="s">
        <v>96</v>
      </c>
    </row>
    <row r="67" spans="1:11" x14ac:dyDescent="0.2">
      <c r="A67" s="186">
        <v>63</v>
      </c>
      <c r="B67" s="186" t="s">
        <v>97</v>
      </c>
      <c r="C67" s="190">
        <f>SUM(D67:K67)</f>
        <v>-7308151.3547415733</v>
      </c>
      <c r="D67" s="190">
        <f t="shared" ref="D67:I67" si="29">D10-D23-D24-D25-D26-D31</f>
        <v>32875722.331105515</v>
      </c>
      <c r="E67" s="190">
        <f t="shared" si="29"/>
        <v>-5630476.0973531138</v>
      </c>
      <c r="F67" s="190">
        <f t="shared" si="29"/>
        <v>-29872398.538049057</v>
      </c>
      <c r="G67" s="190">
        <f t="shared" si="29"/>
        <v>9670939.4199008308</v>
      </c>
      <c r="H67" s="190">
        <f t="shared" si="29"/>
        <v>-2350182.6170963505</v>
      </c>
      <c r="I67" s="190">
        <f t="shared" si="29"/>
        <v>-7711833.3596891537</v>
      </c>
      <c r="J67" s="190">
        <f t="shared" ref="J67:K67" si="30">J10-J23-J24-J25-J26-J31</f>
        <v>-1108014.9153842642</v>
      </c>
      <c r="K67" s="190">
        <f t="shared" si="30"/>
        <v>-3181907.5781759783</v>
      </c>
    </row>
    <row r="68" spans="1:11" x14ac:dyDescent="0.2">
      <c r="A68" s="186">
        <v>64</v>
      </c>
      <c r="B68" s="186" t="s">
        <v>98</v>
      </c>
      <c r="C68" s="190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f>'Page 1.5'!J68+'Page 1.6'!J68</f>
        <v>0</v>
      </c>
      <c r="K68" s="3">
        <f>'Page 1.5'!K68+'Page 1.6'!K68</f>
        <v>0</v>
      </c>
    </row>
    <row r="69" spans="1:11" x14ac:dyDescent="0.2">
      <c r="A69" s="186">
        <v>65</v>
      </c>
      <c r="B69" s="186" t="s">
        <v>99</v>
      </c>
      <c r="C69" s="190">
        <f>SUM(D69:K69)</f>
        <v>0</v>
      </c>
      <c r="D69" s="190">
        <f>'Page 1.5'!D69+'Page 1.6'!D69</f>
        <v>0</v>
      </c>
      <c r="E69" s="190">
        <f>'Page 1.5'!E69+'Page 1.6'!E69</f>
        <v>0</v>
      </c>
      <c r="F69" s="190">
        <f>'Page 1.5'!F69+'Page 1.6'!F69</f>
        <v>0</v>
      </c>
      <c r="G69" s="190">
        <f>'Page 1.5'!G69+'Page 1.6'!G69</f>
        <v>0</v>
      </c>
      <c r="H69" s="190">
        <f>'Page 1.5'!H69+'Page 1.6'!H69</f>
        <v>0</v>
      </c>
      <c r="I69" s="190">
        <f>'Page 1.5'!I69+'Page 1.6'!I69</f>
        <v>0</v>
      </c>
      <c r="J69" s="190">
        <f>'Page 1.5'!J69+'Page 1.6'!J69</f>
        <v>0</v>
      </c>
      <c r="K69" s="190">
        <f>'Page 1.5'!K69+'Page 1.6'!K69</f>
        <v>0</v>
      </c>
    </row>
    <row r="70" spans="1:11" x14ac:dyDescent="0.2">
      <c r="A70" s="186">
        <v>66</v>
      </c>
      <c r="B70" s="186" t="s">
        <v>100</v>
      </c>
      <c r="C70" s="190">
        <f>SUM(D70:K70)</f>
        <v>-2372504.2984719351</v>
      </c>
      <c r="D70" s="190">
        <f>'Page 1.5'!D70+'Page 1.6'!D70</f>
        <v>0</v>
      </c>
      <c r="E70" s="190">
        <f>'Page 1.5'!E70+'Page 1.6'!E70</f>
        <v>0</v>
      </c>
      <c r="F70" s="190">
        <f>'Page 1.5'!F70+'Page 1.6'!F70</f>
        <v>0</v>
      </c>
      <c r="G70" s="190">
        <f>'Page 1.5'!G70+'Page 1.6'!G70</f>
        <v>0</v>
      </c>
      <c r="H70" s="190">
        <f>'Page 1.5'!H70+'Page 1.6'!H70</f>
        <v>-2372504.2984719351</v>
      </c>
      <c r="I70" s="190">
        <f>'Page 1.5'!I70+'Page 1.6'!I70</f>
        <v>0</v>
      </c>
      <c r="J70" s="190">
        <f>'Page 1.5'!J70+'Page 1.6'!J70</f>
        <v>0</v>
      </c>
      <c r="K70" s="190">
        <f>'Page 1.5'!K70+'Page 1.6'!K70</f>
        <v>0</v>
      </c>
    </row>
    <row r="71" spans="1:11" x14ac:dyDescent="0.2">
      <c r="A71" s="186">
        <v>67</v>
      </c>
      <c r="B71" s="191" t="s">
        <v>101</v>
      </c>
      <c r="C71" s="190">
        <f>SUM(D71:K71)</f>
        <v>27263376.137064036</v>
      </c>
      <c r="D71" s="190">
        <f>'Page 1.5'!D71+'Page 1.6'!D71</f>
        <v>0</v>
      </c>
      <c r="E71" s="190">
        <f>'Page 1.5'!E71+'Page 1.6'!E71</f>
        <v>-770947.16000000015</v>
      </c>
      <c r="F71" s="190">
        <f>'Page 1.5'!F71+'Page 1.6'!F71</f>
        <v>0</v>
      </c>
      <c r="G71" s="190">
        <f>'Page 1.5'!G71+'Page 1.6'!G71</f>
        <v>2028530.9125303458</v>
      </c>
      <c r="H71" s="190">
        <f>'Page 1.5'!H71+'Page 1.6'!H71</f>
        <v>5421811.4518899042</v>
      </c>
      <c r="I71" s="190">
        <f>'Page 1.5'!I71+'Page 1.6'!I71</f>
        <v>17129662.983612403</v>
      </c>
      <c r="J71" s="190">
        <f>'Page 1.5'!J71+'Page 1.6'!J71</f>
        <v>0</v>
      </c>
      <c r="K71" s="190">
        <f>'Page 1.5'!K71+'Page 1.6'!K71</f>
        <v>3454317.9490313819</v>
      </c>
    </row>
    <row r="72" spans="1:11" x14ac:dyDescent="0.2">
      <c r="A72" s="186">
        <v>68</v>
      </c>
      <c r="B72" s="191" t="s">
        <v>102</v>
      </c>
      <c r="C72" s="198">
        <f>SUM(D72:K72)</f>
        <v>5988580.7817920549</v>
      </c>
      <c r="D72" s="198">
        <f>'Page 1.5'!D72+'Page 1.6'!D72</f>
        <v>0</v>
      </c>
      <c r="E72" s="198">
        <f>'Page 1.5'!E72+'Page 1.6'!E72</f>
        <v>414133.89288217115</v>
      </c>
      <c r="F72" s="198">
        <f>'Page 1.5'!F72+'Page 1.6'!F72</f>
        <v>0</v>
      </c>
      <c r="G72" s="198">
        <f>'Page 1.5'!G72+'Page 1.6'!G72</f>
        <v>0</v>
      </c>
      <c r="H72" s="198">
        <f>'Page 1.5'!H72+'Page 1.6'!H72</f>
        <v>6950739.3668227764</v>
      </c>
      <c r="I72" s="198">
        <f>'Page 1.5'!I72+'Page 1.6'!I72</f>
        <v>-4136322.5148429112</v>
      </c>
      <c r="J72" s="198">
        <f>'Page 1.5'!J72+'Page 1.6'!J72</f>
        <v>0</v>
      </c>
      <c r="K72" s="198">
        <f>'Page 1.5'!K72+'Page 1.6'!K72</f>
        <v>2760030.0369300186</v>
      </c>
    </row>
    <row r="73" spans="1:11" x14ac:dyDescent="0.2">
      <c r="A73" s="186">
        <v>69</v>
      </c>
      <c r="B73" s="191" t="s">
        <v>103</v>
      </c>
      <c r="C73" s="199">
        <f>SUM(D73:K73)</f>
        <v>16339148.299002346</v>
      </c>
      <c r="D73" s="199">
        <f>D67-D69-D70+D71-D72</f>
        <v>32875722.331105515</v>
      </c>
      <c r="E73" s="199">
        <f t="shared" ref="E73:I73" si="31">E67-E69-E70+E71-E72</f>
        <v>-6815557.1502352851</v>
      </c>
      <c r="F73" s="199">
        <f t="shared" si="31"/>
        <v>-29872398.538049057</v>
      </c>
      <c r="G73" s="199">
        <f t="shared" si="31"/>
        <v>11699470.332431177</v>
      </c>
      <c r="H73" s="199">
        <f t="shared" si="31"/>
        <v>-1506606.2335572876</v>
      </c>
      <c r="I73" s="199">
        <f t="shared" si="31"/>
        <v>13554152.13876616</v>
      </c>
      <c r="J73" s="199">
        <f t="shared" ref="J73:K73" si="32">J67-J69-J70+J71-J72</f>
        <v>-1108014.9153842642</v>
      </c>
      <c r="K73" s="199">
        <f t="shared" si="32"/>
        <v>-2487619.666074615</v>
      </c>
    </row>
    <row r="74" spans="1:11" x14ac:dyDescent="0.2">
      <c r="A74" s="186">
        <v>70</v>
      </c>
      <c r="B74" s="186"/>
      <c r="C74" s="200"/>
      <c r="D74" s="200"/>
      <c r="E74" s="200"/>
      <c r="F74" s="200"/>
      <c r="G74" s="200"/>
      <c r="H74" s="200"/>
      <c r="I74" s="200"/>
      <c r="J74" s="200"/>
      <c r="K74" s="200"/>
    </row>
    <row r="75" spans="1:11" x14ac:dyDescent="0.2">
      <c r="A75" s="186">
        <v>71</v>
      </c>
      <c r="B75" s="186" t="s">
        <v>104</v>
      </c>
      <c r="C75" s="190">
        <f>SUM(D75:K75)</f>
        <v>0</v>
      </c>
      <c r="D75" s="190">
        <f>C162</f>
        <v>0</v>
      </c>
      <c r="E75" s="190">
        <f>C277</f>
        <v>0</v>
      </c>
      <c r="F75" s="190">
        <f>C391</f>
        <v>0</v>
      </c>
      <c r="G75" s="190">
        <f>C505</f>
        <v>0</v>
      </c>
      <c r="H75" s="190">
        <f>C620</f>
        <v>0</v>
      </c>
      <c r="I75" s="190">
        <f>C735</f>
        <v>0</v>
      </c>
      <c r="J75" s="190">
        <f>D735</f>
        <v>0</v>
      </c>
      <c r="K75" s="190">
        <f>E735</f>
        <v>0</v>
      </c>
    </row>
    <row r="76" spans="1:11" x14ac:dyDescent="0.2">
      <c r="A76" s="186">
        <v>72</v>
      </c>
      <c r="B76" s="186" t="s">
        <v>105</v>
      </c>
      <c r="C76" s="190">
        <f>SUM(D76:K76)</f>
        <v>16339148.299002346</v>
      </c>
      <c r="D76" s="190">
        <f>D73-D75</f>
        <v>32875722.331105515</v>
      </c>
      <c r="E76" s="190">
        <f t="shared" ref="E76:I76" si="33">E73-E75</f>
        <v>-6815557.1502352851</v>
      </c>
      <c r="F76" s="190">
        <f t="shared" si="33"/>
        <v>-29872398.538049057</v>
      </c>
      <c r="G76" s="190">
        <f t="shared" si="33"/>
        <v>11699470.332431177</v>
      </c>
      <c r="H76" s="190">
        <f t="shared" si="33"/>
        <v>-1506606.2335572876</v>
      </c>
      <c r="I76" s="190">
        <f t="shared" si="33"/>
        <v>13554152.13876616</v>
      </c>
      <c r="J76" s="190">
        <f t="shared" ref="J76:K76" si="34">J73-J75</f>
        <v>-1108014.9153842642</v>
      </c>
      <c r="K76" s="190">
        <f t="shared" si="34"/>
        <v>-2487619.666074615</v>
      </c>
    </row>
    <row r="77" spans="1:11" x14ac:dyDescent="0.2">
      <c r="A77" s="186">
        <v>73</v>
      </c>
      <c r="B77" s="186"/>
    </row>
    <row r="78" spans="1:11" x14ac:dyDescent="0.2">
      <c r="A78" s="186">
        <v>74</v>
      </c>
      <c r="B78" s="186" t="s">
        <v>131</v>
      </c>
      <c r="C78" s="200">
        <f>SUM(D78:K78)</f>
        <v>3431221.1427904922</v>
      </c>
      <c r="D78" s="200">
        <f t="shared" ref="D78:J78" si="35">D76*0.21</f>
        <v>6903901.689532158</v>
      </c>
      <c r="E78" s="200">
        <f t="shared" si="35"/>
        <v>-1431267.0015494097</v>
      </c>
      <c r="F78" s="200">
        <f t="shared" si="35"/>
        <v>-6273203.6929903021</v>
      </c>
      <c r="G78" s="200">
        <f t="shared" si="35"/>
        <v>2456888.7698105471</v>
      </c>
      <c r="H78" s="200">
        <f t="shared" si="35"/>
        <v>-316387.3090470304</v>
      </c>
      <c r="I78" s="200">
        <f t="shared" si="35"/>
        <v>2846371.9491408938</v>
      </c>
      <c r="J78" s="200">
        <f t="shared" si="35"/>
        <v>-232683.13223069548</v>
      </c>
      <c r="K78" s="200">
        <f t="shared" ref="K78" si="36">K76*0.21</f>
        <v>-522400.12987566914</v>
      </c>
    </row>
    <row r="79" spans="1:11" x14ac:dyDescent="0.2">
      <c r="A79" s="186">
        <v>75</v>
      </c>
      <c r="B79" s="186" t="s">
        <v>130</v>
      </c>
      <c r="C79" s="200">
        <f>SUM(D79:K79)</f>
        <v>-6039117.7064277744</v>
      </c>
      <c r="D79" s="200">
        <f>'Page 1.5'!D79+'Page 1.6'!D79</f>
        <v>0</v>
      </c>
      <c r="E79" s="200">
        <f>'Page 1.5'!E79+'Page 1.6'!E79</f>
        <v>0</v>
      </c>
      <c r="F79" s="200">
        <f>'Page 1.5'!F79+'Page 1.6'!F79</f>
        <v>0</v>
      </c>
      <c r="G79" s="200">
        <f>'Page 1.5'!G79+'Page 1.6'!G79</f>
        <v>0</v>
      </c>
      <c r="H79" s="200">
        <f>'Page 1.5'!H79+'Page 1.6'!H79</f>
        <v>-6006457.2949366197</v>
      </c>
      <c r="I79" s="200">
        <f>'Page 1.5'!I79+'Page 1.6'!I79</f>
        <v>0</v>
      </c>
      <c r="J79" s="200">
        <f>'Page 1.5'!J79+'Page 1.6'!J79</f>
        <v>-32660.411491154693</v>
      </c>
      <c r="K79" s="200">
        <f>'Page 1.5'!K79+'Page 1.6'!K79</f>
        <v>0</v>
      </c>
    </row>
    <row r="80" spans="1:11" ht="13.5" thickBot="1" x14ac:dyDescent="0.25">
      <c r="A80" s="186">
        <v>76</v>
      </c>
      <c r="B80" s="186" t="s">
        <v>131</v>
      </c>
      <c r="C80" s="201">
        <f>SUM(D80:K80)</f>
        <v>-2607896.5636372822</v>
      </c>
      <c r="D80" s="201">
        <f>D78+D79</f>
        <v>6903901.689532158</v>
      </c>
      <c r="E80" s="201">
        <f t="shared" ref="E80:I80" si="37">E78+E79</f>
        <v>-1431267.0015494097</v>
      </c>
      <c r="F80" s="201">
        <f t="shared" si="37"/>
        <v>-6273203.6929903021</v>
      </c>
      <c r="G80" s="201">
        <f t="shared" si="37"/>
        <v>2456888.7698105471</v>
      </c>
      <c r="H80" s="201">
        <f t="shared" si="37"/>
        <v>-6322844.60398365</v>
      </c>
      <c r="I80" s="201">
        <f t="shared" si="37"/>
        <v>2846371.9491408938</v>
      </c>
      <c r="J80" s="201">
        <f t="shared" ref="J80:K80" si="38">J78+J79</f>
        <v>-265343.54372185015</v>
      </c>
      <c r="K80" s="201">
        <f t="shared" si="38"/>
        <v>-522400.12987566914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4" orientation="portrait" r:id="rId1"/>
  <headerFooter>
    <oddHeader>&amp;R&amp;A</oddHead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81"/>
  <sheetViews>
    <sheetView view="pageBreakPreview" zoomScale="80" zoomScaleNormal="80" zoomScaleSheetLayoutView="80" workbookViewId="0">
      <pane ySplit="3" topLeftCell="A40" activePane="bottomLeft" state="frozen"/>
      <selection activeCell="BD50" sqref="BD50"/>
      <selection pane="bottomLeft" activeCell="BD50" sqref="BD50"/>
    </sheetView>
  </sheetViews>
  <sheetFormatPr defaultColWidth="9.140625" defaultRowHeight="12.75" x14ac:dyDescent="0.2"/>
  <cols>
    <col min="1" max="1" width="5.140625" style="202" customWidth="1"/>
    <col min="2" max="2" width="25.140625" style="202" bestFit="1" customWidth="1"/>
    <col min="3" max="3" width="14.28515625" style="202" bestFit="1" customWidth="1"/>
    <col min="4" max="9" width="12.7109375" style="202" customWidth="1"/>
    <col min="10" max="10" width="14" style="202" customWidth="1"/>
    <col min="11" max="11" width="14.28515625" style="202" bestFit="1" customWidth="1"/>
    <col min="12" max="16384" width="9.140625" style="202"/>
  </cols>
  <sheetData>
    <row r="1" spans="1:11" x14ac:dyDescent="0.2">
      <c r="B1" s="299" t="s">
        <v>179</v>
      </c>
      <c r="C1" s="299"/>
      <c r="D1" s="299"/>
      <c r="E1" s="299"/>
      <c r="F1" s="299"/>
      <c r="G1" s="299"/>
      <c r="H1" s="299"/>
      <c r="I1" s="299"/>
      <c r="J1" s="299"/>
      <c r="K1" s="299"/>
    </row>
    <row r="3" spans="1:11" ht="51" x14ac:dyDescent="0.2">
      <c r="C3" s="203" t="s">
        <v>156</v>
      </c>
      <c r="D3" s="203" t="s">
        <v>165</v>
      </c>
      <c r="E3" s="203" t="s">
        <v>166</v>
      </c>
      <c r="F3" s="203" t="s">
        <v>167</v>
      </c>
      <c r="G3" s="203" t="s">
        <v>168</v>
      </c>
      <c r="H3" s="203" t="s">
        <v>169</v>
      </c>
      <c r="I3" s="203" t="s">
        <v>231</v>
      </c>
      <c r="J3" s="203" t="s">
        <v>258</v>
      </c>
      <c r="K3" s="203" t="s">
        <v>323</v>
      </c>
    </row>
    <row r="5" spans="1:11" x14ac:dyDescent="0.2">
      <c r="A5" s="204">
        <v>1</v>
      </c>
      <c r="B5" s="204" t="s">
        <v>44</v>
      </c>
    </row>
    <row r="6" spans="1:11" x14ac:dyDescent="0.2">
      <c r="A6" s="204">
        <v>2</v>
      </c>
      <c r="B6" s="204" t="s">
        <v>45</v>
      </c>
      <c r="C6" s="205">
        <f>SUM(D6:K6)</f>
        <v>31472700.330736585</v>
      </c>
      <c r="D6" s="205">
        <f>SUM('Restating Adj'!C12:E12)</f>
        <v>31472700.330736585</v>
      </c>
      <c r="E6" s="205">
        <f>SUM('Restating Adj'!F12:R12)</f>
        <v>0</v>
      </c>
      <c r="F6" s="205">
        <f>SUM('Restating Adj'!S12:W12)</f>
        <v>0</v>
      </c>
      <c r="G6" s="205">
        <f>SUM('Restating Adj'!X12:AA12)</f>
        <v>0</v>
      </c>
      <c r="H6" s="205">
        <f>SUM('Restating Adj'!AB12:AK12)</f>
        <v>0</v>
      </c>
      <c r="I6" s="205">
        <f>SUM('Restating Adj'!AL12:AW12)</f>
        <v>0</v>
      </c>
      <c r="J6" s="205">
        <f>SUM('Restating Adj'!AX12:AX12)</f>
        <v>0</v>
      </c>
      <c r="K6" s="205">
        <f>SUM('Restating Adj'!AY12:BF12)</f>
        <v>0</v>
      </c>
    </row>
    <row r="7" spans="1:11" x14ac:dyDescent="0.2">
      <c r="A7" s="204">
        <v>3</v>
      </c>
      <c r="B7" s="204" t="s">
        <v>46</v>
      </c>
      <c r="C7" s="205">
        <f>SUM(D7:K7)</f>
        <v>0</v>
      </c>
      <c r="D7" s="205">
        <f>SUM('Restating Adj'!C13:E13)</f>
        <v>0</v>
      </c>
      <c r="E7" s="205">
        <f>SUM('Restating Adj'!F13:R13)</f>
        <v>0</v>
      </c>
      <c r="F7" s="205">
        <f>SUM('Restating Adj'!S13:W13)</f>
        <v>0</v>
      </c>
      <c r="G7" s="205">
        <f>SUM('Restating Adj'!X13:AA13)</f>
        <v>0</v>
      </c>
      <c r="H7" s="205">
        <f>SUM('Restating Adj'!AB13:AK13)</f>
        <v>0</v>
      </c>
      <c r="I7" s="205">
        <f>SUM('Restating Adj'!AL13:AW13)</f>
        <v>0</v>
      </c>
      <c r="J7" s="205">
        <f>SUM('Restating Adj'!AX13:AX13)</f>
        <v>0</v>
      </c>
      <c r="K7" s="205">
        <f>SUM('Restating Adj'!AY13:BF13)</f>
        <v>0</v>
      </c>
    </row>
    <row r="8" spans="1:11" x14ac:dyDescent="0.2">
      <c r="A8" s="204">
        <v>4</v>
      </c>
      <c r="B8" s="204" t="s">
        <v>47</v>
      </c>
      <c r="C8" s="205">
        <f>SUM(D8:K8)</f>
        <v>0</v>
      </c>
      <c r="D8" s="205">
        <f>SUM('Restating Adj'!C14:E14)</f>
        <v>0</v>
      </c>
      <c r="E8" s="205">
        <f>SUM('Restating Adj'!F14:R14)</f>
        <v>0</v>
      </c>
      <c r="F8" s="205">
        <f>SUM('Restating Adj'!S14:W14)</f>
        <v>0</v>
      </c>
      <c r="G8" s="205">
        <f>SUM('Restating Adj'!X14:AA14)</f>
        <v>0</v>
      </c>
      <c r="H8" s="205">
        <f>SUM('Restating Adj'!AB14:AK14)</f>
        <v>0</v>
      </c>
      <c r="I8" s="205">
        <f>SUM('Restating Adj'!AL14:AW14)</f>
        <v>0</v>
      </c>
      <c r="J8" s="205">
        <f>SUM('Restating Adj'!AX14:AX14)</f>
        <v>0</v>
      </c>
      <c r="K8" s="205">
        <f>SUM('Restating Adj'!AY14:BF14)</f>
        <v>0</v>
      </c>
    </row>
    <row r="9" spans="1:11" x14ac:dyDescent="0.2">
      <c r="A9" s="204">
        <v>5</v>
      </c>
      <c r="B9" s="204" t="s">
        <v>48</v>
      </c>
      <c r="C9" s="205">
        <f>SUM(D9:K9)</f>
        <v>-21606.74304644515</v>
      </c>
      <c r="D9" s="205">
        <f>SUM('Restating Adj'!C15:E15)</f>
        <v>-21606.74304644515</v>
      </c>
      <c r="E9" s="205">
        <f>SUM('Restating Adj'!F15:R15)</f>
        <v>0</v>
      </c>
      <c r="F9" s="205">
        <f>SUM('Restating Adj'!S15:W15)</f>
        <v>0</v>
      </c>
      <c r="G9" s="205">
        <f>SUM('Restating Adj'!X15:AA15)</f>
        <v>0</v>
      </c>
      <c r="H9" s="205">
        <f>SUM('Restating Adj'!AB15:AK15)</f>
        <v>0</v>
      </c>
      <c r="I9" s="205">
        <f>SUM('Restating Adj'!AL15:AW15)</f>
        <v>0</v>
      </c>
      <c r="J9" s="205">
        <f>SUM('Restating Adj'!AX15:AX15)</f>
        <v>0</v>
      </c>
      <c r="K9" s="205">
        <f>SUM('Restating Adj'!AY15:BF15)</f>
        <v>0</v>
      </c>
    </row>
    <row r="10" spans="1:11" x14ac:dyDescent="0.2">
      <c r="A10" s="204">
        <v>6</v>
      </c>
      <c r="B10" s="204" t="s">
        <v>49</v>
      </c>
      <c r="C10" s="206">
        <f>SUM(C6:C9)</f>
        <v>31451093.587690141</v>
      </c>
      <c r="D10" s="206">
        <f t="shared" ref="D10:I10" si="0">SUM(D6:D9)</f>
        <v>31451093.587690141</v>
      </c>
      <c r="E10" s="206">
        <f t="shared" si="0"/>
        <v>0</v>
      </c>
      <c r="F10" s="206">
        <f t="shared" si="0"/>
        <v>0</v>
      </c>
      <c r="G10" s="206">
        <f t="shared" si="0"/>
        <v>0</v>
      </c>
      <c r="H10" s="206">
        <f t="shared" si="0"/>
        <v>0</v>
      </c>
      <c r="I10" s="206">
        <f t="shared" si="0"/>
        <v>0</v>
      </c>
      <c r="J10" s="206">
        <f t="shared" ref="J10:K10" si="1">SUM(J6:J9)</f>
        <v>0</v>
      </c>
      <c r="K10" s="206">
        <f t="shared" si="1"/>
        <v>0</v>
      </c>
    </row>
    <row r="11" spans="1:11" x14ac:dyDescent="0.2">
      <c r="A11" s="204">
        <v>7</v>
      </c>
      <c r="B11" s="204"/>
    </row>
    <row r="12" spans="1:11" x14ac:dyDescent="0.2">
      <c r="A12" s="204">
        <v>8</v>
      </c>
      <c r="B12" s="204" t="s">
        <v>50</v>
      </c>
    </row>
    <row r="13" spans="1:11" x14ac:dyDescent="0.2">
      <c r="A13" s="204">
        <v>9</v>
      </c>
      <c r="B13" s="204" t="s">
        <v>51</v>
      </c>
      <c r="C13" s="205">
        <f t="shared" ref="C13:C22" si="2">SUM(D13:K13)</f>
        <v>1095325.7945093364</v>
      </c>
      <c r="D13" s="205">
        <f>SUM('Restating Adj'!C19:E19)</f>
        <v>0</v>
      </c>
      <c r="E13" s="205">
        <f>SUM('Restating Adj'!F19:R19)</f>
        <v>64166.110936278637</v>
      </c>
      <c r="F13" s="205">
        <f>SUM('Restating Adj'!S19:W19)</f>
        <v>0</v>
      </c>
      <c r="G13" s="205">
        <f>SUM('Restating Adj'!X19:AA19)</f>
        <v>2233092.2074194313</v>
      </c>
      <c r="H13" s="205">
        <f>SUM('Restating Adj'!AB19:AK19)</f>
        <v>0</v>
      </c>
      <c r="I13" s="205">
        <f>SUM('Restating Adj'!AL19:AW19)</f>
        <v>0</v>
      </c>
      <c r="J13" s="205">
        <f>SUM('Restating Adj'!AX19:AX19)</f>
        <v>0</v>
      </c>
      <c r="K13" s="205">
        <f>SUM('Restating Adj'!AY19:BF19)</f>
        <v>-1201932.5238463734</v>
      </c>
    </row>
    <row r="14" spans="1:11" x14ac:dyDescent="0.2">
      <c r="A14" s="204">
        <v>10</v>
      </c>
      <c r="B14" s="204" t="s">
        <v>52</v>
      </c>
      <c r="C14" s="205">
        <f t="shared" si="2"/>
        <v>0</v>
      </c>
      <c r="D14" s="205">
        <f>SUM('Restating Adj'!C20:E20)</f>
        <v>0</v>
      </c>
      <c r="E14" s="205">
        <f>SUM('Restating Adj'!F20:R20)</f>
        <v>0</v>
      </c>
      <c r="F14" s="205">
        <f>SUM('Restating Adj'!S20:W20)</f>
        <v>0</v>
      </c>
      <c r="G14" s="205">
        <f>SUM('Restating Adj'!X20:AA20)</f>
        <v>0</v>
      </c>
      <c r="H14" s="205">
        <f>SUM('Restating Adj'!AB20:AK20)</f>
        <v>0</v>
      </c>
      <c r="I14" s="205">
        <f>SUM('Restating Adj'!AL20:AW20)</f>
        <v>0</v>
      </c>
      <c r="J14" s="205">
        <f>SUM('Restating Adj'!AX20:AX20)</f>
        <v>0</v>
      </c>
      <c r="K14" s="205">
        <f>SUM('Restating Adj'!AY20:BF20)</f>
        <v>0</v>
      </c>
    </row>
    <row r="15" spans="1:11" x14ac:dyDescent="0.2">
      <c r="A15" s="204">
        <v>11</v>
      </c>
      <c r="B15" s="204" t="s">
        <v>53</v>
      </c>
      <c r="C15" s="205">
        <f t="shared" si="2"/>
        <v>1776039.1875827373</v>
      </c>
      <c r="D15" s="205">
        <f>SUM('Restating Adj'!C21:E21)</f>
        <v>0</v>
      </c>
      <c r="E15" s="205">
        <f>SUM('Restating Adj'!F21:R21)</f>
        <v>2029698.2661570371</v>
      </c>
      <c r="F15" s="205">
        <f>SUM('Restating Adj'!S21:W21)</f>
        <v>0</v>
      </c>
      <c r="G15" s="205">
        <f>SUM('Restating Adj'!X21:AA21)</f>
        <v>0</v>
      </c>
      <c r="H15" s="205">
        <f>SUM('Restating Adj'!AB21:AK21)</f>
        <v>0</v>
      </c>
      <c r="I15" s="205">
        <f>SUM('Restating Adj'!AL21:AW21)</f>
        <v>-253659.07857429984</v>
      </c>
      <c r="J15" s="205">
        <f>SUM('Restating Adj'!AX21:AX21)</f>
        <v>0</v>
      </c>
      <c r="K15" s="205">
        <f>SUM('Restating Adj'!AY21:BF21)</f>
        <v>0</v>
      </c>
    </row>
    <row r="16" spans="1:11" x14ac:dyDescent="0.2">
      <c r="A16" s="204">
        <v>12</v>
      </c>
      <c r="B16" s="204" t="s">
        <v>54</v>
      </c>
      <c r="C16" s="205">
        <f t="shared" si="2"/>
        <v>-7171811.8867383823</v>
      </c>
      <c r="D16" s="205">
        <f>SUM('Restating Adj'!C22:E22)</f>
        <v>0</v>
      </c>
      <c r="E16" s="205">
        <f>SUM('Restating Adj'!F22:R22)</f>
        <v>-29991.18938121917</v>
      </c>
      <c r="F16" s="205">
        <f>SUM('Restating Adj'!S22:W22)</f>
        <v>-7141820.6973571628</v>
      </c>
      <c r="G16" s="205">
        <f>SUM('Restating Adj'!X22:AA22)</f>
        <v>0</v>
      </c>
      <c r="H16" s="205">
        <f>SUM('Restating Adj'!AB22:AK22)</f>
        <v>0</v>
      </c>
      <c r="I16" s="205">
        <f>SUM('Restating Adj'!AL22:AW22)</f>
        <v>0</v>
      </c>
      <c r="J16" s="205">
        <f>SUM('Restating Adj'!AX22:AX22)</f>
        <v>0</v>
      </c>
      <c r="K16" s="205">
        <f>SUM('Restating Adj'!AY22:BF22)</f>
        <v>0</v>
      </c>
    </row>
    <row r="17" spans="1:11" x14ac:dyDescent="0.2">
      <c r="A17" s="204">
        <v>13</v>
      </c>
      <c r="B17" s="204" t="s">
        <v>55</v>
      </c>
      <c r="C17" s="205">
        <f t="shared" si="2"/>
        <v>37087.187348888561</v>
      </c>
      <c r="D17" s="205">
        <f>SUM('Restating Adj'!C23:E23)</f>
        <v>0</v>
      </c>
      <c r="E17" s="205">
        <f>SUM('Restating Adj'!F23:R23)</f>
        <v>37087.187348888561</v>
      </c>
      <c r="F17" s="205">
        <f>SUM('Restating Adj'!S23:W23)</f>
        <v>0</v>
      </c>
      <c r="G17" s="205">
        <f>SUM('Restating Adj'!X23:AA23)</f>
        <v>0</v>
      </c>
      <c r="H17" s="205">
        <f>SUM('Restating Adj'!AB23:AK23)</f>
        <v>0</v>
      </c>
      <c r="I17" s="205">
        <f>SUM('Restating Adj'!AL23:AW23)</f>
        <v>0</v>
      </c>
      <c r="J17" s="205">
        <f>SUM('Restating Adj'!AX23:AX23)</f>
        <v>0</v>
      </c>
      <c r="K17" s="205">
        <f>SUM('Restating Adj'!AY23:BF23)</f>
        <v>0</v>
      </c>
    </row>
    <row r="18" spans="1:11" x14ac:dyDescent="0.2">
      <c r="A18" s="204">
        <v>14</v>
      </c>
      <c r="B18" s="204" t="s">
        <v>56</v>
      </c>
      <c r="C18" s="205">
        <f t="shared" si="2"/>
        <v>149316.59718380499</v>
      </c>
      <c r="D18" s="205">
        <f>SUM('Restating Adj'!C24:E24)</f>
        <v>0</v>
      </c>
      <c r="E18" s="205">
        <f>SUM('Restating Adj'!F24:R24)</f>
        <v>149316.59718380499</v>
      </c>
      <c r="F18" s="205">
        <f>SUM('Restating Adj'!S24:W24)</f>
        <v>0</v>
      </c>
      <c r="G18" s="205">
        <f>SUM('Restating Adj'!X24:AA24)</f>
        <v>0</v>
      </c>
      <c r="H18" s="205">
        <f>SUM('Restating Adj'!AB24:AK24)</f>
        <v>0</v>
      </c>
      <c r="I18" s="205">
        <f>SUM('Restating Adj'!AL24:AW24)</f>
        <v>0</v>
      </c>
      <c r="J18" s="205">
        <f>SUM('Restating Adj'!AX24:AX24)</f>
        <v>0</v>
      </c>
      <c r="K18" s="205">
        <f>SUM('Restating Adj'!AY24:BF24)</f>
        <v>0</v>
      </c>
    </row>
    <row r="19" spans="1:11" x14ac:dyDescent="0.2">
      <c r="A19" s="204">
        <v>15</v>
      </c>
      <c r="B19" s="204" t="s">
        <v>57</v>
      </c>
      <c r="C19" s="205">
        <f t="shared" si="2"/>
        <v>-197738.65332847723</v>
      </c>
      <c r="D19" s="205">
        <f>SUM('Restating Adj'!C25:E25)</f>
        <v>0</v>
      </c>
      <c r="E19" s="205">
        <f>SUM('Restating Adj'!F25:R25)</f>
        <v>-197738.65332847723</v>
      </c>
      <c r="F19" s="205">
        <f>SUM('Restating Adj'!S25:W25)</f>
        <v>0</v>
      </c>
      <c r="G19" s="205">
        <f>SUM('Restating Adj'!X25:AA25)</f>
        <v>0</v>
      </c>
      <c r="H19" s="205">
        <f>SUM('Restating Adj'!AB25:AK25)</f>
        <v>0</v>
      </c>
      <c r="I19" s="205">
        <f>SUM('Restating Adj'!AL25:AW25)</f>
        <v>0</v>
      </c>
      <c r="J19" s="205">
        <f>SUM('Restating Adj'!AX25:AX25)</f>
        <v>0</v>
      </c>
      <c r="K19" s="205">
        <f>SUM('Restating Adj'!AY25:BF25)</f>
        <v>0</v>
      </c>
    </row>
    <row r="20" spans="1:11" x14ac:dyDescent="0.2">
      <c r="A20" s="204">
        <v>16</v>
      </c>
      <c r="B20" s="204" t="s">
        <v>58</v>
      </c>
      <c r="C20" s="205">
        <f t="shared" si="2"/>
        <v>21803.306990815341</v>
      </c>
      <c r="D20" s="205">
        <f>SUM('Restating Adj'!C26:E26)</f>
        <v>0</v>
      </c>
      <c r="E20" s="205">
        <f>SUM('Restating Adj'!F26:R26)</f>
        <v>21803.306990815341</v>
      </c>
      <c r="F20" s="205">
        <f>SUM('Restating Adj'!S26:W26)</f>
        <v>0</v>
      </c>
      <c r="G20" s="205">
        <f>SUM('Restating Adj'!X26:AA26)</f>
        <v>0</v>
      </c>
      <c r="H20" s="205">
        <f>SUM('Restating Adj'!AB26:AK26)</f>
        <v>0</v>
      </c>
      <c r="I20" s="205">
        <f>SUM('Restating Adj'!AL26:AW26)</f>
        <v>0</v>
      </c>
      <c r="J20" s="205">
        <f>SUM('Restating Adj'!AX26:AX26)</f>
        <v>0</v>
      </c>
      <c r="K20" s="205">
        <f>SUM('Restating Adj'!AY26:BF26)</f>
        <v>0</v>
      </c>
    </row>
    <row r="21" spans="1:11" x14ac:dyDescent="0.2">
      <c r="A21" s="204">
        <v>17</v>
      </c>
      <c r="B21" s="204" t="s">
        <v>59</v>
      </c>
      <c r="C21" s="205">
        <f t="shared" si="2"/>
        <v>0</v>
      </c>
      <c r="D21" s="205">
        <f>SUM('Restating Adj'!C27:E27)</f>
        <v>0</v>
      </c>
      <c r="E21" s="205">
        <f>SUM('Restating Adj'!F27:R27)</f>
        <v>0</v>
      </c>
      <c r="F21" s="205">
        <f>SUM('Restating Adj'!S27:W27)</f>
        <v>0</v>
      </c>
      <c r="G21" s="205">
        <f>SUM('Restating Adj'!X27:AA27)</f>
        <v>0</v>
      </c>
      <c r="H21" s="205">
        <f>SUM('Restating Adj'!AB27:AK27)</f>
        <v>0</v>
      </c>
      <c r="I21" s="205">
        <f>SUM('Restating Adj'!AL27:AW27)</f>
        <v>0</v>
      </c>
      <c r="J21" s="205">
        <f>SUM('Restating Adj'!AX27:AX27)</f>
        <v>0</v>
      </c>
      <c r="K21" s="205">
        <f>SUM('Restating Adj'!AY27:BF27)</f>
        <v>0</v>
      </c>
    </row>
    <row r="22" spans="1:11" x14ac:dyDescent="0.2">
      <c r="A22" s="204">
        <v>18</v>
      </c>
      <c r="B22" s="204" t="s">
        <v>60</v>
      </c>
      <c r="C22" s="207">
        <f t="shared" si="2"/>
        <v>1397511.8869547788</v>
      </c>
      <c r="D22" s="207">
        <f>SUM('Restating Adj'!C28:E28)</f>
        <v>0</v>
      </c>
      <c r="E22" s="205">
        <f>SUM('Restating Adj'!F28:R28)</f>
        <v>1412708.0224473586</v>
      </c>
      <c r="F22" s="207">
        <f>SUM('Restating Adj'!S28:W28)</f>
        <v>0</v>
      </c>
      <c r="G22" s="207">
        <f>SUM('Restating Adj'!X28:AA28)</f>
        <v>0</v>
      </c>
      <c r="H22" s="205">
        <f>SUM('Restating Adj'!AB28:AK28)</f>
        <v>0</v>
      </c>
      <c r="I22" s="205">
        <f>SUM('Restating Adj'!AL28:AW28)</f>
        <v>0</v>
      </c>
      <c r="J22" s="205">
        <f>SUM('Restating Adj'!AX28:AX28)</f>
        <v>0</v>
      </c>
      <c r="K22" s="205">
        <f>SUM('Restating Adj'!AY28:BF28)</f>
        <v>-15196.135492579706</v>
      </c>
    </row>
    <row r="23" spans="1:11" x14ac:dyDescent="0.2">
      <c r="A23" s="204">
        <v>19</v>
      </c>
      <c r="B23" s="204" t="s">
        <v>61</v>
      </c>
      <c r="C23" s="208">
        <f>SUM(C13:C22)</f>
        <v>-2892466.5794964992</v>
      </c>
      <c r="D23" s="208">
        <f t="shared" ref="D23:I23" si="3">SUM(D13:D22)</f>
        <v>0</v>
      </c>
      <c r="E23" s="208">
        <f t="shared" si="3"/>
        <v>3487049.648354487</v>
      </c>
      <c r="F23" s="208">
        <f t="shared" si="3"/>
        <v>-7141820.6973571628</v>
      </c>
      <c r="G23" s="208">
        <f t="shared" si="3"/>
        <v>2233092.2074194313</v>
      </c>
      <c r="H23" s="208">
        <f t="shared" si="3"/>
        <v>0</v>
      </c>
      <c r="I23" s="208">
        <f t="shared" si="3"/>
        <v>-253659.07857429984</v>
      </c>
      <c r="J23" s="208">
        <f t="shared" ref="J23:K23" si="4">SUM(J13:J22)</f>
        <v>0</v>
      </c>
      <c r="K23" s="208">
        <f t="shared" si="4"/>
        <v>-1217128.6593389532</v>
      </c>
    </row>
    <row r="24" spans="1:11" x14ac:dyDescent="0.2">
      <c r="A24" s="204">
        <v>20</v>
      </c>
      <c r="B24" s="204" t="s">
        <v>62</v>
      </c>
      <c r="C24" s="205">
        <f>SUM(D24:K24)</f>
        <v>0</v>
      </c>
      <c r="D24" s="205">
        <f>SUM('Restating Adj'!C30:E30)</f>
        <v>0</v>
      </c>
      <c r="E24" s="205">
        <f>SUM('Restating Adj'!F30:R30)</f>
        <v>0</v>
      </c>
      <c r="F24" s="205">
        <f>SUM('Restating Adj'!S30:W30)</f>
        <v>0</v>
      </c>
      <c r="G24" s="205">
        <f>SUM('Restating Adj'!X30:AA30)</f>
        <v>0</v>
      </c>
      <c r="H24" s="205">
        <f>SUM('Restating Adj'!AB30:AK30)</f>
        <v>0</v>
      </c>
      <c r="I24" s="205">
        <f>SUM('Restating Adj'!AL30:AW30)</f>
        <v>0</v>
      </c>
      <c r="J24" s="205">
        <f>SUM('Restating Adj'!AX30:AX30)</f>
        <v>0</v>
      </c>
      <c r="K24" s="205">
        <f>SUM('Restating Adj'!AY30:BF30)</f>
        <v>0</v>
      </c>
    </row>
    <row r="25" spans="1:11" x14ac:dyDescent="0.2">
      <c r="A25" s="204">
        <v>21</v>
      </c>
      <c r="B25" s="204" t="s">
        <v>63</v>
      </c>
      <c r="C25" s="205">
        <f>SUM(D25:K25)</f>
        <v>3700582.6343244445</v>
      </c>
      <c r="D25" s="205">
        <f>SUM('Restating Adj'!C31:E31)</f>
        <v>0</v>
      </c>
      <c r="E25" s="205">
        <f>SUM('Restating Adj'!F31:R31)</f>
        <v>0</v>
      </c>
      <c r="F25" s="205">
        <f>SUM('Restating Adj'!S31:W31)</f>
        <v>0</v>
      </c>
      <c r="G25" s="205">
        <f>SUM('Restating Adj'!X31:AA31)</f>
        <v>3700582.6343244445</v>
      </c>
      <c r="H25" s="205">
        <f>SUM('Restating Adj'!AB31:AK31)</f>
        <v>0</v>
      </c>
      <c r="I25" s="205">
        <f>SUM('Restating Adj'!AL31:AW31)</f>
        <v>0</v>
      </c>
      <c r="J25" s="205">
        <f>SUM('Restating Adj'!AX31:AX31)</f>
        <v>0</v>
      </c>
      <c r="K25" s="205">
        <f>SUM('Restating Adj'!AY31:BF31)</f>
        <v>0</v>
      </c>
    </row>
    <row r="26" spans="1:11" x14ac:dyDescent="0.2">
      <c r="A26" s="204">
        <v>22</v>
      </c>
      <c r="B26" s="204" t="s">
        <v>64</v>
      </c>
      <c r="C26" s="205">
        <f>SUM(D26:K26)</f>
        <v>1214411.2456543308</v>
      </c>
      <c r="D26" s="205">
        <f>SUM('Restating Adj'!C32:E32)</f>
        <v>0</v>
      </c>
      <c r="E26" s="205">
        <f>SUM('Restating Adj'!F32:R32)</f>
        <v>0</v>
      </c>
      <c r="F26" s="205">
        <f>SUM('Restating Adj'!S32:W32)</f>
        <v>0</v>
      </c>
      <c r="G26" s="205">
        <f>SUM('Restating Adj'!X32:AA32)</f>
        <v>0</v>
      </c>
      <c r="H26" s="205">
        <f>SUM('Restating Adj'!AB32:AK32)</f>
        <v>1290521</v>
      </c>
      <c r="I26" s="205">
        <f>SUM('Restating Adj'!AL32:AW32)</f>
        <v>0</v>
      </c>
      <c r="J26" s="205">
        <f>SUM('Restating Adj'!AX32:AX32)</f>
        <v>0</v>
      </c>
      <c r="K26" s="205">
        <f>SUM('Restating Adj'!AY32:BF32)</f>
        <v>-76109.754345669193</v>
      </c>
    </row>
    <row r="27" spans="1:11" x14ac:dyDescent="0.2">
      <c r="A27" s="204">
        <v>23</v>
      </c>
      <c r="B27" s="204" t="s">
        <v>157</v>
      </c>
      <c r="C27" s="205">
        <f>C80</f>
        <v>18175763.888751026</v>
      </c>
      <c r="D27" s="205">
        <f>SUM('Restating Adj'!C33:E33)</f>
        <v>6604729.6534149284</v>
      </c>
      <c r="E27" s="205">
        <f>SUM('Restating Adj'!F33:R33)</f>
        <v>-997850.45041347935</v>
      </c>
      <c r="F27" s="205">
        <f>SUM('Restating Adj'!S33:W33)</f>
        <v>1499782.3464450042</v>
      </c>
      <c r="G27" s="205">
        <f>SUM('Restating Adj'!X33:AA33)</f>
        <v>-820080.22513484117</v>
      </c>
      <c r="H27" s="205">
        <f>SUM('Restating Adj'!AB33:AK33)</f>
        <v>11946932.572909592</v>
      </c>
      <c r="I27" s="205">
        <f t="shared" ref="I27:K27" si="5">I80</f>
        <v>52777.651200602966</v>
      </c>
      <c r="J27" s="205">
        <f t="shared" si="5"/>
        <v>0</v>
      </c>
      <c r="K27" s="205">
        <f t="shared" si="5"/>
        <v>-110527.65967078268</v>
      </c>
    </row>
    <row r="28" spans="1:11" x14ac:dyDescent="0.2">
      <c r="A28" s="204">
        <v>24</v>
      </c>
      <c r="B28" s="204" t="s">
        <v>158</v>
      </c>
      <c r="C28" s="205">
        <f>SUM(D28:K28)</f>
        <v>0</v>
      </c>
      <c r="D28" s="205">
        <f>SUM('Restating Adj'!C34:E34)</f>
        <v>0</v>
      </c>
      <c r="E28" s="205">
        <f>SUM('Restating Adj'!F34:R34)</f>
        <v>0</v>
      </c>
      <c r="F28" s="205">
        <f>SUM('Restating Adj'!S34:W34)</f>
        <v>0</v>
      </c>
      <c r="G28" s="205">
        <f>SUM('Restating Adj'!X34:AA34)</f>
        <v>0</v>
      </c>
      <c r="H28" s="205">
        <f>SUM('Restating Adj'!AB34:AK34)</f>
        <v>0</v>
      </c>
      <c r="I28" s="205">
        <f>C685</f>
        <v>0</v>
      </c>
      <c r="J28" s="205">
        <f>SUM('Restating Adj'!AX34:AX34)</f>
        <v>0</v>
      </c>
      <c r="K28" s="205">
        <f>SUM('Restating Adj'!AY34:BF34)</f>
        <v>0</v>
      </c>
    </row>
    <row r="29" spans="1:11" x14ac:dyDescent="0.2">
      <c r="A29" s="204">
        <v>25</v>
      </c>
      <c r="B29" s="204" t="s">
        <v>159</v>
      </c>
      <c r="C29" s="205">
        <f>SUM(D29:K29)</f>
        <v>511979.77277357085</v>
      </c>
      <c r="D29" s="205">
        <f>SUM('Restating Adj'!C35:E35)</f>
        <v>0</v>
      </c>
      <c r="E29" s="205">
        <f>SUM('Restating Adj'!F35:R35)</f>
        <v>291371.44046879199</v>
      </c>
      <c r="F29" s="205">
        <f>SUM('Restating Adj'!S35:W35)</f>
        <v>0</v>
      </c>
      <c r="G29" s="205">
        <f>SUM('Restating Adj'!X35:AA35)</f>
        <v>0</v>
      </c>
      <c r="H29" s="205">
        <f>SUM('Restating Adj'!AB35:AK35)</f>
        <v>-250112.25268758263</v>
      </c>
      <c r="I29" s="205">
        <f>SUM('Restating Adj'!AL35:AW35)</f>
        <v>0</v>
      </c>
      <c r="J29" s="205">
        <f>SUM('Restating Adj'!AX35:AX35)</f>
        <v>0</v>
      </c>
      <c r="K29" s="205">
        <f>SUM('Restating Adj'!AY35:BF35)</f>
        <v>470720.58499236149</v>
      </c>
    </row>
    <row r="30" spans="1:11" x14ac:dyDescent="0.2">
      <c r="A30" s="204">
        <v>26</v>
      </c>
      <c r="B30" s="204" t="s">
        <v>68</v>
      </c>
      <c r="C30" s="205">
        <f>SUM(D30:K30)</f>
        <v>0</v>
      </c>
      <c r="D30" s="205">
        <f>SUM('Restating Adj'!C36:E36)</f>
        <v>0</v>
      </c>
      <c r="E30" s="205">
        <f>SUM('Restating Adj'!F36:R36)</f>
        <v>0</v>
      </c>
      <c r="F30" s="205">
        <f>SUM('Restating Adj'!S36:W36)</f>
        <v>0</v>
      </c>
      <c r="G30" s="205">
        <f>SUM('Restating Adj'!X36:AA36)</f>
        <v>0</v>
      </c>
      <c r="H30" s="205">
        <f>SUM('Restating Adj'!AB36:AK36)</f>
        <v>0</v>
      </c>
      <c r="I30" s="205">
        <f>SUM('Restating Adj'!AL36:AW36)</f>
        <v>0</v>
      </c>
      <c r="J30" s="205">
        <f>SUM('Restating Adj'!AX36:AX36)</f>
        <v>0</v>
      </c>
      <c r="K30" s="205">
        <f>SUM('Restating Adj'!AY36:BF36)</f>
        <v>0</v>
      </c>
    </row>
    <row r="31" spans="1:11" x14ac:dyDescent="0.2">
      <c r="A31" s="204">
        <v>27</v>
      </c>
      <c r="B31" s="204" t="s">
        <v>69</v>
      </c>
      <c r="C31" s="205">
        <f>SUM(D31:K31)</f>
        <v>81875.040256100925</v>
      </c>
      <c r="D31" s="205">
        <f>SUM('Restating Adj'!C37:E37)</f>
        <v>0</v>
      </c>
      <c r="E31" s="205">
        <f>SUM('Restating Adj'!F37:R37)</f>
        <v>79538.110256100932</v>
      </c>
      <c r="F31" s="205">
        <f>SUM('Restating Adj'!S37:W37)</f>
        <v>0</v>
      </c>
      <c r="G31" s="205">
        <f>SUM('Restating Adj'!X37:AA37)</f>
        <v>0</v>
      </c>
      <c r="H31" s="205">
        <f>SUM('Restating Adj'!AB37:AK37)</f>
        <v>0</v>
      </c>
      <c r="I31" s="205">
        <f>SUM('Restating Adj'!AL37:AW37)</f>
        <v>2336.9299999999998</v>
      </c>
      <c r="J31" s="205">
        <f>SUM('Restating Adj'!AX37:AX37)</f>
        <v>0</v>
      </c>
      <c r="K31" s="205">
        <f>SUM('Restating Adj'!AY37:BF37)</f>
        <v>0</v>
      </c>
    </row>
    <row r="32" spans="1:11" x14ac:dyDescent="0.2">
      <c r="A32" s="204">
        <v>28</v>
      </c>
      <c r="B32" s="209" t="s">
        <v>70</v>
      </c>
      <c r="C32" s="210">
        <f>SUM(C23:C31)</f>
        <v>20792146.002262976</v>
      </c>
      <c r="D32" s="210">
        <f t="shared" ref="D32:I32" si="6">SUM(D23:D31)</f>
        <v>6604729.6534149284</v>
      </c>
      <c r="E32" s="210">
        <f t="shared" si="6"/>
        <v>2860108.7486659004</v>
      </c>
      <c r="F32" s="210">
        <f t="shared" si="6"/>
        <v>-5642038.3509121584</v>
      </c>
      <c r="G32" s="210">
        <f t="shared" si="6"/>
        <v>5113594.6166090341</v>
      </c>
      <c r="H32" s="210">
        <f t="shared" si="6"/>
        <v>12987341.320222009</v>
      </c>
      <c r="I32" s="210">
        <f t="shared" si="6"/>
        <v>-198544.49737369688</v>
      </c>
      <c r="J32" s="210">
        <f t="shared" ref="J32:K32" si="7">SUM(J23:J31)</f>
        <v>0</v>
      </c>
      <c r="K32" s="210">
        <f t="shared" si="7"/>
        <v>-933045.48836304364</v>
      </c>
    </row>
    <row r="33" spans="1:11" x14ac:dyDescent="0.2">
      <c r="A33" s="204">
        <v>29</v>
      </c>
      <c r="B33" s="204"/>
    </row>
    <row r="34" spans="1:11" ht="13.5" thickBot="1" x14ac:dyDescent="0.25">
      <c r="A34" s="204">
        <v>30</v>
      </c>
      <c r="B34" s="204" t="s">
        <v>71</v>
      </c>
      <c r="C34" s="211">
        <f>C10-C32</f>
        <v>10658947.585427165</v>
      </c>
      <c r="D34" s="211">
        <f t="shared" ref="D34:I34" si="8">D10-D32</f>
        <v>24846363.934275214</v>
      </c>
      <c r="E34" s="211">
        <f t="shared" si="8"/>
        <v>-2860108.7486659004</v>
      </c>
      <c r="F34" s="211">
        <f t="shared" si="8"/>
        <v>5642038.3509121584</v>
      </c>
      <c r="G34" s="211">
        <f t="shared" si="8"/>
        <v>-5113594.6166090341</v>
      </c>
      <c r="H34" s="211">
        <f t="shared" si="8"/>
        <v>-12987341.320222009</v>
      </c>
      <c r="I34" s="211">
        <f t="shared" si="8"/>
        <v>198544.49737369688</v>
      </c>
      <c r="J34" s="211">
        <f t="shared" ref="J34:K34" si="9">J10-J32</f>
        <v>0</v>
      </c>
      <c r="K34" s="211">
        <f t="shared" si="9"/>
        <v>933045.48836304364</v>
      </c>
    </row>
    <row r="35" spans="1:11" ht="13.5" thickTop="1" x14ac:dyDescent="0.2">
      <c r="A35" s="204">
        <v>31</v>
      </c>
      <c r="B35" s="204"/>
    </row>
    <row r="36" spans="1:11" x14ac:dyDescent="0.2">
      <c r="A36" s="204">
        <v>32</v>
      </c>
      <c r="B36" s="204" t="s">
        <v>72</v>
      </c>
    </row>
    <row r="37" spans="1:11" x14ac:dyDescent="0.2">
      <c r="A37" s="204">
        <v>33</v>
      </c>
      <c r="B37" s="204" t="s">
        <v>73</v>
      </c>
      <c r="C37" s="205">
        <f t="shared" ref="C37:C47" si="10">SUM(D37:K37)</f>
        <v>-337397047.28478056</v>
      </c>
      <c r="D37" s="205">
        <f>SUM('Restating Adj'!C43:E43)</f>
        <v>0</v>
      </c>
      <c r="E37" s="205">
        <f>SUM('Restating Adj'!F43:R43)</f>
        <v>0</v>
      </c>
      <c r="F37" s="205">
        <f>SUM('Restating Adj'!S43:W43)</f>
        <v>0</v>
      </c>
      <c r="G37" s="205">
        <f>SUM('Restating Adj'!X43:AA43)</f>
        <v>0</v>
      </c>
      <c r="H37" s="205">
        <f>SUM('Restating Adj'!AB43:AK43)</f>
        <v>0</v>
      </c>
      <c r="I37" s="205">
        <f>SUM('Restating Adj'!AL43:AW43)</f>
        <v>769065.56877180538</v>
      </c>
      <c r="J37" s="205">
        <f>SUM('Restating Adj'!AX43:AX43)</f>
        <v>0</v>
      </c>
      <c r="K37" s="205">
        <f>SUM('Restating Adj'!AY43:BF43)</f>
        <v>-338166112.85355234</v>
      </c>
    </row>
    <row r="38" spans="1:11" x14ac:dyDescent="0.2">
      <c r="A38" s="204">
        <v>34</v>
      </c>
      <c r="B38" s="204" t="s">
        <v>74</v>
      </c>
      <c r="C38" s="205">
        <f t="shared" si="10"/>
        <v>0</v>
      </c>
      <c r="D38" s="205">
        <f>SUM('Restating Adj'!C44:E44)</f>
        <v>0</v>
      </c>
      <c r="E38" s="205">
        <f>SUM('Restating Adj'!F44:R44)</f>
        <v>0</v>
      </c>
      <c r="F38" s="205">
        <f>SUM('Restating Adj'!S44:W44)</f>
        <v>0</v>
      </c>
      <c r="G38" s="205">
        <f>SUM('Restating Adj'!X44:AA44)</f>
        <v>0</v>
      </c>
      <c r="H38" s="205">
        <f>SUM('Restating Adj'!AB44:AK44)</f>
        <v>0</v>
      </c>
      <c r="I38" s="205">
        <f>SUM('Restating Adj'!AL44:AW44)</f>
        <v>0</v>
      </c>
      <c r="J38" s="205">
        <f>SUM('Restating Adj'!AX44:AX44)</f>
        <v>0</v>
      </c>
      <c r="K38" s="205">
        <f>SUM('Restating Adj'!AY44:BF44)</f>
        <v>0</v>
      </c>
    </row>
    <row r="39" spans="1:11" x14ac:dyDescent="0.2">
      <c r="A39" s="204">
        <v>35</v>
      </c>
      <c r="B39" s="204" t="s">
        <v>75</v>
      </c>
      <c r="C39" s="205">
        <f t="shared" si="10"/>
        <v>-9959813.7233746424</v>
      </c>
      <c r="D39" s="205">
        <f>SUM('Restating Adj'!C45:E45)</f>
        <v>0</v>
      </c>
      <c r="E39" s="205">
        <f>SUM('Restating Adj'!F45:R45)</f>
        <v>0</v>
      </c>
      <c r="F39" s="205">
        <f>SUM('Restating Adj'!S45:W45)</f>
        <v>0</v>
      </c>
      <c r="G39" s="205">
        <f>SUM('Restating Adj'!X45:AA45)</f>
        <v>0</v>
      </c>
      <c r="H39" s="205">
        <f>SUM('Restating Adj'!AB45:AK45)</f>
        <v>0</v>
      </c>
      <c r="I39" s="205">
        <f>SUM('Restating Adj'!AL45:AW45)</f>
        <v>-9959813.7233746424</v>
      </c>
      <c r="J39" s="205">
        <f>SUM('Restating Adj'!AX45:AX45)</f>
        <v>0</v>
      </c>
      <c r="K39" s="205">
        <f>SUM('Restating Adj'!AY45:BF45)</f>
        <v>0</v>
      </c>
    </row>
    <row r="40" spans="1:11" x14ac:dyDescent="0.2">
      <c r="A40" s="204">
        <v>36</v>
      </c>
      <c r="B40" s="204" t="s">
        <v>76</v>
      </c>
      <c r="C40" s="205">
        <f t="shared" si="10"/>
        <v>0</v>
      </c>
      <c r="D40" s="205">
        <f>SUM('Restating Adj'!C46:E46)</f>
        <v>0</v>
      </c>
      <c r="E40" s="205">
        <f>SUM('Restating Adj'!F46:R46)</f>
        <v>0</v>
      </c>
      <c r="F40" s="205">
        <f>SUM('Restating Adj'!S46:W46)</f>
        <v>0</v>
      </c>
      <c r="G40" s="205">
        <f>SUM('Restating Adj'!X46:AA46)</f>
        <v>0</v>
      </c>
      <c r="H40" s="205">
        <f>SUM('Restating Adj'!AB46:AK46)</f>
        <v>0</v>
      </c>
      <c r="I40" s="205">
        <f>SUM('Restating Adj'!AL46:AW46)</f>
        <v>0</v>
      </c>
      <c r="J40" s="205">
        <f>SUM('Restating Adj'!AX46:AX46)</f>
        <v>0</v>
      </c>
      <c r="K40" s="205">
        <f>SUM('Restating Adj'!AY46:BF46)</f>
        <v>0</v>
      </c>
    </row>
    <row r="41" spans="1:11" x14ac:dyDescent="0.2">
      <c r="A41" s="204">
        <v>37</v>
      </c>
      <c r="B41" s="204" t="s">
        <v>77</v>
      </c>
      <c r="C41" s="205">
        <f t="shared" si="10"/>
        <v>0</v>
      </c>
      <c r="D41" s="205">
        <f>SUM('Restating Adj'!C47:E47)</f>
        <v>0</v>
      </c>
      <c r="E41" s="205">
        <f>SUM('Restating Adj'!F47:R47)</f>
        <v>0</v>
      </c>
      <c r="F41" s="205">
        <f>SUM('Restating Adj'!S47:W47)</f>
        <v>0</v>
      </c>
      <c r="G41" s="205">
        <f>SUM('Restating Adj'!X47:AA47)</f>
        <v>0</v>
      </c>
      <c r="H41" s="205">
        <f>SUM('Restating Adj'!AB47:AK47)</f>
        <v>0</v>
      </c>
      <c r="I41" s="205">
        <f>SUM('Restating Adj'!AL47:AW47)</f>
        <v>0</v>
      </c>
      <c r="J41" s="205">
        <f>SUM('Restating Adj'!AX47:AX47)</f>
        <v>0</v>
      </c>
      <c r="K41" s="205">
        <f>SUM('Restating Adj'!AY47:BF47)</f>
        <v>0</v>
      </c>
    </row>
    <row r="42" spans="1:11" x14ac:dyDescent="0.2">
      <c r="A42" s="204">
        <v>38</v>
      </c>
      <c r="B42" s="204" t="s">
        <v>78</v>
      </c>
      <c r="C42" s="205">
        <f t="shared" si="10"/>
        <v>-3284761.1438008333</v>
      </c>
      <c r="D42" s="205">
        <f>SUM('Restating Adj'!C48:E48)</f>
        <v>0</v>
      </c>
      <c r="E42" s="205">
        <f>SUM('Restating Adj'!F48:R48)</f>
        <v>0</v>
      </c>
      <c r="F42" s="205">
        <f>SUM('Restating Adj'!S48:W48)</f>
        <v>0</v>
      </c>
      <c r="G42" s="205">
        <f>SUM('Restating Adj'!X48:AA48)</f>
        <v>0</v>
      </c>
      <c r="H42" s="205">
        <f>SUM('Restating Adj'!AB48:AK48)</f>
        <v>0</v>
      </c>
      <c r="I42" s="205">
        <f>SUM('Restating Adj'!AL48:AW48)</f>
        <v>-3284761.1438008333</v>
      </c>
      <c r="J42" s="205">
        <f>SUM('Restating Adj'!AX48:AX48)</f>
        <v>0</v>
      </c>
      <c r="K42" s="205">
        <f>SUM('Restating Adj'!AY48:BF48)</f>
        <v>0</v>
      </c>
    </row>
    <row r="43" spans="1:11" x14ac:dyDescent="0.2">
      <c r="A43" s="204">
        <v>39</v>
      </c>
      <c r="B43" s="204" t="s">
        <v>79</v>
      </c>
      <c r="C43" s="205">
        <f t="shared" si="10"/>
        <v>-9196314.6827737149</v>
      </c>
      <c r="D43" s="205">
        <f>SUM('Restating Adj'!C49:E49)</f>
        <v>0</v>
      </c>
      <c r="E43" s="205">
        <f>SUM('Restating Adj'!F49:R49)</f>
        <v>0</v>
      </c>
      <c r="F43" s="205">
        <f>SUM('Restating Adj'!S49:W49)</f>
        <v>0</v>
      </c>
      <c r="G43" s="205">
        <f>SUM('Restating Adj'!X49:AA49)</f>
        <v>0</v>
      </c>
      <c r="H43" s="205">
        <f>SUM('Restating Adj'!AB49:AK49)</f>
        <v>0</v>
      </c>
      <c r="I43" s="205">
        <f>SUM('Restating Adj'!AL49:AW49)</f>
        <v>-9196314.6827737149</v>
      </c>
      <c r="J43" s="205">
        <f>SUM('Restating Adj'!AX49:AX49)</f>
        <v>0</v>
      </c>
      <c r="K43" s="205">
        <f>SUM('Restating Adj'!AY49:BF49)</f>
        <v>0</v>
      </c>
    </row>
    <row r="44" spans="1:11" x14ac:dyDescent="0.2">
      <c r="A44" s="204">
        <v>40</v>
      </c>
      <c r="B44" s="204" t="s">
        <v>80</v>
      </c>
      <c r="C44" s="205">
        <f t="shared" si="10"/>
        <v>-12260466.638721503</v>
      </c>
      <c r="D44" s="205">
        <f>SUM('Restating Adj'!C50:E50)</f>
        <v>0</v>
      </c>
      <c r="E44" s="205">
        <f>SUM('Restating Adj'!F50:R50)</f>
        <v>0</v>
      </c>
      <c r="F44" s="205">
        <f>SUM('Restating Adj'!S50:W50)</f>
        <v>0</v>
      </c>
      <c r="G44" s="205">
        <f>SUM('Restating Adj'!X50:AA50)</f>
        <v>0</v>
      </c>
      <c r="H44" s="205">
        <f>SUM('Restating Adj'!AB50:AK50)</f>
        <v>0</v>
      </c>
      <c r="I44" s="205">
        <f>SUM('Restating Adj'!AL50:AW50)</f>
        <v>-12260466.638721503</v>
      </c>
      <c r="J44" s="205">
        <f>SUM('Restating Adj'!AX50:AX50)</f>
        <v>0</v>
      </c>
      <c r="K44" s="205">
        <f>SUM('Restating Adj'!AY50:BF50)</f>
        <v>0</v>
      </c>
    </row>
    <row r="45" spans="1:11" x14ac:dyDescent="0.2">
      <c r="A45" s="204">
        <v>41</v>
      </c>
      <c r="B45" s="204" t="s">
        <v>81</v>
      </c>
      <c r="C45" s="205">
        <f t="shared" si="10"/>
        <v>27126509.002465546</v>
      </c>
      <c r="D45" s="205">
        <f>SUM('Restating Adj'!C51:E51)</f>
        <v>0</v>
      </c>
      <c r="E45" s="205">
        <f>SUM('Restating Adj'!F51:R51)</f>
        <v>0</v>
      </c>
      <c r="F45" s="205">
        <f>SUM('Restating Adj'!S51:W51)</f>
        <v>0</v>
      </c>
      <c r="G45" s="205">
        <f>SUM('Restating Adj'!X51:AA51)</f>
        <v>0</v>
      </c>
      <c r="H45" s="205">
        <f>SUM('Restating Adj'!AB51:AK51)</f>
        <v>0</v>
      </c>
      <c r="I45" s="205">
        <f>SUM('Restating Adj'!AL51:AW51)</f>
        <v>27126509.002465546</v>
      </c>
      <c r="J45" s="205">
        <f>SUM('Restating Adj'!AX51:AX51)</f>
        <v>0</v>
      </c>
      <c r="K45" s="205">
        <f>SUM('Restating Adj'!AY51:BF51)</f>
        <v>0</v>
      </c>
    </row>
    <row r="46" spans="1:11" x14ac:dyDescent="0.2">
      <c r="A46" s="204">
        <v>42</v>
      </c>
      <c r="B46" s="204" t="s">
        <v>160</v>
      </c>
      <c r="C46" s="205">
        <f t="shared" si="10"/>
        <v>0</v>
      </c>
      <c r="D46" s="205">
        <f>SUM('Restating Adj'!C52:E52)</f>
        <v>0</v>
      </c>
      <c r="E46" s="205">
        <f>SUM('Restating Adj'!F52:R52)</f>
        <v>0</v>
      </c>
      <c r="F46" s="205">
        <f>SUM('Restating Adj'!S52:W52)</f>
        <v>0</v>
      </c>
      <c r="G46" s="205">
        <f>SUM('Restating Adj'!X52:AA52)</f>
        <v>0</v>
      </c>
      <c r="H46" s="205">
        <f>SUM('Restating Adj'!AB52:AK52)</f>
        <v>0</v>
      </c>
      <c r="I46" s="205">
        <f>SUM('Restating Adj'!AL52:AW52)</f>
        <v>0</v>
      </c>
      <c r="J46" s="205">
        <f>SUM('Restating Adj'!AX52:AX52)</f>
        <v>0</v>
      </c>
      <c r="K46" s="205">
        <f>SUM('Restating Adj'!AY52:BF52)</f>
        <v>0</v>
      </c>
    </row>
    <row r="47" spans="1:11" x14ac:dyDescent="0.2">
      <c r="A47" s="204">
        <v>43</v>
      </c>
      <c r="B47" s="204" t="s">
        <v>83</v>
      </c>
      <c r="C47" s="205">
        <f t="shared" si="10"/>
        <v>0</v>
      </c>
      <c r="D47" s="212">
        <f>SUM('Restating Adj'!C53:E53)</f>
        <v>0</v>
      </c>
      <c r="E47" s="205">
        <f>SUM('Restating Adj'!F53:R53)</f>
        <v>0</v>
      </c>
      <c r="F47" s="205">
        <f>SUM('Restating Adj'!S53:W53)</f>
        <v>0</v>
      </c>
      <c r="G47" s="205">
        <f>SUM('Restating Adj'!X53:AA53)</f>
        <v>0</v>
      </c>
      <c r="H47" s="205">
        <f>SUM('Restating Adj'!AB53:AK53)</f>
        <v>0</v>
      </c>
      <c r="I47" s="205">
        <f>SUM('Restating Adj'!AL53:AW53)</f>
        <v>0</v>
      </c>
      <c r="J47" s="205">
        <f>SUM('Restating Adj'!AX53:AX53)</f>
        <v>0</v>
      </c>
      <c r="K47" s="205">
        <f>SUM('Restating Adj'!AY53:BF53)</f>
        <v>0</v>
      </c>
    </row>
    <row r="48" spans="1:11" x14ac:dyDescent="0.2">
      <c r="A48" s="204">
        <v>44</v>
      </c>
      <c r="B48" s="204" t="s">
        <v>84</v>
      </c>
      <c r="C48" s="210">
        <f>SUM(C37:C47)</f>
        <v>-344971894.47098577</v>
      </c>
      <c r="D48" s="210">
        <f t="shared" ref="D48:I48" si="11">SUM(D37:D47)</f>
        <v>0</v>
      </c>
      <c r="E48" s="210">
        <f t="shared" si="11"/>
        <v>0</v>
      </c>
      <c r="F48" s="210">
        <f t="shared" si="11"/>
        <v>0</v>
      </c>
      <c r="G48" s="210">
        <f t="shared" si="11"/>
        <v>0</v>
      </c>
      <c r="H48" s="210">
        <f t="shared" si="11"/>
        <v>0</v>
      </c>
      <c r="I48" s="210">
        <f t="shared" si="11"/>
        <v>-6805781.6174333394</v>
      </c>
      <c r="J48" s="210">
        <f t="shared" ref="J48:K48" si="12">SUM(J37:J47)</f>
        <v>0</v>
      </c>
      <c r="K48" s="210">
        <f t="shared" si="12"/>
        <v>-338166112.85355234</v>
      </c>
    </row>
    <row r="49" spans="1:11" x14ac:dyDescent="0.2">
      <c r="A49" s="204">
        <v>45</v>
      </c>
      <c r="B49" s="231"/>
    </row>
    <row r="50" spans="1:11" x14ac:dyDescent="0.2">
      <c r="A50" s="204">
        <v>46</v>
      </c>
      <c r="B50" s="204" t="s">
        <v>161</v>
      </c>
    </row>
    <row r="51" spans="1:11" x14ac:dyDescent="0.2">
      <c r="A51" s="204">
        <v>47</v>
      </c>
      <c r="B51" s="204" t="s">
        <v>86</v>
      </c>
      <c r="C51" s="205">
        <f t="shared" ref="C51:C57" si="13">SUM(D51:K51)</f>
        <v>142190073.21610385</v>
      </c>
      <c r="D51" s="205">
        <f>SUM('Restating Adj'!C57:E57)</f>
        <v>0</v>
      </c>
      <c r="E51" s="205">
        <f>SUM('Restating Adj'!F57:R57)</f>
        <v>0</v>
      </c>
      <c r="F51" s="205">
        <f>SUM('Restating Adj'!S57:W57)</f>
        <v>0</v>
      </c>
      <c r="G51" s="205">
        <f>SUM('Restating Adj'!X57:AA57)</f>
        <v>-26352745.329160132</v>
      </c>
      <c r="H51" s="205">
        <f>SUM('Restating Adj'!AB57:AK57)</f>
        <v>0</v>
      </c>
      <c r="I51" s="205">
        <f>SUM('Restating Adj'!AL57:AW57)</f>
        <v>3877893.9845250761</v>
      </c>
      <c r="J51" s="205">
        <f>SUM('Restating Adj'!AX57:AX57)</f>
        <v>0</v>
      </c>
      <c r="K51" s="205">
        <f>SUM('Restating Adj'!AY57:BF57)</f>
        <v>164664924.56073889</v>
      </c>
    </row>
    <row r="52" spans="1:11" x14ac:dyDescent="0.2">
      <c r="A52" s="204">
        <v>48</v>
      </c>
      <c r="B52" s="204" t="s">
        <v>87</v>
      </c>
      <c r="C52" s="205">
        <f t="shared" si="13"/>
        <v>-1545676.0641232664</v>
      </c>
      <c r="D52" s="205">
        <f>SUM('Restating Adj'!C58:E58)</f>
        <v>0</v>
      </c>
      <c r="E52" s="205">
        <f>SUM('Restating Adj'!F58:R58)</f>
        <v>0</v>
      </c>
      <c r="F52" s="205">
        <f>SUM('Restating Adj'!S58:W58)</f>
        <v>0</v>
      </c>
      <c r="G52" s="205">
        <f>SUM('Restating Adj'!X58:AA58)</f>
        <v>-1545676.0641232664</v>
      </c>
      <c r="H52" s="205">
        <f>SUM('Restating Adj'!AB58:AK58)</f>
        <v>0</v>
      </c>
      <c r="I52" s="205">
        <f>SUM('Restating Adj'!AL58:AW58)</f>
        <v>0</v>
      </c>
      <c r="J52" s="205">
        <f>SUM('Restating Adj'!AX58:AX58)</f>
        <v>0</v>
      </c>
      <c r="K52" s="205">
        <f>SUM('Restating Adj'!AY58:BF58)</f>
        <v>0</v>
      </c>
    </row>
    <row r="53" spans="1:11" x14ac:dyDescent="0.2">
      <c r="A53" s="204">
        <v>49</v>
      </c>
      <c r="B53" s="204" t="s">
        <v>88</v>
      </c>
      <c r="C53" s="205">
        <f t="shared" si="13"/>
        <v>-2150455.7059734222</v>
      </c>
      <c r="D53" s="205">
        <f>SUM('Restating Adj'!C59:E59)</f>
        <v>0</v>
      </c>
      <c r="E53" s="205">
        <f>SUM('Restating Adj'!F59:R59)</f>
        <v>1273328.1449545922</v>
      </c>
      <c r="F53" s="205">
        <f>SUM('Restating Adj'!S59:W59)</f>
        <v>0</v>
      </c>
      <c r="G53" s="205">
        <f>SUM('Restating Adj'!X59:AA59)</f>
        <v>0</v>
      </c>
      <c r="H53" s="205">
        <f>SUM('Restating Adj'!AB59:AK59)</f>
        <v>-8278958.3132184502</v>
      </c>
      <c r="I53" s="205">
        <f>SUM('Restating Adj'!AL59:AW59)</f>
        <v>2194041.5510532116</v>
      </c>
      <c r="J53" s="205">
        <f>SUM('Restating Adj'!AX59:AX59)</f>
        <v>0</v>
      </c>
      <c r="K53" s="205">
        <f>SUM('Restating Adj'!AY59:BF59)</f>
        <v>2661132.9112372249</v>
      </c>
    </row>
    <row r="54" spans="1:11" x14ac:dyDescent="0.2">
      <c r="A54" s="204">
        <v>50</v>
      </c>
      <c r="B54" s="204" t="s">
        <v>89</v>
      </c>
      <c r="C54" s="205">
        <f t="shared" si="13"/>
        <v>0</v>
      </c>
      <c r="D54" s="205">
        <f>SUM('Restating Adj'!C60:E60)</f>
        <v>0</v>
      </c>
      <c r="E54" s="205">
        <f>SUM('Restating Adj'!F60:R60)</f>
        <v>0</v>
      </c>
      <c r="F54" s="205">
        <f>SUM('Restating Adj'!S60:W60)</f>
        <v>0</v>
      </c>
      <c r="G54" s="205">
        <f>SUM('Restating Adj'!X60:AA60)</f>
        <v>0</v>
      </c>
      <c r="H54" s="205">
        <f>SUM('Restating Adj'!AB60:AK60)</f>
        <v>0</v>
      </c>
      <c r="I54" s="205">
        <f>SUM('Restating Adj'!AL60:AW60)</f>
        <v>0</v>
      </c>
      <c r="J54" s="205">
        <f>SUM('Restating Adj'!AX60:AX60)</f>
        <v>0</v>
      </c>
      <c r="K54" s="205">
        <f>SUM('Restating Adj'!AY60:BF60)</f>
        <v>0</v>
      </c>
    </row>
    <row r="55" spans="1:11" x14ac:dyDescent="0.2">
      <c r="A55" s="204">
        <v>51</v>
      </c>
      <c r="B55" s="204" t="s">
        <v>90</v>
      </c>
      <c r="C55" s="205">
        <f t="shared" si="13"/>
        <v>-1733115.077035418</v>
      </c>
      <c r="D55" s="205">
        <f>SUM('Restating Adj'!C61:E61)</f>
        <v>0</v>
      </c>
      <c r="E55" s="205">
        <f>SUM('Restating Adj'!F61:R61)</f>
        <v>0</v>
      </c>
      <c r="F55" s="205">
        <f>SUM('Restating Adj'!S61:W61)</f>
        <v>0</v>
      </c>
      <c r="G55" s="205">
        <f>SUM('Restating Adj'!X61:AA61)</f>
        <v>0</v>
      </c>
      <c r="H55" s="205">
        <f>SUM('Restating Adj'!AB61:AK61)</f>
        <v>0</v>
      </c>
      <c r="I55" s="205">
        <f>SUM('Restating Adj'!AL61:AW61)</f>
        <v>-1733115.077035418</v>
      </c>
      <c r="J55" s="205">
        <f>SUM('Restating Adj'!AX61:AX61)</f>
        <v>0</v>
      </c>
      <c r="K55" s="205">
        <f>SUM('Restating Adj'!AY61:BF61)</f>
        <v>0</v>
      </c>
    </row>
    <row r="56" spans="1:11" x14ac:dyDescent="0.2">
      <c r="A56" s="204">
        <v>52</v>
      </c>
      <c r="B56" s="204" t="s">
        <v>91</v>
      </c>
      <c r="C56" s="205">
        <f t="shared" si="13"/>
        <v>-408390.63249999989</v>
      </c>
      <c r="D56" s="205">
        <f>SUM('Restating Adj'!C62:E62)</f>
        <v>0</v>
      </c>
      <c r="E56" s="205">
        <f>SUM('Restating Adj'!F62:R62)</f>
        <v>0</v>
      </c>
      <c r="F56" s="205">
        <f>SUM('Restating Adj'!S62:W62)</f>
        <v>0</v>
      </c>
      <c r="G56" s="205">
        <f>SUM('Restating Adj'!X62:AA62)</f>
        <v>0</v>
      </c>
      <c r="H56" s="205">
        <f>SUM('Restating Adj'!AB62:AK62)</f>
        <v>0</v>
      </c>
      <c r="I56" s="205">
        <f>SUM('Restating Adj'!AL62:AW62)</f>
        <v>-408390.63249999989</v>
      </c>
      <c r="J56" s="205">
        <f>SUM('Restating Adj'!AX62:AX62)</f>
        <v>0</v>
      </c>
      <c r="K56" s="205">
        <f>SUM('Restating Adj'!AY62:BF62)</f>
        <v>0</v>
      </c>
    </row>
    <row r="57" spans="1:11" x14ac:dyDescent="0.2">
      <c r="A57" s="204">
        <v>53</v>
      </c>
      <c r="B57" s="204" t="s">
        <v>162</v>
      </c>
      <c r="C57" s="205">
        <f t="shared" si="13"/>
        <v>45480887.370662242</v>
      </c>
      <c r="D57" s="205">
        <f>SUM('Restating Adj'!C63:E63)</f>
        <v>0</v>
      </c>
      <c r="E57" s="205">
        <f>SUM('Restating Adj'!F63:R63)</f>
        <v>0</v>
      </c>
      <c r="F57" s="205">
        <f>SUM('Restating Adj'!S63:W63)</f>
        <v>0</v>
      </c>
      <c r="G57" s="205">
        <f>SUM('Restating Adj'!X63:AA63)</f>
        <v>0</v>
      </c>
      <c r="H57" s="205">
        <f>SUM('Restating Adj'!AB63:AK63)</f>
        <v>35285349</v>
      </c>
      <c r="I57" s="205">
        <f>SUM('Restating Adj'!AL63:AW63)</f>
        <v>10195538.370662238</v>
      </c>
      <c r="J57" s="205">
        <f>SUM('Restating Adj'!AX63:AX63)</f>
        <v>0</v>
      </c>
      <c r="K57" s="205">
        <f>SUM('Restating Adj'!AY63:BF63)</f>
        <v>0</v>
      </c>
    </row>
    <row r="58" spans="1:11" x14ac:dyDescent="0.2">
      <c r="A58" s="204">
        <v>54</v>
      </c>
      <c r="B58" s="204"/>
      <c r="F58" s="205"/>
      <c r="G58" s="205"/>
      <c r="I58" s="205"/>
      <c r="J58" s="205"/>
      <c r="K58" s="205">
        <f>SUM('Restating Adj'!AY64:BF64)</f>
        <v>0</v>
      </c>
    </row>
    <row r="59" spans="1:11" x14ac:dyDescent="0.2">
      <c r="A59" s="204">
        <v>55</v>
      </c>
      <c r="B59" s="204" t="s">
        <v>163</v>
      </c>
      <c r="C59" s="210">
        <f>SUM(C51:C58)</f>
        <v>181833323.10713398</v>
      </c>
      <c r="D59" s="210">
        <f t="shared" ref="D59:I59" si="14">SUM(D51:D58)</f>
        <v>0</v>
      </c>
      <c r="E59" s="210">
        <f t="shared" si="14"/>
        <v>1273328.1449545922</v>
      </c>
      <c r="F59" s="210">
        <f t="shared" si="14"/>
        <v>0</v>
      </c>
      <c r="G59" s="210">
        <f t="shared" si="14"/>
        <v>-27898421.393283397</v>
      </c>
      <c r="H59" s="210">
        <f t="shared" si="14"/>
        <v>27006390.686781548</v>
      </c>
      <c r="I59" s="210">
        <f t="shared" si="14"/>
        <v>14125968.196705109</v>
      </c>
      <c r="J59" s="210">
        <f t="shared" ref="J59:K59" si="15">SUM(J51:J58)</f>
        <v>0</v>
      </c>
      <c r="K59" s="210">
        <f t="shared" si="15"/>
        <v>167326057.4719761</v>
      </c>
    </row>
    <row r="60" spans="1:11" x14ac:dyDescent="0.2">
      <c r="A60" s="204">
        <v>56</v>
      </c>
      <c r="B60" s="204"/>
    </row>
    <row r="61" spans="1:11" ht="13.5" thickBot="1" x14ac:dyDescent="0.25">
      <c r="A61" s="204">
        <v>57</v>
      </c>
      <c r="B61" s="204" t="s">
        <v>94</v>
      </c>
      <c r="C61" s="211">
        <f>C48+C59</f>
        <v>-163138571.36385179</v>
      </c>
      <c r="D61" s="211">
        <f t="shared" ref="D61:I61" si="16">D48+D59</f>
        <v>0</v>
      </c>
      <c r="E61" s="211">
        <f t="shared" si="16"/>
        <v>1273328.1449545922</v>
      </c>
      <c r="F61" s="211">
        <f t="shared" si="16"/>
        <v>0</v>
      </c>
      <c r="G61" s="211">
        <f t="shared" si="16"/>
        <v>-27898421.393283397</v>
      </c>
      <c r="H61" s="211">
        <f t="shared" si="16"/>
        <v>27006390.686781548</v>
      </c>
      <c r="I61" s="211">
        <f t="shared" si="16"/>
        <v>7320186.5792717692</v>
      </c>
      <c r="J61" s="211">
        <f t="shared" ref="J61:K61" si="17">J48+J59</f>
        <v>0</v>
      </c>
      <c r="K61" s="211">
        <f t="shared" si="17"/>
        <v>-170840055.38157624</v>
      </c>
    </row>
    <row r="62" spans="1:11" ht="13.5" thickTop="1" x14ac:dyDescent="0.2">
      <c r="A62" s="204">
        <v>58</v>
      </c>
      <c r="B62" s="204"/>
    </row>
    <row r="63" spans="1:11" x14ac:dyDescent="0.2">
      <c r="A63" s="204">
        <v>59</v>
      </c>
      <c r="B63" s="213" t="s">
        <v>164</v>
      </c>
      <c r="C63" s="287">
        <f t="shared" ref="C63" si="18">(((C34+Unadj_Op_revenue)/(C61+Unadj_rate_base))-Weighted_cost_debt-Weighted_cost_pref)/Percent_common-Unadj_ROE</f>
        <v>4.0081540639769347E-2</v>
      </c>
      <c r="D63" s="214">
        <f t="shared" ref="D63:I63" si="19">(((D34+Unadj_Op_revenue)/(D61+Unadj_rate_base))-Weighted_cost_debt-Weighted_cost_pref)/Percent_common-Unadj_ROE</f>
        <v>4.2126131363288258E-2</v>
      </c>
      <c r="E63" s="214">
        <f t="shared" si="19"/>
        <v>-4.9711360173839425E-3</v>
      </c>
      <c r="F63" s="214">
        <f t="shared" si="19"/>
        <v>9.5658764942810615E-3</v>
      </c>
      <c r="G63" s="214">
        <f t="shared" si="19"/>
        <v>-6.0241463505607828E-3</v>
      </c>
      <c r="H63" s="214">
        <f t="shared" si="19"/>
        <v>-2.4155116575737705E-2</v>
      </c>
      <c r="I63" s="214">
        <f t="shared" si="19"/>
        <v>-3.9342078047577278E-4</v>
      </c>
      <c r="J63" s="214">
        <f t="shared" ref="J63:K63" si="20">(((J34+Unadj_Op_revenue)/(J61+Unadj_rate_base))-Weighted_cost_debt-Weighted_cost_pref)/Percent_common-Unadj_ROE</f>
        <v>0</v>
      </c>
      <c r="K63" s="214">
        <f t="shared" si="20"/>
        <v>2.1935938486409512E-2</v>
      </c>
    </row>
    <row r="64" spans="1:11" x14ac:dyDescent="0.2">
      <c r="A64" s="204">
        <v>60</v>
      </c>
      <c r="B64" s="196" t="s">
        <v>42</v>
      </c>
      <c r="C64" s="215">
        <f t="shared" ref="C64" si="21">-(C34-(C61*Overall_ROR))/gross_up_factor</f>
        <v>-30668882.191322256</v>
      </c>
      <c r="D64" s="215">
        <f t="shared" ref="D64:I64" si="22">-(D34-(D61*Overall_ROR))/gross_up_factor</f>
        <v>-33048288.066658527</v>
      </c>
      <c r="E64" s="215">
        <f t="shared" si="22"/>
        <v>3932964.9220324666</v>
      </c>
      <c r="F64" s="215">
        <f t="shared" si="22"/>
        <v>-7504506.8645582162</v>
      </c>
      <c r="G64" s="215">
        <f t="shared" si="22"/>
        <v>3981424.530764672</v>
      </c>
      <c r="H64" s="215">
        <f t="shared" si="22"/>
        <v>20004558.288443252</v>
      </c>
      <c r="I64" s="215">
        <f t="shared" si="22"/>
        <v>475898.06423207361</v>
      </c>
      <c r="J64" s="215">
        <f t="shared" ref="J64:K64" si="23">-(J34-(J61*Overall_ROR))/gross_up_factor</f>
        <v>0</v>
      </c>
      <c r="K64" s="215">
        <f t="shared" si="23"/>
        <v>-18510933.06557798</v>
      </c>
    </row>
    <row r="65" spans="1:11" x14ac:dyDescent="0.2">
      <c r="A65" s="204">
        <v>61</v>
      </c>
      <c r="B65" s="204"/>
    </row>
    <row r="66" spans="1:11" x14ac:dyDescent="0.2">
      <c r="A66" s="204">
        <v>62</v>
      </c>
      <c r="B66" s="204" t="s">
        <v>96</v>
      </c>
    </row>
    <row r="67" spans="1:11" x14ac:dyDescent="0.2">
      <c r="A67" s="204">
        <v>63</v>
      </c>
      <c r="B67" s="204" t="s">
        <v>97</v>
      </c>
      <c r="C67" s="216">
        <f>SUM(D67:K67)</f>
        <v>29346691.246951763</v>
      </c>
      <c r="D67" s="216">
        <f t="shared" ref="D67:I67" si="24">D10-D23-D24-D25-D26-D31</f>
        <v>31451093.587690141</v>
      </c>
      <c r="E67" s="216">
        <f t="shared" si="24"/>
        <v>-3566587.758610588</v>
      </c>
      <c r="F67" s="216">
        <f t="shared" si="24"/>
        <v>7141820.6973571628</v>
      </c>
      <c r="G67" s="216">
        <f t="shared" si="24"/>
        <v>-5933674.8417438753</v>
      </c>
      <c r="H67" s="216">
        <f t="shared" si="24"/>
        <v>-1290521</v>
      </c>
      <c r="I67" s="216">
        <f t="shared" si="24"/>
        <v>251322.14857429985</v>
      </c>
      <c r="J67" s="216">
        <f t="shared" ref="J67:K67" si="25">J10-J23-J24-J25-J26-J31</f>
        <v>0</v>
      </c>
      <c r="K67" s="216">
        <f t="shared" si="25"/>
        <v>1293238.4136846224</v>
      </c>
    </row>
    <row r="68" spans="1:11" x14ac:dyDescent="0.2">
      <c r="A68" s="204">
        <v>64</v>
      </c>
      <c r="B68" s="204" t="s">
        <v>98</v>
      </c>
      <c r="C68" s="216">
        <v>0</v>
      </c>
      <c r="D68" s="15">
        <f>SUM('Restating Adj'!C75:E75)</f>
        <v>0</v>
      </c>
      <c r="E68" s="15">
        <f>SUM('Restating Adj'!F75:R75)</f>
        <v>0</v>
      </c>
      <c r="F68" s="15">
        <f>SUM('Restating Adj'!S75:W75)</f>
        <v>0</v>
      </c>
      <c r="G68" s="15">
        <f>SUM('Restating Adj'!X75:AA75)</f>
        <v>0</v>
      </c>
      <c r="H68" s="15">
        <f>SUM('Restating Adj'!AB75:AK75)</f>
        <v>0</v>
      </c>
      <c r="I68" s="15">
        <f>SUM('Restating Adj'!AL75:AW75)</f>
        <v>0</v>
      </c>
      <c r="J68" s="15">
        <f>SUM('Restating Adj'!AX75:AX75)</f>
        <v>0</v>
      </c>
      <c r="K68" s="15">
        <f>SUM('Restating Adj'!AY75:BF75)</f>
        <v>0</v>
      </c>
    </row>
    <row r="69" spans="1:11" x14ac:dyDescent="0.2">
      <c r="A69" s="204">
        <v>65</v>
      </c>
      <c r="B69" s="204" t="s">
        <v>99</v>
      </c>
      <c r="C69" s="216">
        <f>SUM(D69:K69)</f>
        <v>0</v>
      </c>
      <c r="D69" s="216">
        <f>SUM('Restating Adj'!C76:E76)</f>
        <v>0</v>
      </c>
      <c r="E69" s="205">
        <f>SUM('Restating Adj'!F76:R76)</f>
        <v>0</v>
      </c>
      <c r="F69" s="216">
        <f>SUM('Restating Adj'!S76:W76)</f>
        <v>0</v>
      </c>
      <c r="G69" s="216">
        <f>SUM('Restating Adj'!X76:AA76)</f>
        <v>0</v>
      </c>
      <c r="H69" s="205">
        <f>SUM('Restating Adj'!AB76:AK76)</f>
        <v>0</v>
      </c>
      <c r="I69" s="205">
        <f>SUM('Restating Adj'!AL76:AW76)</f>
        <v>0</v>
      </c>
      <c r="J69" s="15">
        <f>SUM('Restating Adj'!AX76:AX76)</f>
        <v>0</v>
      </c>
      <c r="K69" s="205">
        <f>SUM('Restating Adj'!AY76:BF76)</f>
        <v>0</v>
      </c>
    </row>
    <row r="70" spans="1:11" x14ac:dyDescent="0.2">
      <c r="A70" s="204">
        <v>66</v>
      </c>
      <c r="B70" s="204" t="s">
        <v>100</v>
      </c>
      <c r="C70" s="216">
        <f>SUM(D70:K70)</f>
        <v>-5002404.1441638805</v>
      </c>
      <c r="D70" s="216">
        <f>SUM('Restating Adj'!C77:E77)</f>
        <v>0</v>
      </c>
      <c r="E70" s="205">
        <f>SUM('Restating Adj'!F77:R77)</f>
        <v>0</v>
      </c>
      <c r="F70" s="216">
        <f>SUM('Restating Adj'!S77:W77)</f>
        <v>0</v>
      </c>
      <c r="G70" s="216">
        <f>SUM('Restating Adj'!X77:AA77)</f>
        <v>0</v>
      </c>
      <c r="H70" s="205">
        <f>SUM('Restating Adj'!AB77:AK77)</f>
        <v>-5002404.1441638805</v>
      </c>
      <c r="I70" s="205">
        <f>SUM('Restating Adj'!AL77:AW77)</f>
        <v>0</v>
      </c>
      <c r="J70" s="15">
        <f>SUM('Restating Adj'!AX77:AX77)</f>
        <v>0</v>
      </c>
      <c r="K70" s="205">
        <f>SUM('Restating Adj'!AY77:BF77)</f>
        <v>0</v>
      </c>
    </row>
    <row r="71" spans="1:11" x14ac:dyDescent="0.2">
      <c r="A71" s="204">
        <v>67</v>
      </c>
      <c r="B71" s="209" t="s">
        <v>101</v>
      </c>
      <c r="C71" s="216">
        <f>SUM(D71:K71)</f>
        <v>1370029.8969781273</v>
      </c>
      <c r="D71" s="216">
        <f>SUM('Restating Adj'!C78:E78)</f>
        <v>0</v>
      </c>
      <c r="E71" s="205">
        <f>SUM('Restating Adj'!F78:R78)</f>
        <v>-770947.16000000015</v>
      </c>
      <c r="F71" s="216">
        <f>SUM('Restating Adj'!S78:W78)</f>
        <v>0</v>
      </c>
      <c r="G71" s="216">
        <f>SUM('Restating Adj'!X78:AA78)</f>
        <v>2028530.9125303458</v>
      </c>
      <c r="H71" s="205">
        <f>SUM('Restating Adj'!AB78:AK78)</f>
        <v>-306028.52656283416</v>
      </c>
      <c r="I71" s="205">
        <f>SUM('Restating Adj'!AL78:AW78)</f>
        <v>0</v>
      </c>
      <c r="J71" s="15">
        <f>SUM('Restating Adj'!AX78:AX78)</f>
        <v>0</v>
      </c>
      <c r="K71" s="205">
        <f>SUM('Restating Adj'!AY78:BF78)</f>
        <v>418474.67101061583</v>
      </c>
    </row>
    <row r="72" spans="1:11" x14ac:dyDescent="0.2">
      <c r="A72" s="204">
        <v>68</v>
      </c>
      <c r="B72" s="209" t="s">
        <v>102</v>
      </c>
      <c r="C72" s="217">
        <f>SUM(D72:K72)</f>
        <v>1328870.096516567</v>
      </c>
      <c r="D72" s="217">
        <f>SUM('Restating Adj'!C79:E79)</f>
        <v>0</v>
      </c>
      <c r="E72" s="205">
        <f>SUM('Restating Adj'!F79:R79)</f>
        <v>414133.89288217115</v>
      </c>
      <c r="F72" s="217">
        <f>SUM('Restating Adj'!S79:W79)</f>
        <v>0</v>
      </c>
      <c r="G72" s="217">
        <f>SUM('Restating Adj'!X79:AA79)</f>
        <v>0</v>
      </c>
      <c r="H72" s="205">
        <f>SUM('Restating Adj'!AB79:AK79)</f>
        <v>-1323299.0699693311</v>
      </c>
      <c r="I72" s="205">
        <f>SUM('Restating Adj'!AL79:AW79)</f>
        <v>0</v>
      </c>
      <c r="J72" s="15">
        <f>SUM('Restating Adj'!AX79:AX79)</f>
        <v>0</v>
      </c>
      <c r="K72" s="205">
        <f>SUM('Restating Adj'!AY79:BF79)</f>
        <v>2238035.2736037271</v>
      </c>
    </row>
    <row r="73" spans="1:11" x14ac:dyDescent="0.2">
      <c r="A73" s="204">
        <v>69</v>
      </c>
      <c r="B73" s="209" t="s">
        <v>103</v>
      </c>
      <c r="C73" s="218">
        <f>SUM(D73:K73)</f>
        <v>34390255.191577204</v>
      </c>
      <c r="D73" s="218">
        <f>D67-D69-D70+D71-D72</f>
        <v>31451093.587690141</v>
      </c>
      <c r="E73" s="218">
        <f t="shared" ref="E73:I73" si="26">E67-E69-E70+E71-E72</f>
        <v>-4751668.8114927588</v>
      </c>
      <c r="F73" s="218">
        <f t="shared" si="26"/>
        <v>7141820.6973571628</v>
      </c>
      <c r="G73" s="218">
        <f t="shared" si="26"/>
        <v>-3905143.9292135295</v>
      </c>
      <c r="H73" s="218">
        <f t="shared" si="26"/>
        <v>4729153.6875703773</v>
      </c>
      <c r="I73" s="218">
        <f t="shared" si="26"/>
        <v>251322.14857429985</v>
      </c>
      <c r="J73" s="218">
        <f t="shared" ref="J73:K73" si="27">J67-J69-J70+J71-J72</f>
        <v>0</v>
      </c>
      <c r="K73" s="218">
        <f t="shared" si="27"/>
        <v>-526322.18890848896</v>
      </c>
    </row>
    <row r="74" spans="1:11" x14ac:dyDescent="0.2">
      <c r="A74" s="204">
        <v>70</v>
      </c>
      <c r="B74" s="204"/>
      <c r="C74" s="217"/>
      <c r="D74" s="217"/>
      <c r="E74" s="217"/>
      <c r="F74" s="217"/>
      <c r="G74" s="217"/>
      <c r="H74" s="217"/>
      <c r="I74" s="217"/>
      <c r="J74" s="217"/>
      <c r="K74" s="217"/>
    </row>
    <row r="75" spans="1:11" x14ac:dyDescent="0.2">
      <c r="A75" s="204">
        <v>71</v>
      </c>
      <c r="B75" s="204" t="s">
        <v>104</v>
      </c>
      <c r="C75" s="216">
        <f>SUM(D75:K75)</f>
        <v>0</v>
      </c>
      <c r="D75" s="216">
        <f>C162</f>
        <v>0</v>
      </c>
      <c r="E75" s="216">
        <f>C277</f>
        <v>0</v>
      </c>
      <c r="F75" s="216">
        <f>C391</f>
        <v>0</v>
      </c>
      <c r="G75" s="216">
        <f>C505</f>
        <v>0</v>
      </c>
      <c r="H75" s="216">
        <f>C620</f>
        <v>0</v>
      </c>
      <c r="I75" s="216">
        <f>C735</f>
        <v>0</v>
      </c>
      <c r="J75" s="216">
        <f>D735</f>
        <v>0</v>
      </c>
      <c r="K75" s="216">
        <f>E735</f>
        <v>0</v>
      </c>
    </row>
    <row r="76" spans="1:11" x14ac:dyDescent="0.2">
      <c r="A76" s="204">
        <v>72</v>
      </c>
      <c r="B76" s="204" t="s">
        <v>105</v>
      </c>
      <c r="C76" s="216">
        <f>SUM(D76:K76)</f>
        <v>34390255.191577204</v>
      </c>
      <c r="D76" s="216">
        <f>D73-D75</f>
        <v>31451093.587690141</v>
      </c>
      <c r="E76" s="216">
        <f t="shared" ref="E76:I76" si="28">E73-E75</f>
        <v>-4751668.8114927588</v>
      </c>
      <c r="F76" s="216">
        <f t="shared" si="28"/>
        <v>7141820.6973571628</v>
      </c>
      <c r="G76" s="216">
        <f t="shared" si="28"/>
        <v>-3905143.9292135295</v>
      </c>
      <c r="H76" s="216">
        <f t="shared" si="28"/>
        <v>4729153.6875703773</v>
      </c>
      <c r="I76" s="216">
        <f t="shared" si="28"/>
        <v>251322.14857429985</v>
      </c>
      <c r="J76" s="216">
        <f t="shared" ref="J76:K76" si="29">J73-J75</f>
        <v>0</v>
      </c>
      <c r="K76" s="216">
        <f t="shared" si="29"/>
        <v>-526322.18890848896</v>
      </c>
    </row>
    <row r="77" spans="1:11" x14ac:dyDescent="0.2">
      <c r="A77" s="204">
        <v>73</v>
      </c>
      <c r="B77" s="204"/>
    </row>
    <row r="78" spans="1:11" x14ac:dyDescent="0.2">
      <c r="A78" s="204">
        <v>74</v>
      </c>
      <c r="B78" s="204" t="s">
        <v>131</v>
      </c>
      <c r="C78" s="217">
        <f>SUM(D78:K78)</f>
        <v>7221953.5902312128</v>
      </c>
      <c r="D78" s="217">
        <f t="shared" ref="D78:J78" si="30">D76*0.21</f>
        <v>6604729.6534149293</v>
      </c>
      <c r="E78" s="217">
        <f t="shared" si="30"/>
        <v>-997850.45041347935</v>
      </c>
      <c r="F78" s="217">
        <f t="shared" si="30"/>
        <v>1499782.3464450042</v>
      </c>
      <c r="G78" s="217">
        <f t="shared" si="30"/>
        <v>-820080.22513484117</v>
      </c>
      <c r="H78" s="217">
        <f t="shared" si="30"/>
        <v>993122.2743897792</v>
      </c>
      <c r="I78" s="217">
        <f t="shared" si="30"/>
        <v>52777.651200602966</v>
      </c>
      <c r="J78" s="217">
        <f t="shared" si="30"/>
        <v>0</v>
      </c>
      <c r="K78" s="217">
        <f t="shared" ref="K78" si="31">K76*0.21</f>
        <v>-110527.65967078268</v>
      </c>
    </row>
    <row r="79" spans="1:11" x14ac:dyDescent="0.2">
      <c r="A79" s="204">
        <v>75</v>
      </c>
      <c r="B79" s="204" t="s">
        <v>130</v>
      </c>
      <c r="C79" s="217">
        <f>SUM(D79:K79)</f>
        <v>10953810.298519813</v>
      </c>
      <c r="D79" s="216">
        <f>SUM('Restating Adj'!C86:E86)</f>
        <v>0</v>
      </c>
      <c r="E79" s="205">
        <f>SUM('Restating Adj'!H86:Q86)</f>
        <v>0</v>
      </c>
      <c r="F79" s="216">
        <f>SUM('Restating Adj'!S86:W86)</f>
        <v>0</v>
      </c>
      <c r="G79" s="216">
        <f>SUM('Restating Adj'!X86:AA86)</f>
        <v>0</v>
      </c>
      <c r="H79" s="205">
        <f>SUM('Restating Adj'!AB86:AK86)</f>
        <v>10953810.298519813</v>
      </c>
      <c r="I79" s="205">
        <f>SUM('Restating Adj'!AL86:AW86)</f>
        <v>0</v>
      </c>
      <c r="J79" s="205">
        <v>0</v>
      </c>
      <c r="K79" s="205">
        <v>0</v>
      </c>
    </row>
    <row r="80" spans="1:11" ht="13.5" thickBot="1" x14ac:dyDescent="0.25">
      <c r="A80" s="204">
        <v>76</v>
      </c>
      <c r="B80" s="204" t="s">
        <v>131</v>
      </c>
      <c r="C80" s="219">
        <f>SUM(D80:K80)</f>
        <v>18175763.888751026</v>
      </c>
      <c r="D80" s="219">
        <f>D78+D79</f>
        <v>6604729.6534149293</v>
      </c>
      <c r="E80" s="219">
        <f t="shared" ref="E80:I80" si="32">E78+E79</f>
        <v>-997850.45041347935</v>
      </c>
      <c r="F80" s="219">
        <f t="shared" si="32"/>
        <v>1499782.3464450042</v>
      </c>
      <c r="G80" s="219">
        <f t="shared" si="32"/>
        <v>-820080.22513484117</v>
      </c>
      <c r="H80" s="219">
        <f t="shared" si="32"/>
        <v>11946932.572909592</v>
      </c>
      <c r="I80" s="219">
        <f t="shared" si="32"/>
        <v>52777.651200602966</v>
      </c>
      <c r="J80" s="219">
        <f t="shared" ref="J80:K80" si="33">J78+J79</f>
        <v>0</v>
      </c>
      <c r="K80" s="219">
        <f t="shared" si="33"/>
        <v>-110527.65967078268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81"/>
  <sheetViews>
    <sheetView view="pageBreakPreview" topLeftCell="A49" zoomScale="80" zoomScaleNormal="90" zoomScaleSheetLayoutView="80" workbookViewId="0">
      <selection activeCell="BD50" sqref="BD50"/>
    </sheetView>
  </sheetViews>
  <sheetFormatPr defaultColWidth="9.140625" defaultRowHeight="12.75" x14ac:dyDescent="0.2"/>
  <cols>
    <col min="1" max="1" width="5.140625" style="202" customWidth="1"/>
    <col min="2" max="2" width="25.140625" style="202" bestFit="1" customWidth="1"/>
    <col min="3" max="3" width="14.28515625" style="202" bestFit="1" customWidth="1"/>
    <col min="4" max="8" width="12.7109375" style="202" customWidth="1"/>
    <col min="9" max="9" width="13.28515625" style="202" bestFit="1" customWidth="1"/>
    <col min="10" max="10" width="12.7109375" style="202" customWidth="1"/>
    <col min="11" max="11" width="14.28515625" style="202" bestFit="1" customWidth="1"/>
    <col min="12" max="16384" width="9.140625" style="202"/>
  </cols>
  <sheetData>
    <row r="1" spans="1:11" x14ac:dyDescent="0.2">
      <c r="B1" s="299" t="s">
        <v>216</v>
      </c>
      <c r="C1" s="299"/>
      <c r="D1" s="299"/>
      <c r="E1" s="299"/>
      <c r="F1" s="299"/>
      <c r="G1" s="299"/>
      <c r="H1" s="299"/>
      <c r="I1" s="299"/>
      <c r="J1" s="299"/>
      <c r="K1" s="299"/>
    </row>
    <row r="3" spans="1:11" ht="51" x14ac:dyDescent="0.2">
      <c r="C3" s="203" t="s">
        <v>156</v>
      </c>
      <c r="D3" s="203" t="s">
        <v>165</v>
      </c>
      <c r="E3" s="203" t="s">
        <v>166</v>
      </c>
      <c r="F3" s="203" t="s">
        <v>167</v>
      </c>
      <c r="G3" s="203" t="s">
        <v>168</v>
      </c>
      <c r="H3" s="203" t="s">
        <v>169</v>
      </c>
      <c r="I3" s="203" t="s">
        <v>231</v>
      </c>
      <c r="J3" s="203" t="s">
        <v>258</v>
      </c>
      <c r="K3" s="203" t="s">
        <v>324</v>
      </c>
    </row>
    <row r="5" spans="1:11" x14ac:dyDescent="0.2">
      <c r="A5" s="204">
        <v>1</v>
      </c>
      <c r="B5" s="204" t="s">
        <v>44</v>
      </c>
    </row>
    <row r="6" spans="1:11" x14ac:dyDescent="0.2">
      <c r="A6" s="204">
        <v>2</v>
      </c>
      <c r="B6" s="204" t="s">
        <v>45</v>
      </c>
      <c r="C6" s="205">
        <f>SUM(D6:K6)</f>
        <v>0</v>
      </c>
      <c r="D6" s="205">
        <f>SUM('Pro Forma Adj'!C12:E12)</f>
        <v>0</v>
      </c>
      <c r="E6" s="205">
        <f>SUM('Pro Forma Adj'!F12:R12)</f>
        <v>0</v>
      </c>
      <c r="F6" s="205">
        <f>SUM('Pro Forma Adj'!S12:W12)</f>
        <v>0</v>
      </c>
      <c r="G6" s="205">
        <f>SUM('Pro Forma Adj'!X12:AA12)</f>
        <v>0</v>
      </c>
      <c r="H6" s="205">
        <f>SUM('Pro Forma Adj'!AB12:AK12)</f>
        <v>0</v>
      </c>
      <c r="I6" s="205">
        <f>SUM('Pro Forma Adj'!AL12:AW12)</f>
        <v>0</v>
      </c>
      <c r="J6" s="205">
        <f>SUM('Pro Forma Adj'!AX12:AX12)</f>
        <v>0</v>
      </c>
      <c r="K6" s="205">
        <f>SUM('Pro Forma Adj'!AY12:BF12)</f>
        <v>0</v>
      </c>
    </row>
    <row r="7" spans="1:11" x14ac:dyDescent="0.2">
      <c r="A7" s="204">
        <v>3</v>
      </c>
      <c r="B7" s="204" t="s">
        <v>46</v>
      </c>
      <c r="C7" s="205">
        <f>SUM(D7:K7)</f>
        <v>0</v>
      </c>
      <c r="D7" s="205">
        <f>SUM('Pro Forma Adj'!C13:E13)</f>
        <v>0</v>
      </c>
      <c r="E7" s="205">
        <f>SUM('Pro Forma Adj'!F13:R13)</f>
        <v>0</v>
      </c>
      <c r="F7" s="205">
        <f>SUM('Pro Forma Adj'!S13:W13)</f>
        <v>0</v>
      </c>
      <c r="G7" s="205">
        <f>SUM('Pro Forma Adj'!X13:AA13)</f>
        <v>0</v>
      </c>
      <c r="H7" s="205">
        <f>SUM('Pro Forma Adj'!AB13:AK13)</f>
        <v>0</v>
      </c>
      <c r="I7" s="205">
        <f>SUM('Pro Forma Adj'!AL13:AW13)</f>
        <v>0</v>
      </c>
      <c r="J7" s="205">
        <f>SUM('Pro Forma Adj'!AX13:AX13)</f>
        <v>0</v>
      </c>
      <c r="K7" s="205">
        <f>SUM('Pro Forma Adj'!AY13:BF13)</f>
        <v>0</v>
      </c>
    </row>
    <row r="8" spans="1:11" x14ac:dyDescent="0.2">
      <c r="A8" s="204">
        <v>4</v>
      </c>
      <c r="B8" s="204" t="s">
        <v>47</v>
      </c>
      <c r="C8" s="205">
        <f>SUM(D8:K8)</f>
        <v>19148484.22576125</v>
      </c>
      <c r="D8" s="205">
        <f>SUM('Pro Forma Adj'!C14:E14)</f>
        <v>0</v>
      </c>
      <c r="E8" s="205">
        <f>SUM('Pro Forma Adj'!F14:R14)</f>
        <v>0</v>
      </c>
      <c r="F8" s="205">
        <f>SUM('Pro Forma Adj'!S14:W14)</f>
        <v>19038327.299635988</v>
      </c>
      <c r="G8" s="205">
        <f>SUM('Pro Forma Adj'!X14:AA14)</f>
        <v>0</v>
      </c>
      <c r="H8" s="205">
        <f>SUM('Pro Forma Adj'!AB14:AK14)</f>
        <v>0</v>
      </c>
      <c r="I8" s="205">
        <f>SUM('Pro Forma Adj'!AL14:AW14)</f>
        <v>0</v>
      </c>
      <c r="J8" s="205">
        <f>SUM('Pro Forma Adj'!AX14:AX14)</f>
        <v>110156.92612526193</v>
      </c>
      <c r="K8" s="205">
        <f>SUM('Pro Forma Adj'!AY14:BF14)</f>
        <v>0</v>
      </c>
    </row>
    <row r="9" spans="1:11" x14ac:dyDescent="0.2">
      <c r="A9" s="204">
        <v>5</v>
      </c>
      <c r="B9" s="204" t="s">
        <v>48</v>
      </c>
      <c r="C9" s="205">
        <f>SUM(D9:K9)</f>
        <v>664041.95894274942</v>
      </c>
      <c r="D9" s="205">
        <f>SUM('Pro Forma Adj'!C15:E15)</f>
        <v>1424628.7434153743</v>
      </c>
      <c r="E9" s="205">
        <f>SUM('Pro Forma Adj'!F15:R15)</f>
        <v>0</v>
      </c>
      <c r="F9" s="205">
        <f>SUM('Pro Forma Adj'!S15:W15)</f>
        <v>265774.14632870059</v>
      </c>
      <c r="G9" s="205">
        <f>SUM('Pro Forma Adj'!X15:AA15)</f>
        <v>0</v>
      </c>
      <c r="H9" s="205">
        <f>SUM('Pro Forma Adj'!AB15:AK15)</f>
        <v>0</v>
      </c>
      <c r="I9" s="205">
        <f>SUM('Pro Forma Adj'!AL15:AW15)</f>
        <v>0</v>
      </c>
      <c r="J9" s="205">
        <f>SUM('Pro Forma Adj'!AX15:AX15)</f>
        <v>-5532.8879920264008</v>
      </c>
      <c r="K9" s="205">
        <f>SUM('Pro Forma Adj'!AY15:BF15)</f>
        <v>-1020828.0428092993</v>
      </c>
    </row>
    <row r="10" spans="1:11" x14ac:dyDescent="0.2">
      <c r="A10" s="204">
        <v>6</v>
      </c>
      <c r="B10" s="204" t="s">
        <v>49</v>
      </c>
      <c r="C10" s="206">
        <f>SUM(C6:C9)</f>
        <v>19812526.184703998</v>
      </c>
      <c r="D10" s="206">
        <f t="shared" ref="D10:I10" si="0">SUM(D6:D9)</f>
        <v>1424628.7434153743</v>
      </c>
      <c r="E10" s="206">
        <f t="shared" si="0"/>
        <v>0</v>
      </c>
      <c r="F10" s="206">
        <f t="shared" si="0"/>
        <v>19304101.445964687</v>
      </c>
      <c r="G10" s="206">
        <f t="shared" si="0"/>
        <v>0</v>
      </c>
      <c r="H10" s="206">
        <f t="shared" si="0"/>
        <v>0</v>
      </c>
      <c r="I10" s="206">
        <f t="shared" si="0"/>
        <v>0</v>
      </c>
      <c r="J10" s="206">
        <f t="shared" ref="J10:K10" si="1">SUM(J6:J9)</f>
        <v>104624.03813323553</v>
      </c>
      <c r="K10" s="206">
        <f t="shared" si="1"/>
        <v>-1020828.0428092993</v>
      </c>
    </row>
    <row r="11" spans="1:11" x14ac:dyDescent="0.2">
      <c r="A11" s="204">
        <v>7</v>
      </c>
      <c r="B11" s="204"/>
    </row>
    <row r="12" spans="1:11" x14ac:dyDescent="0.2">
      <c r="A12" s="204">
        <v>8</v>
      </c>
      <c r="B12" s="204" t="s">
        <v>50</v>
      </c>
    </row>
    <row r="13" spans="1:11" x14ac:dyDescent="0.2">
      <c r="A13" s="204">
        <v>9</v>
      </c>
      <c r="B13" s="204" t="s">
        <v>51</v>
      </c>
      <c r="C13" s="205">
        <f t="shared" ref="C13:C22" si="2">SUM(D13:K13)</f>
        <v>-1663761.8632297679</v>
      </c>
      <c r="D13" s="205">
        <f>SUM('Pro Forma Adj'!C19:E19)</f>
        <v>0</v>
      </c>
      <c r="E13" s="205">
        <f>SUM('Pro Forma Adj'!F19:R19)</f>
        <v>308328.15669029724</v>
      </c>
      <c r="F13" s="205">
        <f>SUM('Pro Forma Adj'!S19:W19)</f>
        <v>-2185033.31137479</v>
      </c>
      <c r="G13" s="205">
        <f>SUM('Pro Forma Adj'!X19:AA19)</f>
        <v>0</v>
      </c>
      <c r="H13" s="205">
        <f>SUM('Pro Forma Adj'!AB19:AK19)</f>
        <v>0</v>
      </c>
      <c r="I13" s="205">
        <f>SUM('Pro Forma Adj'!AL19:AW19)</f>
        <v>0</v>
      </c>
      <c r="J13" s="205">
        <f>SUM('Pro Forma Adj'!AX19:AX19)</f>
        <v>212943.29145472497</v>
      </c>
      <c r="K13" s="205">
        <f>SUM('Pro Forma Adj'!AY19:BF19)</f>
        <v>0</v>
      </c>
    </row>
    <row r="14" spans="1:11" x14ac:dyDescent="0.2">
      <c r="A14" s="204">
        <v>10</v>
      </c>
      <c r="B14" s="204" t="s">
        <v>52</v>
      </c>
      <c r="C14" s="205">
        <f t="shared" si="2"/>
        <v>0</v>
      </c>
      <c r="D14" s="205">
        <f>SUM('Pro Forma Adj'!C20:E20)</f>
        <v>0</v>
      </c>
      <c r="E14" s="205">
        <f>SUM('Pro Forma Adj'!F20:R20)</f>
        <v>0</v>
      </c>
      <c r="F14" s="205">
        <f>SUM('Pro Forma Adj'!S20:W20)</f>
        <v>0</v>
      </c>
      <c r="G14" s="205">
        <f>SUM('Pro Forma Adj'!X20:AA20)</f>
        <v>0</v>
      </c>
      <c r="H14" s="205">
        <f>SUM('Pro Forma Adj'!AB20:AK20)</f>
        <v>0</v>
      </c>
      <c r="I14" s="205">
        <f>SUM('Pro Forma Adj'!AL20:AW20)</f>
        <v>0</v>
      </c>
      <c r="J14" s="205">
        <f>SUM('Pro Forma Adj'!AX20:AX20)</f>
        <v>0</v>
      </c>
      <c r="K14" s="205">
        <f>SUM('Pro Forma Adj'!AY20:BF20)</f>
        <v>0</v>
      </c>
    </row>
    <row r="15" spans="1:11" x14ac:dyDescent="0.2">
      <c r="A15" s="204">
        <v>11</v>
      </c>
      <c r="B15" s="204" t="s">
        <v>53</v>
      </c>
      <c r="C15" s="205">
        <f t="shared" si="2"/>
        <v>216688.95872025812</v>
      </c>
      <c r="D15" s="205">
        <f>SUM('Pro Forma Adj'!C21:E21)</f>
        <v>0</v>
      </c>
      <c r="E15" s="205">
        <f>SUM('Pro Forma Adj'!F21:R21)</f>
        <v>216115.47631174346</v>
      </c>
      <c r="F15" s="205">
        <f>SUM('Pro Forma Adj'!S21:W21)</f>
        <v>0</v>
      </c>
      <c r="G15" s="205">
        <f>SUM('Pro Forma Adj'!X21:AA21)</f>
        <v>0</v>
      </c>
      <c r="H15" s="205">
        <f>SUM('Pro Forma Adj'!AB21:AK21)</f>
        <v>0</v>
      </c>
      <c r="I15" s="205">
        <f>SUM('Pro Forma Adj'!AL21:AW21)</f>
        <v>0</v>
      </c>
      <c r="J15" s="205">
        <f>SUM('Pro Forma Adj'!AX21:AX21)</f>
        <v>573.4824085146538</v>
      </c>
      <c r="K15" s="205">
        <f>SUM('Pro Forma Adj'!AY21:BF21)</f>
        <v>0</v>
      </c>
    </row>
    <row r="16" spans="1:11" x14ac:dyDescent="0.2">
      <c r="A16" s="204">
        <v>12</v>
      </c>
      <c r="B16" s="204" t="s">
        <v>54</v>
      </c>
      <c r="C16" s="205">
        <f t="shared" si="2"/>
        <v>59052667.089417547</v>
      </c>
      <c r="D16" s="205">
        <f>SUM('Pro Forma Adj'!C22:E22)</f>
        <v>0</v>
      </c>
      <c r="E16" s="205">
        <f>SUM('Pro Forma Adj'!F22:R22)</f>
        <v>183845.3529629847</v>
      </c>
      <c r="F16" s="205">
        <f>SUM('Pro Forma Adj'!S22:W22)</f>
        <v>57835401.118536688</v>
      </c>
      <c r="G16" s="205">
        <f>SUM('Pro Forma Adj'!X22:AA22)</f>
        <v>0</v>
      </c>
      <c r="H16" s="205">
        <f>SUM('Pro Forma Adj'!AB22:AK22)</f>
        <v>0</v>
      </c>
      <c r="I16" s="205">
        <f>SUM('Pro Forma Adj'!AL22:AW22)</f>
        <v>131145.17024851745</v>
      </c>
      <c r="J16" s="205">
        <f>SUM('Pro Forma Adj'!AX22:AX22)</f>
        <v>902275.44766935706</v>
      </c>
      <c r="K16" s="205">
        <f>SUM('Pro Forma Adj'!AY22:BF22)</f>
        <v>0</v>
      </c>
    </row>
    <row r="17" spans="1:11" x14ac:dyDescent="0.2">
      <c r="A17" s="204">
        <v>13</v>
      </c>
      <c r="B17" s="204" t="s">
        <v>55</v>
      </c>
      <c r="C17" s="205">
        <f t="shared" si="2"/>
        <v>1276344.0453904099</v>
      </c>
      <c r="D17" s="205">
        <f>SUM('Pro Forma Adj'!C23:E23)</f>
        <v>0</v>
      </c>
      <c r="E17" s="205">
        <f>SUM('Pro Forma Adj'!F23:R23)</f>
        <v>573791.11349211575</v>
      </c>
      <c r="F17" s="205">
        <f>SUM('Pro Forma Adj'!S23:W23)</f>
        <v>630176.87420901121</v>
      </c>
      <c r="G17" s="205">
        <f>SUM('Pro Forma Adj'!X23:AA23)</f>
        <v>0</v>
      </c>
      <c r="H17" s="205">
        <f>SUM('Pro Forma Adj'!AB23:AK23)</f>
        <v>0</v>
      </c>
      <c r="I17" s="205">
        <f>SUM('Pro Forma Adj'!AL23:AW23)</f>
        <v>0</v>
      </c>
      <c r="J17" s="205">
        <f>SUM('Pro Forma Adj'!AX23:AX23)</f>
        <v>72376.057689283043</v>
      </c>
      <c r="K17" s="205">
        <f>SUM('Pro Forma Adj'!AY23:BF23)</f>
        <v>0</v>
      </c>
    </row>
    <row r="18" spans="1:11" x14ac:dyDescent="0.2">
      <c r="A18" s="204">
        <v>14</v>
      </c>
      <c r="B18" s="204" t="s">
        <v>56</v>
      </c>
      <c r="C18" s="205">
        <f t="shared" si="2"/>
        <v>4346285.8129516896</v>
      </c>
      <c r="D18" s="205">
        <f>SUM('Pro Forma Adj'!C24:E24)</f>
        <v>0</v>
      </c>
      <c r="E18" s="205">
        <f>SUM('Pro Forma Adj'!F24:R24)</f>
        <v>4346285.8129516896</v>
      </c>
      <c r="F18" s="205">
        <f>SUM('Pro Forma Adj'!S24:W24)</f>
        <v>0</v>
      </c>
      <c r="G18" s="205">
        <f>SUM('Pro Forma Adj'!X24:AA24)</f>
        <v>0</v>
      </c>
      <c r="H18" s="205">
        <f>SUM('Pro Forma Adj'!AB24:AK24)</f>
        <v>0</v>
      </c>
      <c r="I18" s="205">
        <f>SUM('Pro Forma Adj'!AL24:AW24)</f>
        <v>0</v>
      </c>
      <c r="J18" s="205">
        <f>SUM('Pro Forma Adj'!AX24:AX24)</f>
        <v>0</v>
      </c>
      <c r="K18" s="205">
        <f>SUM('Pro Forma Adj'!AY24:BF24)</f>
        <v>0</v>
      </c>
    </row>
    <row r="19" spans="1:11" x14ac:dyDescent="0.2">
      <c r="A19" s="204">
        <v>15</v>
      </c>
      <c r="B19" s="204" t="s">
        <v>57</v>
      </c>
      <c r="C19" s="205">
        <f t="shared" si="2"/>
        <v>225350.65996252821</v>
      </c>
      <c r="D19" s="205">
        <f>SUM('Pro Forma Adj'!C25:E25)</f>
        <v>0</v>
      </c>
      <c r="E19" s="205">
        <f>SUM('Pro Forma Adj'!F25:R25)</f>
        <v>225350.65996252821</v>
      </c>
      <c r="F19" s="205">
        <f>SUM('Pro Forma Adj'!S25:W25)</f>
        <v>0</v>
      </c>
      <c r="G19" s="205">
        <f>SUM('Pro Forma Adj'!X25:AA25)</f>
        <v>0</v>
      </c>
      <c r="H19" s="205">
        <f>SUM('Pro Forma Adj'!AB25:AK25)</f>
        <v>0</v>
      </c>
      <c r="I19" s="205">
        <f>SUM('Pro Forma Adj'!AL25:AW25)</f>
        <v>0</v>
      </c>
      <c r="J19" s="205">
        <f>SUM('Pro Forma Adj'!AX25:AX25)</f>
        <v>0</v>
      </c>
      <c r="K19" s="205">
        <f>SUM('Pro Forma Adj'!AY25:BF25)</f>
        <v>0</v>
      </c>
    </row>
    <row r="20" spans="1:11" x14ac:dyDescent="0.2">
      <c r="A20" s="204">
        <v>16</v>
      </c>
      <c r="B20" s="204" t="s">
        <v>58</v>
      </c>
      <c r="C20" s="205">
        <f t="shared" si="2"/>
        <v>22913.064438068472</v>
      </c>
      <c r="D20" s="205">
        <f>SUM('Pro Forma Adj'!C26:E26)</f>
        <v>0</v>
      </c>
      <c r="E20" s="205">
        <f>SUM('Pro Forma Adj'!F26:R26)</f>
        <v>22913.064438068472</v>
      </c>
      <c r="F20" s="205">
        <f>SUM('Pro Forma Adj'!S26:W26)</f>
        <v>0</v>
      </c>
      <c r="G20" s="205">
        <f>SUM('Pro Forma Adj'!X26:AA26)</f>
        <v>0</v>
      </c>
      <c r="H20" s="205">
        <f>SUM('Pro Forma Adj'!AB26:AK26)</f>
        <v>0</v>
      </c>
      <c r="I20" s="205">
        <f>SUM('Pro Forma Adj'!AL26:AW26)</f>
        <v>0</v>
      </c>
      <c r="J20" s="205">
        <f>SUM('Pro Forma Adj'!AX26:AX26)</f>
        <v>0</v>
      </c>
      <c r="K20" s="205">
        <f>SUM('Pro Forma Adj'!AY26:BF26)</f>
        <v>0</v>
      </c>
    </row>
    <row r="21" spans="1:11" x14ac:dyDescent="0.2">
      <c r="A21" s="204">
        <v>17</v>
      </c>
      <c r="B21" s="204" t="s">
        <v>59</v>
      </c>
      <c r="C21" s="205">
        <f t="shared" si="2"/>
        <v>0</v>
      </c>
      <c r="D21" s="205">
        <f>SUM('Pro Forma Adj'!C27:E27)</f>
        <v>0</v>
      </c>
      <c r="E21" s="205">
        <f>SUM('Pro Forma Adj'!F27:R27)</f>
        <v>0</v>
      </c>
      <c r="F21" s="205">
        <f>SUM('Pro Forma Adj'!S27:W27)</f>
        <v>0</v>
      </c>
      <c r="G21" s="205">
        <f>SUM('Pro Forma Adj'!X27:AA27)</f>
        <v>0</v>
      </c>
      <c r="H21" s="205">
        <f>SUM('Pro Forma Adj'!AB27:AK27)</f>
        <v>0</v>
      </c>
      <c r="I21" s="205">
        <f>SUM('Pro Forma Adj'!AL27:AW27)</f>
        <v>0</v>
      </c>
      <c r="J21" s="205">
        <f>SUM('Pro Forma Adj'!AX27:AX27)</f>
        <v>0</v>
      </c>
      <c r="K21" s="205">
        <f>SUM('Pro Forma Adj'!AY27:BF27)</f>
        <v>0</v>
      </c>
    </row>
    <row r="22" spans="1:11" x14ac:dyDescent="0.2">
      <c r="A22" s="204">
        <v>18</v>
      </c>
      <c r="B22" s="204" t="s">
        <v>60</v>
      </c>
      <c r="C22" s="212">
        <f t="shared" si="2"/>
        <v>-3774965.298066901</v>
      </c>
      <c r="D22" s="205">
        <f>SUM('Pro Forma Adj'!C28:E28)</f>
        <v>0</v>
      </c>
      <c r="E22" s="205">
        <f>SUM('Pro Forma Adj'!F28:R28)</f>
        <v>-3812741.298066901</v>
      </c>
      <c r="F22" s="205">
        <f>SUM('Pro Forma Adj'!S28:W28)</f>
        <v>37776</v>
      </c>
      <c r="G22" s="207">
        <f>SUM('Pro Forma Adj'!X28:AA28)</f>
        <v>0</v>
      </c>
      <c r="H22" s="207">
        <f>SUM('Pro Forma Adj'!AB28:AK28)</f>
        <v>0</v>
      </c>
      <c r="I22" s="205">
        <f>SUM('Pro Forma Adj'!AL28:AW28)</f>
        <v>0</v>
      </c>
      <c r="J22" s="205">
        <f>SUM('Pro Forma Adj'!AX28:AX28)</f>
        <v>0</v>
      </c>
      <c r="K22" s="205">
        <f>SUM('Pro Forma Adj'!AY28:BF28)</f>
        <v>0</v>
      </c>
    </row>
    <row r="23" spans="1:11" x14ac:dyDescent="0.2">
      <c r="A23" s="204">
        <v>19</v>
      </c>
      <c r="B23" s="204" t="s">
        <v>61</v>
      </c>
      <c r="C23" s="216">
        <f>SUM(C13:C22)</f>
        <v>59701522.469583839</v>
      </c>
      <c r="D23" s="208">
        <f t="shared" ref="D23:I23" si="3">SUM(D13:D22)</f>
        <v>0</v>
      </c>
      <c r="E23" s="208">
        <f t="shared" si="3"/>
        <v>2063888.3387425262</v>
      </c>
      <c r="F23" s="208">
        <f t="shared" si="3"/>
        <v>56318320.681370907</v>
      </c>
      <c r="G23" s="208">
        <f t="shared" si="3"/>
        <v>0</v>
      </c>
      <c r="H23" s="208">
        <f t="shared" si="3"/>
        <v>0</v>
      </c>
      <c r="I23" s="208">
        <f t="shared" si="3"/>
        <v>131145.17024851745</v>
      </c>
      <c r="J23" s="208">
        <f>SUM(J13:J22)</f>
        <v>1188168.2792218798</v>
      </c>
      <c r="K23" s="208">
        <f>SUM(K13:K22)</f>
        <v>0</v>
      </c>
    </row>
    <row r="24" spans="1:11" x14ac:dyDescent="0.2">
      <c r="A24" s="204">
        <v>20</v>
      </c>
      <c r="B24" s="204" t="s">
        <v>62</v>
      </c>
      <c r="C24" s="205">
        <f>SUM(D24:K24)</f>
        <v>-11998389.233632291</v>
      </c>
      <c r="D24" s="205">
        <f>SUM('Pro Forma Adj'!C30:E30)</f>
        <v>0</v>
      </c>
      <c r="E24" s="205">
        <f>SUM('Pro Forma Adj'!F30:R30)</f>
        <v>0</v>
      </c>
      <c r="F24" s="205">
        <f>SUM('Pro Forma Adj'!S30:W30)</f>
        <v>0</v>
      </c>
      <c r="G24" s="205">
        <f>SUM('Pro Forma Adj'!X30:AA30)</f>
        <v>-16220473.329020642</v>
      </c>
      <c r="H24" s="205">
        <f>SUM('Pro Forma Adj'!AB30:AK30)</f>
        <v>0</v>
      </c>
      <c r="I24" s="205">
        <f>SUM('Pro Forma Adj'!AL30:AW30)</f>
        <v>744555.75728509633</v>
      </c>
      <c r="J24" s="205">
        <f>SUM('Pro Forma Adj'!AX30:AX30)</f>
        <v>23210.389051953243</v>
      </c>
      <c r="K24" s="205">
        <f>SUM('Pro Forma Adj'!AY30:BF30)</f>
        <v>3454317.9490513015</v>
      </c>
    </row>
    <row r="25" spans="1:11" x14ac:dyDescent="0.2">
      <c r="A25" s="204">
        <v>21</v>
      </c>
      <c r="B25" s="204" t="s">
        <v>63</v>
      </c>
      <c r="C25" s="205">
        <f>SUM(D25:K25)</f>
        <v>7703313.6481057769</v>
      </c>
      <c r="D25" s="205">
        <f>SUM('Pro Forma Adj'!C31:E31)</f>
        <v>0</v>
      </c>
      <c r="E25" s="205">
        <f>SUM('Pro Forma Adj'!F31:R31)</f>
        <v>0</v>
      </c>
      <c r="F25" s="205">
        <f>SUM('Pro Forma Adj'!S31:W31)</f>
        <v>0</v>
      </c>
      <c r="G25" s="205">
        <f>SUM('Pro Forma Adj'!X31:AA31)</f>
        <v>615859.06737593689</v>
      </c>
      <c r="H25" s="205">
        <f>SUM('Pro Forma Adj'!AB31:AK31)</f>
        <v>0</v>
      </c>
      <c r="I25" s="205">
        <f>SUM('Pro Forma Adj'!AL31:AW31)</f>
        <v>7087454.5807298403</v>
      </c>
      <c r="J25" s="205">
        <f>SUM('Pro Forma Adj'!AX31:AX31)</f>
        <v>0</v>
      </c>
      <c r="K25" s="205">
        <f>SUM('Pro Forma Adj'!AY31:BF31)</f>
        <v>0</v>
      </c>
    </row>
    <row r="26" spans="1:11" x14ac:dyDescent="0.2">
      <c r="A26" s="204">
        <v>22</v>
      </c>
      <c r="B26" s="204" t="s">
        <v>64</v>
      </c>
      <c r="C26" s="205">
        <f>SUM(D26:K26)</f>
        <v>1060921.9023400173</v>
      </c>
      <c r="D26" s="205">
        <f>SUM('Pro Forma Adj'!C32:E32)</f>
        <v>0</v>
      </c>
      <c r="E26" s="205">
        <f>SUM('Pro Forma Adj'!F32:R32)</f>
        <v>0</v>
      </c>
      <c r="F26" s="205">
        <f>SUM('Pro Forma Adj'!S32:W32)</f>
        <v>0</v>
      </c>
      <c r="G26" s="205">
        <f>SUM('Pro Forma Adj'!X32:AA32)</f>
        <v>0</v>
      </c>
      <c r="H26" s="205">
        <f>SUM('Pro Forma Adj'!AB32:AK32)</f>
        <v>1059661.6170963505</v>
      </c>
      <c r="I26" s="205">
        <f>SUM('Pro Forma Adj'!AL32:AW32)</f>
        <v>0</v>
      </c>
      <c r="J26" s="205">
        <f>SUM('Pro Forma Adj'!AX32:AX32)</f>
        <v>1260.2852436666144</v>
      </c>
      <c r="K26" s="205">
        <f>SUM('Pro Forma Adj'!AY32:BF32)</f>
        <v>0</v>
      </c>
    </row>
    <row r="27" spans="1:11" x14ac:dyDescent="0.2">
      <c r="A27" s="204">
        <v>23</v>
      </c>
      <c r="B27" s="204" t="s">
        <v>157</v>
      </c>
      <c r="C27" s="205">
        <f>C80</f>
        <v>-20783660.452388309</v>
      </c>
      <c r="D27" s="205">
        <f>SUM('Pro Forma Adj'!C33:E33)</f>
        <v>299172.03611722862</v>
      </c>
      <c r="E27" s="205">
        <f>SUM('Pro Forma Adj'!F33:R33)</f>
        <v>-433416.5511359307</v>
      </c>
      <c r="F27" s="205">
        <f>SUM('Pro Forma Adj'!S33:W33)</f>
        <v>-7772986.0394353056</v>
      </c>
      <c r="G27" s="205">
        <f>SUM('Pro Forma Adj'!X33:AA33)</f>
        <v>3276968.9949453878</v>
      </c>
      <c r="H27" s="205">
        <f>SUM('Pro Forma Adj'!AB33:AK33)</f>
        <v>-18269777.176893242</v>
      </c>
      <c r="I27" s="205">
        <f t="shared" ref="I27" si="4">I80</f>
        <v>2793594.2979402905</v>
      </c>
      <c r="J27" s="205">
        <f>SUM('Pro Forma Adj'!AX33:AX33)</f>
        <v>-265343.54372185015</v>
      </c>
      <c r="K27" s="205">
        <f>SUM('Pro Forma Adj'!AY33:BF33)</f>
        <v>-411872.47020488651</v>
      </c>
    </row>
    <row r="28" spans="1:11" x14ac:dyDescent="0.2">
      <c r="A28" s="204">
        <v>24</v>
      </c>
      <c r="B28" s="204" t="s">
        <v>158</v>
      </c>
      <c r="C28" s="205">
        <f>SUM(D28:K28)</f>
        <v>0</v>
      </c>
      <c r="D28" s="205">
        <f>SUM('Pro Forma Adj'!C34:E34)</f>
        <v>0</v>
      </c>
      <c r="E28" s="205">
        <f>SUM('Pro Forma Adj'!F34:R34)</f>
        <v>0</v>
      </c>
      <c r="F28" s="205">
        <f>SUM('Pro Forma Adj'!S34:W34)</f>
        <v>0</v>
      </c>
      <c r="G28" s="205">
        <f>SUM('Pro Forma Adj'!X34:AA34)</f>
        <v>0</v>
      </c>
      <c r="H28" s="205">
        <f>SUM('Pro Forma Adj'!AB34:AK34)</f>
        <v>0</v>
      </c>
      <c r="I28" s="205">
        <f t="shared" ref="I28" si="5">I75</f>
        <v>0</v>
      </c>
      <c r="J28" s="205">
        <f>SUM('Pro Forma Adj'!AX34:AX34)</f>
        <v>0</v>
      </c>
      <c r="K28" s="205">
        <f>SUM('Pro Forma Adj'!AY34:BF34)</f>
        <v>0</v>
      </c>
    </row>
    <row r="29" spans="1:11" x14ac:dyDescent="0.2">
      <c r="A29" s="204">
        <v>25</v>
      </c>
      <c r="B29" s="204" t="s">
        <v>159</v>
      </c>
      <c r="C29" s="205">
        <f>SUM(D29:K29)</f>
        <v>-822707.89689576149</v>
      </c>
      <c r="D29" s="205">
        <f>SUM('Pro Forma Adj'!C35:E35)</f>
        <v>0</v>
      </c>
      <c r="E29" s="205">
        <f>SUM('Pro Forma Adj'!F35:R35)</f>
        <v>0</v>
      </c>
      <c r="F29" s="205">
        <f>SUM('Pro Forma Adj'!S35:W35)</f>
        <v>0</v>
      </c>
      <c r="G29" s="205">
        <f>SUM('Pro Forma Adj'!X35:AA35)</f>
        <v>-498746.1113269059</v>
      </c>
      <c r="H29" s="205">
        <f>SUM('Pro Forma Adj'!AB35:AK35)</f>
        <v>5522690.5424469355</v>
      </c>
      <c r="I29" s="205">
        <f>SUM('Pro Forma Adj'!AL35:AW35)</f>
        <v>-5228583.0284082573</v>
      </c>
      <c r="J29" s="205">
        <f>SUM('Pro Forma Adj'!AX35:AX35)</f>
        <v>0</v>
      </c>
      <c r="K29" s="205">
        <f>SUM('Pro Forma Adj'!AY35:BF35)</f>
        <v>-618069.29960753385</v>
      </c>
    </row>
    <row r="30" spans="1:11" x14ac:dyDescent="0.2">
      <c r="A30" s="204">
        <v>26</v>
      </c>
      <c r="B30" s="204" t="s">
        <v>68</v>
      </c>
      <c r="C30" s="205">
        <f>SUM(D30:K30)</f>
        <v>0</v>
      </c>
      <c r="D30" s="205">
        <f>SUM('Pro Forma Adj'!C36:E36)</f>
        <v>0</v>
      </c>
      <c r="E30" s="205">
        <f>SUM('Pro Forma Adj'!F36:R36)</f>
        <v>0</v>
      </c>
      <c r="F30" s="205">
        <f>SUM('Pro Forma Adj'!S36:W36)</f>
        <v>0</v>
      </c>
      <c r="G30" s="205">
        <f>SUM('Pro Forma Adj'!X36:AA36)</f>
        <v>0</v>
      </c>
      <c r="H30" s="205">
        <f>SUM('Pro Forma Adj'!AB36:AK36)</f>
        <v>0</v>
      </c>
      <c r="I30" s="205">
        <f>SUM('Pro Forma Adj'!AL36:AW36)</f>
        <v>0</v>
      </c>
      <c r="J30" s="205">
        <f>SUM('Pro Forma Adj'!AX36:AX36)</f>
        <v>0</v>
      </c>
      <c r="K30" s="205">
        <f>SUM('Pro Forma Adj'!AY36:BF36)</f>
        <v>0</v>
      </c>
    </row>
    <row r="31" spans="1:11" x14ac:dyDescent="0.2">
      <c r="A31" s="204">
        <v>27</v>
      </c>
      <c r="B31" s="204" t="s">
        <v>69</v>
      </c>
      <c r="C31" s="205">
        <f>SUM(D31:K31)</f>
        <v>0</v>
      </c>
      <c r="D31" s="205">
        <f>SUM('Pro Forma Adj'!C37:E37)</f>
        <v>0</v>
      </c>
      <c r="E31" s="205">
        <f>SUM('Pro Forma Adj'!F37:R37)</f>
        <v>0</v>
      </c>
      <c r="F31" s="205">
        <f>SUM('Pro Forma Adj'!S37:W37)</f>
        <v>0</v>
      </c>
      <c r="G31" s="205">
        <f>SUM('Pro Forma Adj'!X37:AA37)</f>
        <v>0</v>
      </c>
      <c r="H31" s="205">
        <f>SUM('Pro Forma Adj'!AB37:AK37)</f>
        <v>0</v>
      </c>
      <c r="I31" s="205">
        <f>SUM('Pro Forma Adj'!AL37:AW37)</f>
        <v>0</v>
      </c>
      <c r="J31" s="205">
        <f>SUM('Pro Forma Adj'!AX37:AX37)</f>
        <v>0</v>
      </c>
      <c r="K31" s="205">
        <f>SUM('Pro Forma Adj'!AY37:BF37)</f>
        <v>0</v>
      </c>
    </row>
    <row r="32" spans="1:11" x14ac:dyDescent="0.2">
      <c r="A32" s="204">
        <v>28</v>
      </c>
      <c r="B32" s="209" t="s">
        <v>70</v>
      </c>
      <c r="C32" s="210">
        <f>SUM(C23:C31)</f>
        <v>34861000.437113278</v>
      </c>
      <c r="D32" s="210">
        <f t="shared" ref="D32:I32" si="6">SUM(D23:D31)</f>
        <v>299172.03611722862</v>
      </c>
      <c r="E32" s="210">
        <f t="shared" si="6"/>
        <v>1630471.7876065955</v>
      </c>
      <c r="F32" s="210">
        <f t="shared" si="6"/>
        <v>48545334.641935602</v>
      </c>
      <c r="G32" s="210">
        <f t="shared" si="6"/>
        <v>-12826391.378026221</v>
      </c>
      <c r="H32" s="210">
        <f t="shared" si="6"/>
        <v>-11687425.017349957</v>
      </c>
      <c r="I32" s="210">
        <f t="shared" si="6"/>
        <v>5528166.777795488</v>
      </c>
      <c r="J32" s="210">
        <f t="shared" ref="J32:K32" si="7">SUM(J23:J31)</f>
        <v>947295.4097956497</v>
      </c>
      <c r="K32" s="210">
        <f t="shared" si="7"/>
        <v>2424376.179238881</v>
      </c>
    </row>
    <row r="33" spans="1:11" x14ac:dyDescent="0.2">
      <c r="A33" s="204">
        <v>29</v>
      </c>
      <c r="B33" s="204"/>
    </row>
    <row r="34" spans="1:11" ht="13.5" thickBot="1" x14ac:dyDescent="0.25">
      <c r="A34" s="204">
        <v>30</v>
      </c>
      <c r="B34" s="204" t="s">
        <v>71</v>
      </c>
      <c r="C34" s="211">
        <f>C10-C32</f>
        <v>-15048474.252409279</v>
      </c>
      <c r="D34" s="211">
        <f t="shared" ref="D34:I34" si="8">D10-D32</f>
        <v>1125456.7072981456</v>
      </c>
      <c r="E34" s="211">
        <f t="shared" si="8"/>
        <v>-1630471.7876065955</v>
      </c>
      <c r="F34" s="211">
        <f t="shared" si="8"/>
        <v>-29241233.195970915</v>
      </c>
      <c r="G34" s="211">
        <f t="shared" si="8"/>
        <v>12826391.378026221</v>
      </c>
      <c r="H34" s="211">
        <f t="shared" si="8"/>
        <v>11687425.017349957</v>
      </c>
      <c r="I34" s="211">
        <f t="shared" si="8"/>
        <v>-5528166.777795488</v>
      </c>
      <c r="J34" s="211">
        <f t="shared" ref="J34:K34" si="9">J10-J32</f>
        <v>-842671.37166241417</v>
      </c>
      <c r="K34" s="211">
        <f t="shared" si="9"/>
        <v>-3445204.2220481802</v>
      </c>
    </row>
    <row r="35" spans="1:11" ht="13.5" thickTop="1" x14ac:dyDescent="0.2">
      <c r="A35" s="204">
        <v>31</v>
      </c>
      <c r="B35" s="204"/>
    </row>
    <row r="36" spans="1:11" x14ac:dyDescent="0.2">
      <c r="A36" s="204">
        <v>32</v>
      </c>
      <c r="B36" s="204" t="s">
        <v>72</v>
      </c>
    </row>
    <row r="37" spans="1:11" x14ac:dyDescent="0.2">
      <c r="A37" s="204">
        <v>33</v>
      </c>
      <c r="B37" s="204" t="s">
        <v>73</v>
      </c>
      <c r="C37" s="205">
        <f t="shared" ref="C37:C47" si="10">SUM(D37:K37)</f>
        <v>482391789.56799555</v>
      </c>
      <c r="D37" s="205">
        <f>SUM('Pro Forma Adj'!C43:E43)</f>
        <v>0</v>
      </c>
      <c r="E37" s="205">
        <f>SUM('Pro Forma Adj'!F43:R43)</f>
        <v>0</v>
      </c>
      <c r="F37" s="205">
        <f>SUM('Pro Forma Adj'!S43:W43)</f>
        <v>0</v>
      </c>
      <c r="G37" s="205">
        <f>SUM('Pro Forma Adj'!X43:AA43)</f>
        <v>0</v>
      </c>
      <c r="H37" s="205">
        <f>SUM('Pro Forma Adj'!AB43:AK43)</f>
        <v>0</v>
      </c>
      <c r="I37" s="205">
        <f>SUM('Pro Forma Adj'!AL43:AW43)</f>
        <v>172717671.72751385</v>
      </c>
      <c r="J37" s="205">
        <f>SUM('Pro Forma Adj'!AX43:AX43)</f>
        <v>192349.41342615057</v>
      </c>
      <c r="K37" s="205">
        <f>SUM('Pro Forma Adj'!AY43:BF43)</f>
        <v>309481768.42705554</v>
      </c>
    </row>
    <row r="38" spans="1:11" x14ac:dyDescent="0.2">
      <c r="A38" s="204">
        <v>34</v>
      </c>
      <c r="B38" s="204" t="s">
        <v>74</v>
      </c>
      <c r="C38" s="205">
        <f t="shared" si="10"/>
        <v>0</v>
      </c>
      <c r="D38" s="205">
        <f>SUM('Pro Forma Adj'!C44:E44)</f>
        <v>0</v>
      </c>
      <c r="E38" s="205">
        <f>SUM('Pro Forma Adj'!F44:R44)</f>
        <v>0</v>
      </c>
      <c r="F38" s="205">
        <f>SUM('Pro Forma Adj'!S44:W44)</f>
        <v>0</v>
      </c>
      <c r="G38" s="205">
        <f>SUM('Pro Forma Adj'!X44:AA44)</f>
        <v>0</v>
      </c>
      <c r="H38" s="205">
        <f>SUM('Pro Forma Adj'!AB44:AK44)</f>
        <v>0</v>
      </c>
      <c r="I38" s="205">
        <f>SUM('Pro Forma Adj'!AL44:AW44)</f>
        <v>0</v>
      </c>
      <c r="J38" s="205">
        <f>SUM('Pro Forma Adj'!AX44:AX44)</f>
        <v>0</v>
      </c>
      <c r="K38" s="205">
        <f>SUM('Pro Forma Adj'!AY44:BF44)</f>
        <v>0</v>
      </c>
    </row>
    <row r="39" spans="1:11" x14ac:dyDescent="0.2">
      <c r="A39" s="204">
        <v>35</v>
      </c>
      <c r="B39" s="204" t="s">
        <v>75</v>
      </c>
      <c r="C39" s="205">
        <f t="shared" si="10"/>
        <v>392246.6085648014</v>
      </c>
      <c r="D39" s="205">
        <f>SUM('Pro Forma Adj'!C45:E45)</f>
        <v>0</v>
      </c>
      <c r="E39" s="205">
        <f>SUM('Pro Forma Adj'!F45:R45)</f>
        <v>0</v>
      </c>
      <c r="F39" s="205">
        <f>SUM('Pro Forma Adj'!S45:W45)</f>
        <v>0</v>
      </c>
      <c r="G39" s="205">
        <f>SUM('Pro Forma Adj'!X45:AA45)</f>
        <v>0</v>
      </c>
      <c r="H39" s="205">
        <f>SUM('Pro Forma Adj'!AB45:AK45)</f>
        <v>0</v>
      </c>
      <c r="I39" s="205">
        <f>SUM('Pro Forma Adj'!AL45:AW45)</f>
        <v>392246.6085648014</v>
      </c>
      <c r="J39" s="205">
        <f>SUM('Pro Forma Adj'!AX45:AX45)</f>
        <v>0</v>
      </c>
      <c r="K39" s="205">
        <f>SUM('Pro Forma Adj'!AY45:BF45)</f>
        <v>0</v>
      </c>
    </row>
    <row r="40" spans="1:11" x14ac:dyDescent="0.2">
      <c r="A40" s="204">
        <v>36</v>
      </c>
      <c r="B40" s="204" t="s">
        <v>76</v>
      </c>
      <c r="C40" s="205">
        <f t="shared" si="10"/>
        <v>0</v>
      </c>
      <c r="D40" s="205">
        <f>SUM('Pro Forma Adj'!C46:E46)</f>
        <v>0</v>
      </c>
      <c r="E40" s="205">
        <f>SUM('Pro Forma Adj'!F46:R46)</f>
        <v>0</v>
      </c>
      <c r="F40" s="205">
        <f>SUM('Pro Forma Adj'!S46:W46)</f>
        <v>0</v>
      </c>
      <c r="G40" s="205">
        <f>SUM('Pro Forma Adj'!X46:AA46)</f>
        <v>0</v>
      </c>
      <c r="H40" s="205">
        <f>SUM('Pro Forma Adj'!AB46:AK46)</f>
        <v>0</v>
      </c>
      <c r="I40" s="205">
        <f>SUM('Pro Forma Adj'!AL46:AW46)</f>
        <v>0</v>
      </c>
      <c r="J40" s="205">
        <f>SUM('Pro Forma Adj'!AX46:AX46)</f>
        <v>0</v>
      </c>
      <c r="K40" s="205">
        <f>SUM('Pro Forma Adj'!AY46:BF46)</f>
        <v>0</v>
      </c>
    </row>
    <row r="41" spans="1:11" x14ac:dyDescent="0.2">
      <c r="A41" s="204">
        <v>37</v>
      </c>
      <c r="B41" s="204" t="s">
        <v>77</v>
      </c>
      <c r="C41" s="205">
        <f t="shared" si="10"/>
        <v>0</v>
      </c>
      <c r="D41" s="205">
        <f>SUM('Pro Forma Adj'!C47:E47)</f>
        <v>0</v>
      </c>
      <c r="E41" s="205">
        <f>SUM('Pro Forma Adj'!F47:R47)</f>
        <v>0</v>
      </c>
      <c r="F41" s="205">
        <f>SUM('Pro Forma Adj'!S47:W47)</f>
        <v>0</v>
      </c>
      <c r="G41" s="205">
        <f>SUM('Pro Forma Adj'!X47:AA47)</f>
        <v>0</v>
      </c>
      <c r="H41" s="205">
        <f>SUM('Pro Forma Adj'!AB47:AK47)</f>
        <v>0</v>
      </c>
      <c r="I41" s="205">
        <f>SUM('Pro Forma Adj'!AL47:AW47)</f>
        <v>0</v>
      </c>
      <c r="J41" s="205">
        <f>SUM('Pro Forma Adj'!AX47:AX47)</f>
        <v>0</v>
      </c>
      <c r="K41" s="205">
        <f>SUM('Pro Forma Adj'!AY47:BF47)</f>
        <v>0</v>
      </c>
    </row>
    <row r="42" spans="1:11" x14ac:dyDescent="0.2">
      <c r="A42" s="204">
        <v>38</v>
      </c>
      <c r="B42" s="204" t="s">
        <v>78</v>
      </c>
      <c r="C42" s="205">
        <f t="shared" si="10"/>
        <v>0</v>
      </c>
      <c r="D42" s="205">
        <f>SUM('Pro Forma Adj'!C48:E48)</f>
        <v>0</v>
      </c>
      <c r="E42" s="205">
        <f>SUM('Pro Forma Adj'!F48:R48)</f>
        <v>0</v>
      </c>
      <c r="F42" s="205">
        <f>SUM('Pro Forma Adj'!S48:W48)</f>
        <v>0</v>
      </c>
      <c r="G42" s="205">
        <f>SUM('Pro Forma Adj'!X48:AA48)</f>
        <v>0</v>
      </c>
      <c r="H42" s="205">
        <f>SUM('Pro Forma Adj'!AB48:AK48)</f>
        <v>0</v>
      </c>
      <c r="I42" s="205">
        <f>SUM('Pro Forma Adj'!AL48:AW48)</f>
        <v>0</v>
      </c>
      <c r="J42" s="205">
        <f>SUM('Pro Forma Adj'!AX48:AX48)</f>
        <v>0</v>
      </c>
      <c r="K42" s="205">
        <f>SUM('Pro Forma Adj'!AY48:BF48)</f>
        <v>0</v>
      </c>
    </row>
    <row r="43" spans="1:11" x14ac:dyDescent="0.2">
      <c r="A43" s="204">
        <v>39</v>
      </c>
      <c r="B43" s="204" t="s">
        <v>79</v>
      </c>
      <c r="C43" s="205">
        <f t="shared" si="10"/>
        <v>0</v>
      </c>
      <c r="D43" s="205">
        <f>SUM('Pro Forma Adj'!C49:E49)</f>
        <v>0</v>
      </c>
      <c r="E43" s="205">
        <f>SUM('Pro Forma Adj'!F49:R49)</f>
        <v>0</v>
      </c>
      <c r="F43" s="205">
        <f>SUM('Pro Forma Adj'!S49:W49)</f>
        <v>0</v>
      </c>
      <c r="G43" s="205">
        <f>SUM('Pro Forma Adj'!X49:AA49)</f>
        <v>0</v>
      </c>
      <c r="H43" s="205">
        <f>SUM('Pro Forma Adj'!AB49:AK49)</f>
        <v>0</v>
      </c>
      <c r="I43" s="205">
        <f>SUM('Pro Forma Adj'!AL49:AW49)</f>
        <v>0</v>
      </c>
      <c r="J43" s="205">
        <f>SUM('Pro Forma Adj'!AX49:AX49)</f>
        <v>0</v>
      </c>
      <c r="K43" s="205">
        <f>SUM('Pro Forma Adj'!AY49:BF49)</f>
        <v>0</v>
      </c>
    </row>
    <row r="44" spans="1:11" x14ac:dyDescent="0.2">
      <c r="A44" s="204">
        <v>40</v>
      </c>
      <c r="B44" s="204" t="s">
        <v>80</v>
      </c>
      <c r="C44" s="205">
        <f t="shared" si="10"/>
        <v>0</v>
      </c>
      <c r="D44" s="205">
        <f>SUM('Pro Forma Adj'!C50:E50)</f>
        <v>0</v>
      </c>
      <c r="E44" s="205">
        <f>SUM('Pro Forma Adj'!F50:R50)</f>
        <v>0</v>
      </c>
      <c r="F44" s="205">
        <f>SUM('Pro Forma Adj'!S50:W50)</f>
        <v>0</v>
      </c>
      <c r="G44" s="205">
        <f>SUM('Pro Forma Adj'!X50:AA50)</f>
        <v>0</v>
      </c>
      <c r="H44" s="205">
        <f>SUM('Pro Forma Adj'!AB50:AK50)</f>
        <v>0</v>
      </c>
      <c r="I44" s="205">
        <f>SUM('Pro Forma Adj'!AL50:AW50)</f>
        <v>0</v>
      </c>
      <c r="J44" s="205">
        <f>SUM('Pro Forma Adj'!AX50:AX50)</f>
        <v>0</v>
      </c>
      <c r="K44" s="205">
        <f>SUM('Pro Forma Adj'!AY50:BF50)</f>
        <v>0</v>
      </c>
    </row>
    <row r="45" spans="1:11" x14ac:dyDescent="0.2">
      <c r="A45" s="204">
        <v>41</v>
      </c>
      <c r="B45" s="204" t="s">
        <v>81</v>
      </c>
      <c r="C45" s="205">
        <f t="shared" si="10"/>
        <v>0</v>
      </c>
      <c r="D45" s="205">
        <f>SUM('Pro Forma Adj'!C51:E51)</f>
        <v>0</v>
      </c>
      <c r="E45" s="205">
        <f>SUM('Pro Forma Adj'!F51:R51)</f>
        <v>0</v>
      </c>
      <c r="F45" s="205">
        <f>SUM('Pro Forma Adj'!S51:W51)</f>
        <v>0</v>
      </c>
      <c r="G45" s="205">
        <f>SUM('Pro Forma Adj'!X51:AA51)</f>
        <v>0</v>
      </c>
      <c r="H45" s="205">
        <f>SUM('Pro Forma Adj'!AB51:AK51)</f>
        <v>0</v>
      </c>
      <c r="I45" s="205">
        <f>SUM('Pro Forma Adj'!AL51:AW51)</f>
        <v>0</v>
      </c>
      <c r="J45" s="205">
        <f>SUM('Pro Forma Adj'!AX51:AX51)</f>
        <v>0</v>
      </c>
      <c r="K45" s="205">
        <f>SUM('Pro Forma Adj'!AY51:BF51)</f>
        <v>0</v>
      </c>
    </row>
    <row r="46" spans="1:11" x14ac:dyDescent="0.2">
      <c r="A46" s="204">
        <v>42</v>
      </c>
      <c r="B46" s="204" t="s">
        <v>160</v>
      </c>
      <c r="C46" s="205">
        <f t="shared" si="10"/>
        <v>0</v>
      </c>
      <c r="D46" s="205">
        <f>SUM('Pro Forma Adj'!C52:E52)</f>
        <v>0</v>
      </c>
      <c r="E46" s="205">
        <f>SUM('Pro Forma Adj'!F52:R52)</f>
        <v>0</v>
      </c>
      <c r="F46" s="205">
        <f>SUM('Pro Forma Adj'!S52:W52)</f>
        <v>0</v>
      </c>
      <c r="G46" s="205">
        <f>SUM('Pro Forma Adj'!X52:AA52)</f>
        <v>0</v>
      </c>
      <c r="H46" s="205">
        <f>SUM('Pro Forma Adj'!AB52:AK52)</f>
        <v>0</v>
      </c>
      <c r="I46" s="205">
        <f>SUM('Pro Forma Adj'!AL52:AW52)</f>
        <v>0</v>
      </c>
      <c r="J46" s="205">
        <f>SUM('Pro Forma Adj'!AX52:AX52)</f>
        <v>0</v>
      </c>
      <c r="K46" s="205">
        <f>SUM('Pro Forma Adj'!AY52:BF52)</f>
        <v>0</v>
      </c>
    </row>
    <row r="47" spans="1:11" x14ac:dyDescent="0.2">
      <c r="A47" s="204">
        <v>43</v>
      </c>
      <c r="B47" s="204" t="s">
        <v>83</v>
      </c>
      <c r="C47" s="205">
        <f t="shared" si="10"/>
        <v>0</v>
      </c>
      <c r="D47" s="205">
        <f>SUM('Pro Forma Adj'!C53:E53)</f>
        <v>0</v>
      </c>
      <c r="E47" s="205">
        <f>SUM('Pro Forma Adj'!F53:R53)</f>
        <v>0</v>
      </c>
      <c r="F47" s="205">
        <f>SUM('Pro Forma Adj'!S53:W53)</f>
        <v>0</v>
      </c>
      <c r="G47" s="205">
        <f>SUM('Pro Forma Adj'!X53:AA53)</f>
        <v>0</v>
      </c>
      <c r="H47" s="205">
        <f>SUM('Pro Forma Adj'!AB53:AK53)</f>
        <v>0</v>
      </c>
      <c r="I47" s="205">
        <f>SUM('Pro Forma Adj'!AL53:AW53)</f>
        <v>0</v>
      </c>
      <c r="J47" s="205">
        <f>SUM('Pro Forma Adj'!AX53:AX53)</f>
        <v>0</v>
      </c>
      <c r="K47" s="205">
        <f>SUM('Pro Forma Adj'!AY53:BF53)</f>
        <v>0</v>
      </c>
    </row>
    <row r="48" spans="1:11" x14ac:dyDescent="0.2">
      <c r="A48" s="204">
        <v>44</v>
      </c>
      <c r="B48" s="204" t="s">
        <v>84</v>
      </c>
      <c r="C48" s="210">
        <f>SUM(C37:C47)</f>
        <v>482784036.17656034</v>
      </c>
      <c r="D48" s="210">
        <f t="shared" ref="D48:I48" si="11">SUM(D37:D47)</f>
        <v>0</v>
      </c>
      <c r="E48" s="210">
        <f t="shared" si="11"/>
        <v>0</v>
      </c>
      <c r="F48" s="210">
        <f t="shared" si="11"/>
        <v>0</v>
      </c>
      <c r="G48" s="210">
        <f t="shared" si="11"/>
        <v>0</v>
      </c>
      <c r="H48" s="210">
        <f t="shared" si="11"/>
        <v>0</v>
      </c>
      <c r="I48" s="210">
        <f t="shared" si="11"/>
        <v>173109918.33607864</v>
      </c>
      <c r="J48" s="210">
        <f t="shared" ref="J48:K48" si="12">SUM(J37:J47)</f>
        <v>192349.41342615057</v>
      </c>
      <c r="K48" s="210">
        <f t="shared" si="12"/>
        <v>309481768.42705554</v>
      </c>
    </row>
    <row r="49" spans="1:11" x14ac:dyDescent="0.2">
      <c r="A49" s="204">
        <v>45</v>
      </c>
      <c r="B49" s="204"/>
    </row>
    <row r="50" spans="1:11" x14ac:dyDescent="0.2">
      <c r="A50" s="204">
        <v>46</v>
      </c>
      <c r="B50" s="204" t="s">
        <v>161</v>
      </c>
    </row>
    <row r="51" spans="1:11" x14ac:dyDescent="0.2">
      <c r="A51" s="204">
        <v>47</v>
      </c>
      <c r="B51" s="204" t="s">
        <v>86</v>
      </c>
      <c r="C51" s="205">
        <f t="shared" ref="C51:C57" si="13">SUM(D51:K51)</f>
        <v>-397596192.47010535</v>
      </c>
      <c r="D51" s="205">
        <f>SUM('Pro Forma Adj'!C57:E57)</f>
        <v>0</v>
      </c>
      <c r="E51" s="205">
        <f>SUM('Pro Forma Adj'!F57:R57)</f>
        <v>0</v>
      </c>
      <c r="F51" s="205">
        <f>SUM('Pro Forma Adj'!S57:W57)</f>
        <v>0</v>
      </c>
      <c r="G51" s="205">
        <f>SUM('Pro Forma Adj'!X57:AA57)</f>
        <v>-80207431.688485801</v>
      </c>
      <c r="H51" s="205">
        <f>SUM('Pro Forma Adj'!AB57:AK57)</f>
        <v>0</v>
      </c>
      <c r="I51" s="205">
        <f>SUM('Pro Forma Adj'!AL57:AW57)</f>
        <v>-91325.556377892062</v>
      </c>
      <c r="J51" s="205">
        <f>SUM('Pro Forma Adj'!AX57:AX57)</f>
        <v>-195149.93985409159</v>
      </c>
      <c r="K51" s="205">
        <f>SUM('Pro Forma Adj'!AY57:BF57)</f>
        <v>-317102285.28538758</v>
      </c>
    </row>
    <row r="52" spans="1:11" x14ac:dyDescent="0.2">
      <c r="A52" s="204">
        <v>48</v>
      </c>
      <c r="B52" s="204" t="s">
        <v>87</v>
      </c>
      <c r="C52" s="205">
        <f t="shared" si="13"/>
        <v>-7490520.9057901539</v>
      </c>
      <c r="D52" s="205">
        <f>SUM('Pro Forma Adj'!C58:E58)</f>
        <v>0</v>
      </c>
      <c r="E52" s="205">
        <f>SUM('Pro Forma Adj'!F58:R58)</f>
        <v>0</v>
      </c>
      <c r="F52" s="205">
        <f>SUM('Pro Forma Adj'!S58:W58)</f>
        <v>0</v>
      </c>
      <c r="G52" s="205">
        <f>SUM('Pro Forma Adj'!X58:AA58)</f>
        <v>-7490520.9057901539</v>
      </c>
      <c r="H52" s="205">
        <f>SUM('Pro Forma Adj'!AB58:AK58)</f>
        <v>0</v>
      </c>
      <c r="I52" s="205">
        <f>SUM('Pro Forma Adj'!AL58:AW58)</f>
        <v>0</v>
      </c>
      <c r="J52" s="205">
        <f>SUM('Pro Forma Adj'!AX58:AX58)</f>
        <v>0</v>
      </c>
      <c r="K52" s="205">
        <f>SUM('Pro Forma Adj'!AY58:BF58)</f>
        <v>0</v>
      </c>
    </row>
    <row r="53" spans="1:11" x14ac:dyDescent="0.2">
      <c r="A53" s="204">
        <v>49</v>
      </c>
      <c r="B53" s="204" t="s">
        <v>88</v>
      </c>
      <c r="C53" s="205">
        <f t="shared" si="13"/>
        <v>-928599.56466116011</v>
      </c>
      <c r="D53" s="205">
        <f>SUM('Pro Forma Adj'!C59:E59)</f>
        <v>0</v>
      </c>
      <c r="E53" s="205">
        <f>SUM('Pro Forma Adj'!F59:R59)</f>
        <v>-2506736.237041242</v>
      </c>
      <c r="F53" s="205">
        <f>SUM('Pro Forma Adj'!S59:W59)</f>
        <v>0</v>
      </c>
      <c r="G53" s="205">
        <f>SUM('Pro Forma Adj'!X59:AA59)</f>
        <v>4379287.4542611726</v>
      </c>
      <c r="H53" s="205">
        <f>SUM('Pro Forma Adj'!AB59:AK59)</f>
        <v>-9347287.6772085391</v>
      </c>
      <c r="I53" s="205">
        <f>SUM('Pro Forma Adj'!AL59:AW59)</f>
        <v>-8362731.3887856305</v>
      </c>
      <c r="J53" s="205">
        <f>SUM('Pro Forma Adj'!AX59:AX59)</f>
        <v>0</v>
      </c>
      <c r="K53" s="205">
        <f>SUM('Pro Forma Adj'!AY59:BF59)</f>
        <v>14908868.284113079</v>
      </c>
    </row>
    <row r="54" spans="1:11" x14ac:dyDescent="0.2">
      <c r="A54" s="204">
        <v>50</v>
      </c>
      <c r="B54" s="204" t="s">
        <v>89</v>
      </c>
      <c r="C54" s="205">
        <f t="shared" si="13"/>
        <v>0</v>
      </c>
      <c r="D54" s="205">
        <f>SUM('Pro Forma Adj'!C60:E60)</f>
        <v>0</v>
      </c>
      <c r="E54" s="205">
        <f>SUM('Pro Forma Adj'!F60:R60)</f>
        <v>0</v>
      </c>
      <c r="F54" s="205">
        <f>SUM('Pro Forma Adj'!S60:W60)</f>
        <v>0</v>
      </c>
      <c r="G54" s="205">
        <f>SUM('Pro Forma Adj'!X60:AA60)</f>
        <v>0</v>
      </c>
      <c r="H54" s="205">
        <f>SUM('Pro Forma Adj'!AB60:AK60)</f>
        <v>0</v>
      </c>
      <c r="I54" s="205">
        <f>SUM('Pro Forma Adj'!AL60:AW60)</f>
        <v>0</v>
      </c>
      <c r="J54" s="205">
        <f>SUM('Pro Forma Adj'!AX60:AX60)</f>
        <v>0</v>
      </c>
      <c r="K54" s="205">
        <f>SUM('Pro Forma Adj'!AY60:BF60)</f>
        <v>0</v>
      </c>
    </row>
    <row r="55" spans="1:11" x14ac:dyDescent="0.2">
      <c r="A55" s="204">
        <v>51</v>
      </c>
      <c r="B55" s="204" t="s">
        <v>90</v>
      </c>
      <c r="C55" s="205">
        <f t="shared" si="13"/>
        <v>0</v>
      </c>
      <c r="D55" s="205">
        <f>SUM('Pro Forma Adj'!C61:E61)</f>
        <v>0</v>
      </c>
      <c r="E55" s="205">
        <f>SUM('Pro Forma Adj'!F61:R61)</f>
        <v>0</v>
      </c>
      <c r="F55" s="205">
        <f>SUM('Pro Forma Adj'!S61:W61)</f>
        <v>0</v>
      </c>
      <c r="G55" s="205">
        <f>SUM('Pro Forma Adj'!X61:AA61)</f>
        <v>0</v>
      </c>
      <c r="H55" s="205">
        <f>SUM('Pro Forma Adj'!AB61:AK61)</f>
        <v>0</v>
      </c>
      <c r="I55" s="205">
        <f>SUM('Pro Forma Adj'!AL61:AW61)</f>
        <v>0</v>
      </c>
      <c r="J55" s="205">
        <f>SUM('Pro Forma Adj'!AX61:AX61)</f>
        <v>0</v>
      </c>
      <c r="K55" s="205">
        <f>SUM('Pro Forma Adj'!AY61:BF61)</f>
        <v>0</v>
      </c>
    </row>
    <row r="56" spans="1:11" x14ac:dyDescent="0.2">
      <c r="A56" s="204">
        <v>52</v>
      </c>
      <c r="B56" s="204" t="s">
        <v>91</v>
      </c>
      <c r="C56" s="205">
        <f t="shared" si="13"/>
        <v>0</v>
      </c>
      <c r="D56" s="205">
        <f>SUM('Pro Forma Adj'!C62:E62)</f>
        <v>0</v>
      </c>
      <c r="E56" s="205">
        <f>SUM('Pro Forma Adj'!F62:R62)</f>
        <v>0</v>
      </c>
      <c r="F56" s="205">
        <f>SUM('Pro Forma Adj'!S62:W62)</f>
        <v>0</v>
      </c>
      <c r="G56" s="205">
        <f>SUM('Pro Forma Adj'!X62:AA62)</f>
        <v>0</v>
      </c>
      <c r="H56" s="205">
        <f>SUM('Pro Forma Adj'!AB62:AK62)</f>
        <v>0</v>
      </c>
      <c r="I56" s="205">
        <f>SUM('Pro Forma Adj'!AL62:AW62)</f>
        <v>0</v>
      </c>
      <c r="J56" s="205">
        <f>SUM('Pro Forma Adj'!AX62:AX62)</f>
        <v>0</v>
      </c>
      <c r="K56" s="205">
        <f>SUM('Pro Forma Adj'!AY62:BF62)</f>
        <v>0</v>
      </c>
    </row>
    <row r="57" spans="1:11" x14ac:dyDescent="0.2">
      <c r="A57" s="204">
        <v>53</v>
      </c>
      <c r="B57" s="204" t="s">
        <v>162</v>
      </c>
      <c r="C57" s="205">
        <f t="shared" si="13"/>
        <v>36396647.603050716</v>
      </c>
      <c r="D57" s="205">
        <f>SUM('Pro Forma Adj'!C63:E63)</f>
        <v>0</v>
      </c>
      <c r="E57" s="205">
        <f>SUM('Pro Forma Adj'!F63:R63)</f>
        <v>0</v>
      </c>
      <c r="F57" s="205">
        <f>SUM('Pro Forma Adj'!S63:W63)</f>
        <v>0</v>
      </c>
      <c r="G57" s="205">
        <f>SUM('Pro Forma Adj'!X63:AA63)</f>
        <v>-16478622.876949267</v>
      </c>
      <c r="H57" s="205">
        <f>SUM('Pro Forma Adj'!AB63:AK63)</f>
        <v>18039048</v>
      </c>
      <c r="I57" s="205">
        <f>SUM('Pro Forma Adj'!AL63:AW63)</f>
        <v>34836222.479999982</v>
      </c>
      <c r="J57" s="205">
        <f>SUM('Pro Forma Adj'!AX63:AX63)</f>
        <v>0</v>
      </c>
      <c r="K57" s="205">
        <f>SUM('Pro Forma Adj'!AY63:BF63)</f>
        <v>0</v>
      </c>
    </row>
    <row r="58" spans="1:11" x14ac:dyDescent="0.2">
      <c r="A58" s="204">
        <v>54</v>
      </c>
      <c r="B58" s="204"/>
      <c r="E58" s="205"/>
      <c r="F58" s="205"/>
      <c r="G58" s="205"/>
    </row>
    <row r="59" spans="1:11" x14ac:dyDescent="0.2">
      <c r="A59" s="204">
        <v>55</v>
      </c>
      <c r="B59" s="204" t="s">
        <v>163</v>
      </c>
      <c r="C59" s="210">
        <f>SUM(C51:C58)</f>
        <v>-369618665.33750594</v>
      </c>
      <c r="D59" s="210">
        <f t="shared" ref="D59:I59" si="14">SUM(D51:D58)</f>
        <v>0</v>
      </c>
      <c r="E59" s="210">
        <f t="shared" si="14"/>
        <v>-2506736.237041242</v>
      </c>
      <c r="F59" s="210">
        <f t="shared" si="14"/>
        <v>0</v>
      </c>
      <c r="G59" s="210">
        <f t="shared" si="14"/>
        <v>-99797288.016964048</v>
      </c>
      <c r="H59" s="210">
        <f t="shared" si="14"/>
        <v>8691760.3227914609</v>
      </c>
      <c r="I59" s="210">
        <f t="shared" si="14"/>
        <v>26382165.53483646</v>
      </c>
      <c r="J59" s="210">
        <f t="shared" ref="J59:K59" si="15">SUM(J51:J58)</f>
        <v>-195149.93985409159</v>
      </c>
      <c r="K59" s="210">
        <f t="shared" si="15"/>
        <v>-302193417.00127447</v>
      </c>
    </row>
    <row r="60" spans="1:11" x14ac:dyDescent="0.2">
      <c r="A60" s="204">
        <v>56</v>
      </c>
      <c r="B60" s="204"/>
    </row>
    <row r="61" spans="1:11" ht="13.5" thickBot="1" x14ac:dyDescent="0.25">
      <c r="A61" s="204">
        <v>57</v>
      </c>
      <c r="B61" s="204" t="s">
        <v>94</v>
      </c>
      <c r="C61" s="211">
        <f>C48+C59</f>
        <v>113165370.83905441</v>
      </c>
      <c r="D61" s="211">
        <f t="shared" ref="D61:I61" si="16">D48+D59</f>
        <v>0</v>
      </c>
      <c r="E61" s="211">
        <f t="shared" si="16"/>
        <v>-2506736.237041242</v>
      </c>
      <c r="F61" s="211">
        <f t="shared" si="16"/>
        <v>0</v>
      </c>
      <c r="G61" s="211">
        <f t="shared" si="16"/>
        <v>-99797288.016964048</v>
      </c>
      <c r="H61" s="211">
        <f t="shared" si="16"/>
        <v>8691760.3227914609</v>
      </c>
      <c r="I61" s="211">
        <f t="shared" si="16"/>
        <v>199492083.87091511</v>
      </c>
      <c r="J61" s="211">
        <f t="shared" ref="J61:K61" si="17">J48+J59</f>
        <v>-2800.5264279410185</v>
      </c>
      <c r="K61" s="211">
        <f t="shared" si="17"/>
        <v>7288351.4257810712</v>
      </c>
    </row>
    <row r="62" spans="1:11" ht="13.5" thickTop="1" x14ac:dyDescent="0.2">
      <c r="A62" s="204">
        <v>58</v>
      </c>
      <c r="B62" s="204"/>
    </row>
    <row r="63" spans="1:11" x14ac:dyDescent="0.2">
      <c r="A63" s="204">
        <v>59</v>
      </c>
      <c r="B63" s="213" t="s">
        <v>164</v>
      </c>
      <c r="C63" s="214">
        <f t="shared" ref="C63:I63" si="18">(((C34+Restated_Op_revenue)/(C61+Restated_rate_base))-Weighted_cost_debt-Weighted_cost_pref)/Percent_common-Restated_ROE</f>
        <v>-4.2633752769264316E-2</v>
      </c>
      <c r="D63" s="214">
        <f t="shared" si="18"/>
        <v>2.2234859288869924E-3</v>
      </c>
      <c r="E63" s="214">
        <f t="shared" si="18"/>
        <v>-2.8343272278699844E-3</v>
      </c>
      <c r="F63" s="214">
        <f t="shared" si="18"/>
        <v>-5.7769854791331489E-2</v>
      </c>
      <c r="G63" s="214">
        <f t="shared" si="18"/>
        <v>4.5642928283323905E-2</v>
      </c>
      <c r="H63" s="214">
        <f t="shared" si="18"/>
        <v>2.1534030744070856E-2</v>
      </c>
      <c r="I63" s="214">
        <f t="shared" si="18"/>
        <v>-3.5175504843137056E-2</v>
      </c>
      <c r="J63" s="214">
        <f t="shared" ref="J63:K63" si="19">(((J34+Restated_Op_revenue)/(J61+Restated_rate_base))-Weighted_cost_debt-Weighted_cost_pref)/Percent_common-Restated_ROE</f>
        <v>-1.6643712198107924E-3</v>
      </c>
      <c r="K63" s="214">
        <f t="shared" si="19"/>
        <v>-7.8939569115552555E-3</v>
      </c>
    </row>
    <row r="64" spans="1:11" x14ac:dyDescent="0.2">
      <c r="A64" s="204">
        <v>60</v>
      </c>
      <c r="B64" s="196" t="s">
        <v>42</v>
      </c>
      <c r="C64" s="215">
        <f>-(C34-(C61*Overall_ROR))/gross_up_factor+2</f>
        <v>31455726.024603512</v>
      </c>
      <c r="D64" s="215">
        <f t="shared" ref="D64:I64" si="20">-(D34-(D61*Overall_ROR))/gross_up_factor</f>
        <v>-1496976.280623215</v>
      </c>
      <c r="E64" s="215">
        <f t="shared" si="20"/>
        <v>1915298.6533897223</v>
      </c>
      <c r="F64" s="215">
        <f t="shared" si="20"/>
        <v>38893928.3285506</v>
      </c>
      <c r="G64" s="215">
        <f t="shared" si="20"/>
        <v>-27148766.017551392</v>
      </c>
      <c r="H64" s="215">
        <f t="shared" si="20"/>
        <v>-14666876.689656841</v>
      </c>
      <c r="I64" s="215">
        <f t="shared" si="20"/>
        <v>27519306.685090892</v>
      </c>
      <c r="J64" s="215">
        <f t="shared" ref="J64:K64" si="21">-(J34-(J61*Overall_ROR))/gross_up_factor</f>
        <v>1120558.8194699404</v>
      </c>
      <c r="K64" s="215">
        <f t="shared" si="21"/>
        <v>5319250.5259337891</v>
      </c>
    </row>
    <row r="65" spans="1:11" x14ac:dyDescent="0.2">
      <c r="A65" s="204">
        <v>61</v>
      </c>
      <c r="B65" s="204"/>
    </row>
    <row r="66" spans="1:11" x14ac:dyDescent="0.2">
      <c r="A66" s="204">
        <v>62</v>
      </c>
      <c r="B66" s="204" t="s">
        <v>96</v>
      </c>
    </row>
    <row r="67" spans="1:11" x14ac:dyDescent="0.2">
      <c r="A67" s="204">
        <v>63</v>
      </c>
      <c r="B67" s="204" t="s">
        <v>97</v>
      </c>
      <c r="C67" s="216">
        <f>SUM(D67:K67)</f>
        <v>-36654842.601693332</v>
      </c>
      <c r="D67" s="216">
        <f t="shared" ref="D67:I67" si="22">D10-D23-D24-D25-D26-D31</f>
        <v>1424628.7434153743</v>
      </c>
      <c r="E67" s="216">
        <f t="shared" si="22"/>
        <v>-2063888.3387425262</v>
      </c>
      <c r="F67" s="216">
        <f t="shared" si="22"/>
        <v>-37014219.23540622</v>
      </c>
      <c r="G67" s="216">
        <f t="shared" si="22"/>
        <v>15604614.261644704</v>
      </c>
      <c r="H67" s="216">
        <f t="shared" si="22"/>
        <v>-1059661.6170963505</v>
      </c>
      <c r="I67" s="216">
        <f t="shared" si="22"/>
        <v>-7963155.5082634538</v>
      </c>
      <c r="J67" s="216">
        <f t="shared" ref="J67:K67" si="23">J10-J23-J24-J25-J26-J31</f>
        <v>-1108014.9153842642</v>
      </c>
      <c r="K67" s="216">
        <f t="shared" si="23"/>
        <v>-4475145.9918606011</v>
      </c>
    </row>
    <row r="68" spans="1:11" x14ac:dyDescent="0.2">
      <c r="A68" s="204">
        <v>64</v>
      </c>
      <c r="B68" s="204" t="s">
        <v>98</v>
      </c>
      <c r="C68" s="216">
        <v>0</v>
      </c>
      <c r="D68" s="205">
        <f>SUM('Pro Forma Adj'!C75:E75)</f>
        <v>0</v>
      </c>
      <c r="E68" s="205">
        <f>SUM('Pro Forma Adj'!F75:R75)</f>
        <v>0</v>
      </c>
      <c r="F68" s="205">
        <f>SUM('Pro Forma Adj'!S75:W75)</f>
        <v>0</v>
      </c>
      <c r="G68" s="205">
        <f>SUM('Pro Forma Adj'!X75:AA75)</f>
        <v>0</v>
      </c>
      <c r="H68" s="205">
        <f>SUM('Pro Forma Adj'!AB75:AK75)</f>
        <v>0</v>
      </c>
      <c r="I68" s="205">
        <f>SUM('Pro Forma Adj'!AL75:AW75)</f>
        <v>0</v>
      </c>
      <c r="J68" s="205">
        <f>SUM('Pro Forma Adj'!AX75:AX75)</f>
        <v>0</v>
      </c>
      <c r="K68" s="205">
        <f>SUM('Pro Forma Adj'!AY75:BF75)</f>
        <v>0</v>
      </c>
    </row>
    <row r="69" spans="1:11" x14ac:dyDescent="0.2">
      <c r="A69" s="204">
        <v>65</v>
      </c>
      <c r="B69" s="204" t="s">
        <v>99</v>
      </c>
      <c r="C69" s="216">
        <f>SUM(D69:K69)</f>
        <v>0</v>
      </c>
      <c r="D69" s="205">
        <f>SUM('Pro Forma Adj'!C76:E76)</f>
        <v>0</v>
      </c>
      <c r="E69" s="205">
        <f>SUM('Pro Forma Adj'!F76:R76)</f>
        <v>0</v>
      </c>
      <c r="F69" s="216">
        <f>SUM('Pro Forma Adj'!S76:W76)</f>
        <v>0</v>
      </c>
      <c r="G69" s="216">
        <f>SUM('Pro Forma Adj'!X76:AA76)</f>
        <v>0</v>
      </c>
      <c r="H69" s="216">
        <f>SUM('Pro Forma Adj'!AB76:AK76)</f>
        <v>0</v>
      </c>
      <c r="I69" s="205">
        <f>SUM('Pro Forma Adj'!AL76:AW76)</f>
        <v>0</v>
      </c>
      <c r="J69" s="205">
        <f>SUM('Pro Forma Adj'!AX76:AX76)</f>
        <v>0</v>
      </c>
      <c r="K69" s="205">
        <f>SUM('Pro Forma Adj'!AY76:BF76)</f>
        <v>0</v>
      </c>
    </row>
    <row r="70" spans="1:11" x14ac:dyDescent="0.2">
      <c r="A70" s="204">
        <v>66</v>
      </c>
      <c r="B70" s="204" t="s">
        <v>100</v>
      </c>
      <c r="C70" s="216">
        <f>SUM(D70:K70)</f>
        <v>2629899.8456919454</v>
      </c>
      <c r="D70" s="205">
        <f>SUM('Pro Forma Adj'!C77:E77)</f>
        <v>0</v>
      </c>
      <c r="E70" s="205">
        <f>SUM('Pro Forma Adj'!F77:R77)</f>
        <v>0</v>
      </c>
      <c r="F70" s="216">
        <f>SUM('Pro Forma Adj'!S77:W77)</f>
        <v>0</v>
      </c>
      <c r="G70" s="216">
        <f>SUM('Pro Forma Adj'!X77:AA77)</f>
        <v>0</v>
      </c>
      <c r="H70" s="216">
        <f>SUM('Pro Forma Adj'!AB77:AK77)</f>
        <v>2629899.8456919454</v>
      </c>
      <c r="I70" s="205">
        <f>SUM('Pro Forma Adj'!AL77:AW77)</f>
        <v>0</v>
      </c>
      <c r="J70" s="205">
        <f>SUM('Pro Forma Adj'!AX77:AX77)</f>
        <v>0</v>
      </c>
      <c r="K70" s="205">
        <f>SUM('Pro Forma Adj'!AY77:BF77)</f>
        <v>0</v>
      </c>
    </row>
    <row r="71" spans="1:11" x14ac:dyDescent="0.2">
      <c r="A71" s="204">
        <v>67</v>
      </c>
      <c r="B71" s="209" t="s">
        <v>101</v>
      </c>
      <c r="C71" s="216">
        <f>SUM(D71:K71)</f>
        <v>25893346.240085907</v>
      </c>
      <c r="D71" s="205">
        <f>SUM('Pro Forma Adj'!C78:E78)</f>
        <v>0</v>
      </c>
      <c r="E71" s="205">
        <f>SUM('Pro Forma Adj'!F78:R78)</f>
        <v>0</v>
      </c>
      <c r="F71" s="216">
        <f>SUM('Pro Forma Adj'!S78:W78)</f>
        <v>0</v>
      </c>
      <c r="G71" s="216">
        <f>SUM('Pro Forma Adj'!X78:AA78)</f>
        <v>0</v>
      </c>
      <c r="H71" s="216">
        <f>SUM('Pro Forma Adj'!AB78:AK78)</f>
        <v>5727839.9784527384</v>
      </c>
      <c r="I71" s="205">
        <f>SUM('Pro Forma Adj'!AL78:AW78)</f>
        <v>17129662.983612403</v>
      </c>
      <c r="J71" s="205">
        <f>SUM('Pro Forma Adj'!AX78:AX78)</f>
        <v>0</v>
      </c>
      <c r="K71" s="205">
        <f>SUM('Pro Forma Adj'!AY78:BF78)</f>
        <v>3035843.2780207661</v>
      </c>
    </row>
    <row r="72" spans="1:11" x14ac:dyDescent="0.2">
      <c r="A72" s="204">
        <v>68</v>
      </c>
      <c r="B72" s="209" t="s">
        <v>102</v>
      </c>
      <c r="C72" s="220">
        <f>SUM(D72:K72)</f>
        <v>4659710.6852754876</v>
      </c>
      <c r="D72" s="205">
        <f>SUM('Pro Forma Adj'!C79:E79)</f>
        <v>0</v>
      </c>
      <c r="E72" s="205">
        <f>SUM('Pro Forma Adj'!F79:R79)</f>
        <v>0</v>
      </c>
      <c r="F72" s="220">
        <f>SUM('Pro Forma Adj'!S79:W79)</f>
        <v>0</v>
      </c>
      <c r="G72" s="220">
        <f>SUM('Pro Forma Adj'!X79:AA79)</f>
        <v>0</v>
      </c>
      <c r="H72" s="220">
        <f>SUM('Pro Forma Adj'!AB79:AK79)</f>
        <v>8274038.4367921073</v>
      </c>
      <c r="I72" s="205">
        <f>SUM('Pro Forma Adj'!AL79:AW79)</f>
        <v>-4136322.5148429112</v>
      </c>
      <c r="J72" s="205">
        <f>SUM('Pro Forma Adj'!AX79:AX79)</f>
        <v>0</v>
      </c>
      <c r="K72" s="205">
        <f>SUM('Pro Forma Adj'!AY79:BF79)</f>
        <v>521994.76332629158</v>
      </c>
    </row>
    <row r="73" spans="1:11" x14ac:dyDescent="0.2">
      <c r="A73" s="204">
        <v>69</v>
      </c>
      <c r="B73" s="209" t="s">
        <v>103</v>
      </c>
      <c r="C73" s="207">
        <f>SUM(D73:K73)</f>
        <v>-18051106.892574865</v>
      </c>
      <c r="D73" s="218">
        <f>D67-D69-D70+D71-D72</f>
        <v>1424628.7434153743</v>
      </c>
      <c r="E73" s="218">
        <f>E67-E69-E70+E71-E72</f>
        <v>-2063888.3387425262</v>
      </c>
      <c r="F73" s="207">
        <f t="shared" ref="F73:I73" si="24">F67-F69-F70+F71-F72</f>
        <v>-37014219.23540622</v>
      </c>
      <c r="G73" s="207">
        <f t="shared" si="24"/>
        <v>15604614.261644704</v>
      </c>
      <c r="H73" s="207">
        <f t="shared" si="24"/>
        <v>-6235759.9211276649</v>
      </c>
      <c r="I73" s="218">
        <f t="shared" si="24"/>
        <v>13302829.99019186</v>
      </c>
      <c r="J73" s="218">
        <f t="shared" ref="J73:K73" si="25">J67-J69-J70+J71-J72</f>
        <v>-1108014.9153842642</v>
      </c>
      <c r="K73" s="218">
        <f t="shared" si="25"/>
        <v>-1961297.4771661265</v>
      </c>
    </row>
    <row r="74" spans="1:11" x14ac:dyDescent="0.2">
      <c r="A74" s="204">
        <v>70</v>
      </c>
      <c r="B74" s="204"/>
      <c r="C74" s="217"/>
      <c r="D74" s="217"/>
      <c r="E74" s="217"/>
      <c r="F74" s="217"/>
      <c r="G74" s="217"/>
      <c r="H74" s="217"/>
      <c r="I74" s="217"/>
      <c r="J74" s="217"/>
      <c r="K74" s="217"/>
    </row>
    <row r="75" spans="1:11" x14ac:dyDescent="0.2">
      <c r="A75" s="204">
        <v>71</v>
      </c>
      <c r="B75" s="204" t="s">
        <v>104</v>
      </c>
      <c r="C75" s="216">
        <f>SUM(D75:K75)</f>
        <v>0</v>
      </c>
      <c r="D75" s="216">
        <f>C162</f>
        <v>0</v>
      </c>
      <c r="E75" s="216">
        <f>C277</f>
        <v>0</v>
      </c>
      <c r="F75" s="216">
        <f>C391</f>
        <v>0</v>
      </c>
      <c r="G75" s="216">
        <f>C505</f>
        <v>0</v>
      </c>
      <c r="H75" s="216">
        <f>C620</f>
        <v>0</v>
      </c>
      <c r="I75" s="216">
        <f>C735</f>
        <v>0</v>
      </c>
      <c r="J75" s="216">
        <f>D735</f>
        <v>0</v>
      </c>
      <c r="K75" s="216">
        <f>E735</f>
        <v>0</v>
      </c>
    </row>
    <row r="76" spans="1:11" x14ac:dyDescent="0.2">
      <c r="A76" s="204">
        <v>72</v>
      </c>
      <c r="B76" s="204" t="s">
        <v>105</v>
      </c>
      <c r="C76" s="216">
        <f>SUM(D76:K76)</f>
        <v>-18051106.892574865</v>
      </c>
      <c r="D76" s="216">
        <f>D73-D75</f>
        <v>1424628.7434153743</v>
      </c>
      <c r="E76" s="216">
        <f t="shared" ref="E76:I76" si="26">E73-E75</f>
        <v>-2063888.3387425262</v>
      </c>
      <c r="F76" s="216">
        <f t="shared" si="26"/>
        <v>-37014219.23540622</v>
      </c>
      <c r="G76" s="216">
        <f t="shared" si="26"/>
        <v>15604614.261644704</v>
      </c>
      <c r="H76" s="216">
        <f t="shared" si="26"/>
        <v>-6235759.9211276649</v>
      </c>
      <c r="I76" s="216">
        <f t="shared" si="26"/>
        <v>13302829.99019186</v>
      </c>
      <c r="J76" s="216">
        <f t="shared" ref="J76:K76" si="27">J73-J75</f>
        <v>-1108014.9153842642</v>
      </c>
      <c r="K76" s="216">
        <f t="shared" si="27"/>
        <v>-1961297.4771661265</v>
      </c>
    </row>
    <row r="77" spans="1:11" x14ac:dyDescent="0.2">
      <c r="A77" s="204">
        <v>73</v>
      </c>
      <c r="B77" s="204"/>
      <c r="D77" s="221"/>
      <c r="E77" s="221"/>
      <c r="F77" s="221"/>
      <c r="G77" s="221"/>
      <c r="H77" s="221"/>
      <c r="I77" s="221"/>
      <c r="J77" s="221"/>
      <c r="K77" s="221"/>
    </row>
    <row r="78" spans="1:11" x14ac:dyDescent="0.2">
      <c r="A78" s="204">
        <v>74</v>
      </c>
      <c r="B78" s="204" t="s">
        <v>131</v>
      </c>
      <c r="C78" s="217">
        <f>SUM(D78:K78)</f>
        <v>-3790732.4474407206</v>
      </c>
      <c r="D78" s="217">
        <f t="shared" ref="D78:J78" si="28">D76*0.21</f>
        <v>299172.03611722862</v>
      </c>
      <c r="E78" s="217">
        <f t="shared" si="28"/>
        <v>-433416.55113593052</v>
      </c>
      <c r="F78" s="217">
        <f t="shared" si="28"/>
        <v>-7772986.0394353056</v>
      </c>
      <c r="G78" s="217">
        <f t="shared" si="28"/>
        <v>3276968.9949453878</v>
      </c>
      <c r="H78" s="217">
        <f t="shared" si="28"/>
        <v>-1309509.5834368095</v>
      </c>
      <c r="I78" s="217">
        <f t="shared" si="28"/>
        <v>2793594.2979402905</v>
      </c>
      <c r="J78" s="217">
        <f t="shared" si="28"/>
        <v>-232683.13223069548</v>
      </c>
      <c r="K78" s="217">
        <f t="shared" ref="K78" si="29">K76*0.21</f>
        <v>-411872.47020488657</v>
      </c>
    </row>
    <row r="79" spans="1:11" x14ac:dyDescent="0.2">
      <c r="A79" s="204">
        <v>75</v>
      </c>
      <c r="B79" s="204" t="s">
        <v>130</v>
      </c>
      <c r="C79" s="217">
        <f>SUM(D79:K79)</f>
        <v>-16992928.004947588</v>
      </c>
      <c r="D79" s="205">
        <f>SUM('Pro Forma Adj'!C86:E86)</f>
        <v>0</v>
      </c>
      <c r="E79" s="205">
        <f>SUM('Pro Forma Adj'!F86:R86)</f>
        <v>0</v>
      </c>
      <c r="F79" s="216">
        <f>SUM('Pro Forma Adj'!S86:W86)</f>
        <v>0</v>
      </c>
      <c r="G79" s="216">
        <f>SUM('Pro Forma Adj'!X86:AA86)</f>
        <v>0</v>
      </c>
      <c r="H79" s="216">
        <f>SUM('Pro Forma Adj'!AB86:AK86)</f>
        <v>-16960267.593456432</v>
      </c>
      <c r="I79" s="205">
        <f>SUM('Pro Forma Adj'!AL86:AW86)</f>
        <v>0</v>
      </c>
      <c r="J79" s="205">
        <f>SUM('Pro Forma Adj'!AX86:AX86)</f>
        <v>-32660.411491154693</v>
      </c>
      <c r="K79" s="205">
        <f>SUM('Pro Forma Adj'!AY86:BF86)</f>
        <v>0</v>
      </c>
    </row>
    <row r="80" spans="1:11" ht="13.5" thickBot="1" x14ac:dyDescent="0.25">
      <c r="A80" s="204">
        <v>76</v>
      </c>
      <c r="B80" s="204" t="s">
        <v>131</v>
      </c>
      <c r="C80" s="219">
        <f>SUM(D80:K80)</f>
        <v>-20783660.452388309</v>
      </c>
      <c r="D80" s="219">
        <f>D78+D79</f>
        <v>299172.03611722862</v>
      </c>
      <c r="E80" s="219">
        <f t="shared" ref="E80:I80" si="30">E78+E79</f>
        <v>-433416.55113593052</v>
      </c>
      <c r="F80" s="219">
        <f t="shared" si="30"/>
        <v>-7772986.0394353056</v>
      </c>
      <c r="G80" s="219">
        <f t="shared" si="30"/>
        <v>3276968.9949453878</v>
      </c>
      <c r="H80" s="219">
        <f t="shared" si="30"/>
        <v>-18269777.176893242</v>
      </c>
      <c r="I80" s="219">
        <f t="shared" si="30"/>
        <v>2793594.2979402905</v>
      </c>
      <c r="J80" s="219">
        <f>J78+J79</f>
        <v>-265343.54372185015</v>
      </c>
      <c r="K80" s="219">
        <f>K78+K79</f>
        <v>-411872.47020488657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18D49F-926F-47A2-B562-D7374942ABFB}"/>
</file>

<file path=customXml/itemProps2.xml><?xml version="1.0" encoding="utf-8"?>
<ds:datastoreItem xmlns:ds="http://schemas.openxmlformats.org/officeDocument/2006/customXml" ds:itemID="{BE6EAFFA-426E-4B53-B10E-223925AABD9C}"/>
</file>

<file path=customXml/itemProps3.xml><?xml version="1.0" encoding="utf-8"?>
<ds:datastoreItem xmlns:ds="http://schemas.openxmlformats.org/officeDocument/2006/customXml" ds:itemID="{10C9A634-7938-42EF-93DD-3D68A16152C6}"/>
</file>

<file path=customXml/itemProps4.xml><?xml version="1.0" encoding="utf-8"?>
<ds:datastoreItem xmlns:ds="http://schemas.openxmlformats.org/officeDocument/2006/customXml" ds:itemID="{DBCFB158-47A9-443F-8A3E-7A5131C97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Exhibit No. SLC-2 pg 1</vt:lpstr>
      <vt:lpstr>Exhibit No. SLC-2 pg 2 - 3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SLC-2 pg 1'!Print_Area</vt:lpstr>
      <vt:lpstr>'Exhibit No. SLC-2 pg 2 - 3'!Print_Area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Summary!Print_Area</vt:lpstr>
      <vt:lpstr>'Total Adj'!Print_Area</vt:lpstr>
      <vt:lpstr>'Exhibit No. SLC-2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2023-03-11T23:43:48Z</cp:lastPrinted>
  <dcterms:created xsi:type="dcterms:W3CDTF">2009-02-17T19:17:29Z</dcterms:created>
  <dcterms:modified xsi:type="dcterms:W3CDTF">2023-04-06T15:27:58Z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