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M:\2020\2020 WA Elec and Gas GRC\Adjustments\3.07 PF Insurance Expense\"/>
    </mc:Choice>
  </mc:AlternateContent>
  <xr:revisionPtr revIDLastSave="0" documentId="13_ncr:1_{74881EE0-A888-449B-8AEB-93EA94B1641F}" xr6:coauthVersionLast="44" xr6:coauthVersionMax="44" xr10:uidLastSave="{00000000-0000-0000-0000-000000000000}"/>
  <bookViews>
    <workbookView xWindow="28680" yWindow="-195" windowWidth="29040" windowHeight="15840" tabRatio="757" xr2:uid="{00000000-000D-0000-FFFF-FFFF00000000}"/>
  </bookViews>
  <sheets>
    <sheet name="IA-1" sheetId="52" r:id="rId1"/>
    <sheet name="IA-2" sheetId="44" r:id="rId2"/>
    <sheet name="Prop worksheet for calndr yr" sheetId="38" r:id="rId3"/>
    <sheet name="Est Prop 12 2021" sheetId="56" r:id="rId4"/>
    <sheet name="Prop 12 2019 Invoice" sheetId="57" r:id="rId5"/>
    <sheet name="Est Prop 12 2020" sheetId="47" r:id="rId6"/>
    <sheet name="Prop 12 2018 Invoice" sheetId="35" r:id="rId7"/>
    <sheet name="Prop 12 2017 Invoice" sheetId="36" r:id="rId8"/>
    <sheet name="2021 GL Est" sheetId="53" r:id="rId9"/>
    <sheet name="2019 GL Actual" sheetId="32" r:id="rId10"/>
    <sheet name="2020 GL Est" sheetId="45" r:id="rId11"/>
    <sheet name="2018 GL Actual" sheetId="41" r:id="rId12"/>
    <sheet name="Acerno_Cache_XXXXX" sheetId="51" state="veryHidden" r:id="rId13"/>
    <sheet name="2021 D O est" sheetId="54" r:id="rId14"/>
    <sheet name="2019 D O actual" sheetId="49" r:id="rId15"/>
    <sheet name="2020 D O est" sheetId="50" r:id="rId16"/>
    <sheet name="2018 D O actual" sheetId="48" r:id="rId17"/>
  </sheets>
  <definedNames>
    <definedName name="_xlnm.Print_Area" localSheetId="9">'2019 GL Actual'!$A$6:$L$43</definedName>
    <definedName name="_xlnm.Print_Area" localSheetId="6">'Prop 12 2018 Invoice'!$A$1:$H$62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44" l="1"/>
  <c r="B13" i="44" l="1"/>
  <c r="M25" i="53" l="1"/>
  <c r="M21" i="53" l="1"/>
  <c r="H13" i="38" l="1"/>
  <c r="G13" i="38"/>
  <c r="G10" i="38"/>
  <c r="E10" i="38"/>
  <c r="D10" i="38"/>
  <c r="I14" i="53" l="1"/>
  <c r="J14" i="53" s="1"/>
  <c r="K14" i="53" s="1"/>
  <c r="F14" i="53"/>
  <c r="H14" i="53" s="1"/>
  <c r="O12" i="49"/>
  <c r="N12" i="49"/>
  <c r="L12" i="49"/>
  <c r="L14" i="53" l="1"/>
  <c r="M14" i="53" s="1"/>
  <c r="J11" i="54"/>
  <c r="L11" i="54" s="1"/>
  <c r="M11" i="50"/>
  <c r="N11" i="50"/>
  <c r="K11" i="50"/>
  <c r="O11" i="49"/>
  <c r="N11" i="49"/>
  <c r="K11" i="49"/>
  <c r="L11" i="49" s="1"/>
  <c r="I8" i="47"/>
  <c r="O14" i="53" l="1"/>
  <c r="N11" i="54"/>
  <c r="M11" i="54"/>
  <c r="K14" i="32" l="1"/>
  <c r="I14" i="32"/>
  <c r="G14" i="32"/>
  <c r="M34" i="53" l="1"/>
  <c r="L14" i="45"/>
  <c r="J14" i="45"/>
  <c r="G14" i="45"/>
  <c r="K15" i="45"/>
  <c r="G8" i="56" l="1"/>
  <c r="G8" i="47"/>
  <c r="H8" i="47" s="1"/>
  <c r="B10" i="47"/>
  <c r="C51" i="57" l="1"/>
  <c r="C49" i="57"/>
  <c r="C47" i="57"/>
  <c r="C45" i="57"/>
  <c r="C43" i="57"/>
  <c r="C42" i="57"/>
  <c r="C41" i="57"/>
  <c r="C39" i="57"/>
  <c r="C38" i="57"/>
  <c r="B52" i="57"/>
  <c r="C52" i="57" s="1"/>
  <c r="B50" i="57"/>
  <c r="C50" i="57" s="1"/>
  <c r="B48" i="57"/>
  <c r="C48" i="57" s="1"/>
  <c r="B46" i="57"/>
  <c r="C46" i="57" s="1"/>
  <c r="B44" i="57"/>
  <c r="C44" i="57" s="1"/>
  <c r="B40" i="57"/>
  <c r="C40" i="57" s="1"/>
  <c r="D53" i="57" l="1"/>
  <c r="D58" i="57" s="1"/>
  <c r="C21" i="57"/>
  <c r="C19" i="57"/>
  <c r="C17" i="57"/>
  <c r="C15" i="57"/>
  <c r="C13" i="57"/>
  <c r="C12" i="57"/>
  <c r="C11" i="57"/>
  <c r="C8" i="57"/>
  <c r="C9" i="57"/>
  <c r="B22" i="57"/>
  <c r="C22" i="57" s="1"/>
  <c r="B20" i="57"/>
  <c r="C20" i="57" s="1"/>
  <c r="B18" i="57"/>
  <c r="C18" i="57" s="1"/>
  <c r="B16" i="57"/>
  <c r="C16" i="57" s="1"/>
  <c r="B14" i="57"/>
  <c r="C14" i="57" s="1"/>
  <c r="B10" i="57"/>
  <c r="E18" i="45"/>
  <c r="M32" i="53"/>
  <c r="J48" i="54"/>
  <c r="J47" i="54"/>
  <c r="J46" i="54"/>
  <c r="L46" i="54" s="1"/>
  <c r="M46" i="54" s="1"/>
  <c r="J45" i="54"/>
  <c r="L45" i="54" s="1"/>
  <c r="M45" i="54" s="1"/>
  <c r="J44" i="54"/>
  <c r="L44" i="54" s="1"/>
  <c r="M44" i="54" s="1"/>
  <c r="J43" i="54"/>
  <c r="J42" i="54"/>
  <c r="L42" i="54" s="1"/>
  <c r="M42" i="54" s="1"/>
  <c r="J41" i="54"/>
  <c r="J40" i="54"/>
  <c r="J39" i="54"/>
  <c r="J36" i="54"/>
  <c r="L36" i="54" s="1"/>
  <c r="M36" i="54" s="1"/>
  <c r="J35" i="54"/>
  <c r="L35" i="54" s="1"/>
  <c r="M35" i="54" s="1"/>
  <c r="I37" i="54"/>
  <c r="J13" i="54"/>
  <c r="J12" i="54"/>
  <c r="J21" i="54"/>
  <c r="J20" i="54"/>
  <c r="J19" i="54"/>
  <c r="J18" i="54"/>
  <c r="L18" i="54" s="1"/>
  <c r="M18" i="54" s="1"/>
  <c r="J17" i="54"/>
  <c r="L17" i="54" s="1"/>
  <c r="M17" i="54" s="1"/>
  <c r="J16" i="54"/>
  <c r="L16" i="54" s="1"/>
  <c r="M16" i="54" s="1"/>
  <c r="J15" i="54"/>
  <c r="J14" i="54"/>
  <c r="L14" i="54" s="1"/>
  <c r="M14" i="54" s="1"/>
  <c r="J9" i="54"/>
  <c r="J8" i="54"/>
  <c r="E48" i="54"/>
  <c r="E47" i="54"/>
  <c r="G47" i="54" s="1"/>
  <c r="E46" i="54"/>
  <c r="G46" i="54" s="1"/>
  <c r="E45" i="54"/>
  <c r="G45" i="54" s="1"/>
  <c r="E44" i="54"/>
  <c r="G44" i="54" s="1"/>
  <c r="E43" i="54"/>
  <c r="E42" i="54"/>
  <c r="G42" i="54" s="1"/>
  <c r="E41" i="54"/>
  <c r="G41" i="54" s="1"/>
  <c r="E40" i="54"/>
  <c r="G40" i="54" s="1"/>
  <c r="E39" i="54"/>
  <c r="G39" i="54" s="1"/>
  <c r="E37" i="54"/>
  <c r="G37" i="54" s="1"/>
  <c r="H37" i="54" s="1"/>
  <c r="E36" i="54"/>
  <c r="E35" i="54"/>
  <c r="E48" i="50"/>
  <c r="E47" i="50"/>
  <c r="E46" i="50"/>
  <c r="E45" i="50"/>
  <c r="E44" i="50"/>
  <c r="E43" i="50"/>
  <c r="E42" i="50"/>
  <c r="E41" i="50"/>
  <c r="E40" i="50"/>
  <c r="E39" i="50"/>
  <c r="E37" i="50"/>
  <c r="E36" i="50"/>
  <c r="E35" i="50"/>
  <c r="E21" i="54"/>
  <c r="E20" i="54"/>
  <c r="G20" i="54" s="1"/>
  <c r="E19" i="54"/>
  <c r="E18" i="54"/>
  <c r="E17" i="54"/>
  <c r="G17" i="54" s="1"/>
  <c r="E16" i="54"/>
  <c r="G16" i="54" s="1"/>
  <c r="E15" i="54"/>
  <c r="G15" i="54" s="1"/>
  <c r="E14" i="54"/>
  <c r="G14" i="54" s="1"/>
  <c r="E10" i="54"/>
  <c r="G10" i="54" s="1"/>
  <c r="E9" i="54"/>
  <c r="E8" i="54"/>
  <c r="L48" i="54"/>
  <c r="M48" i="54" s="1"/>
  <c r="G48" i="54"/>
  <c r="L47" i="54"/>
  <c r="M47" i="54" s="1"/>
  <c r="L43" i="54"/>
  <c r="M43" i="54" s="1"/>
  <c r="G43" i="54"/>
  <c r="L41" i="54"/>
  <c r="M41" i="54" s="1"/>
  <c r="L40" i="54"/>
  <c r="M40" i="54" s="1"/>
  <c r="N40" i="54" s="1"/>
  <c r="L39" i="54"/>
  <c r="L37" i="54"/>
  <c r="M37" i="54" s="1"/>
  <c r="L21" i="54"/>
  <c r="M21" i="54" s="1"/>
  <c r="G21" i="54"/>
  <c r="L20" i="54"/>
  <c r="M20" i="54" s="1"/>
  <c r="L19" i="54"/>
  <c r="M19" i="54" s="1"/>
  <c r="G19" i="54"/>
  <c r="G18" i="54"/>
  <c r="L15" i="54"/>
  <c r="M15" i="54" s="1"/>
  <c r="G13" i="54"/>
  <c r="G12" i="54"/>
  <c r="L10" i="54"/>
  <c r="M10" i="54" s="1"/>
  <c r="I10" i="54"/>
  <c r="L9" i="54"/>
  <c r="M9" i="54" s="1"/>
  <c r="L8" i="54"/>
  <c r="M8" i="54" s="1"/>
  <c r="N20" i="54" l="1"/>
  <c r="C10" i="57"/>
  <c r="B25" i="57"/>
  <c r="B30" i="57" s="1"/>
  <c r="N18" i="54"/>
  <c r="B55" i="57"/>
  <c r="D23" i="57"/>
  <c r="D29" i="57" s="1"/>
  <c r="N48" i="54"/>
  <c r="N46" i="54"/>
  <c r="N42" i="54"/>
  <c r="M39" i="54"/>
  <c r="N39" i="54" s="1"/>
  <c r="N45" i="54"/>
  <c r="N17" i="54"/>
  <c r="N21" i="54"/>
  <c r="N19" i="54"/>
  <c r="N41" i="54"/>
  <c r="N44" i="54"/>
  <c r="N16" i="54"/>
  <c r="N15" i="54"/>
  <c r="G9" i="54"/>
  <c r="N9" i="54" s="1"/>
  <c r="N14" i="54"/>
  <c r="N47" i="54"/>
  <c r="N43" i="54"/>
  <c r="H10" i="54"/>
  <c r="N10" i="54"/>
  <c r="N37" i="54"/>
  <c r="G8" i="54"/>
  <c r="N8" i="54" s="1"/>
  <c r="G36" i="54"/>
  <c r="N36" i="54" s="1"/>
  <c r="G35" i="54"/>
  <c r="N35" i="54" s="1"/>
  <c r="L46" i="50"/>
  <c r="M46" i="50" s="1"/>
  <c r="I46" i="50"/>
  <c r="I42" i="50"/>
  <c r="I40" i="50"/>
  <c r="I39" i="50"/>
  <c r="I37" i="50"/>
  <c r="I36" i="50"/>
  <c r="G43" i="50"/>
  <c r="G42" i="50"/>
  <c r="G41" i="50"/>
  <c r="G36" i="50"/>
  <c r="H36" i="50" s="1"/>
  <c r="G48" i="50"/>
  <c r="G47" i="50"/>
  <c r="G46" i="50"/>
  <c r="G45" i="50"/>
  <c r="G44" i="50"/>
  <c r="G40" i="50"/>
  <c r="G39" i="50"/>
  <c r="G37" i="50"/>
  <c r="G35" i="50"/>
  <c r="H35" i="50" s="1"/>
  <c r="G13" i="50"/>
  <c r="E21" i="50"/>
  <c r="E20" i="50"/>
  <c r="E19" i="50"/>
  <c r="E18" i="50"/>
  <c r="E17" i="50"/>
  <c r="E16" i="50"/>
  <c r="E15" i="50"/>
  <c r="G15" i="50" s="1"/>
  <c r="E14" i="50"/>
  <c r="E12" i="50"/>
  <c r="G12" i="50" s="1"/>
  <c r="E10" i="50"/>
  <c r="E9" i="50"/>
  <c r="E8" i="50"/>
  <c r="I21" i="50"/>
  <c r="I20" i="50"/>
  <c r="I19" i="50"/>
  <c r="I18" i="50"/>
  <c r="I17" i="50"/>
  <c r="I16" i="50"/>
  <c r="I15" i="50"/>
  <c r="I14" i="50"/>
  <c r="I13" i="50"/>
  <c r="I12" i="50"/>
  <c r="I10" i="50"/>
  <c r="I9" i="50"/>
  <c r="I8" i="50"/>
  <c r="J48" i="49"/>
  <c r="J47" i="49"/>
  <c r="J46" i="49"/>
  <c r="J45" i="49"/>
  <c r="J44" i="49"/>
  <c r="J43" i="49"/>
  <c r="J42" i="49"/>
  <c r="J41" i="49"/>
  <c r="J40" i="49"/>
  <c r="J37" i="49"/>
  <c r="J36" i="49"/>
  <c r="J35" i="49"/>
  <c r="J21" i="49"/>
  <c r="J14" i="49"/>
  <c r="J13" i="49"/>
  <c r="J10" i="49"/>
  <c r="J8" i="49"/>
  <c r="E9" i="49"/>
  <c r="E10" i="49"/>
  <c r="E16" i="49"/>
  <c r="E36" i="49"/>
  <c r="E43" i="49"/>
  <c r="L14" i="50"/>
  <c r="M14" i="50" s="1"/>
  <c r="L15" i="50"/>
  <c r="M15" i="50" s="1"/>
  <c r="D33" i="38" l="1"/>
  <c r="F30" i="38"/>
  <c r="D13" i="38"/>
  <c r="E13" i="38" s="1"/>
  <c r="F10" i="38"/>
  <c r="H36" i="54"/>
  <c r="H9" i="54"/>
  <c r="H8" i="54"/>
  <c r="N49" i="54"/>
  <c r="I13" i="44" s="1"/>
  <c r="H35" i="54"/>
  <c r="N15" i="50"/>
  <c r="N46" i="50"/>
  <c r="H37" i="50"/>
  <c r="L42" i="50" l="1"/>
  <c r="M42" i="50" s="1"/>
  <c r="L40" i="50"/>
  <c r="L39" i="50"/>
  <c r="L37" i="50"/>
  <c r="M37" i="50" s="1"/>
  <c r="L36" i="50"/>
  <c r="M36" i="50" s="1"/>
  <c r="L21" i="50"/>
  <c r="M21" i="50" s="1"/>
  <c r="G21" i="50"/>
  <c r="L20" i="50"/>
  <c r="M20" i="50" s="1"/>
  <c r="G20" i="50"/>
  <c r="L19" i="50"/>
  <c r="M19" i="50" s="1"/>
  <c r="G19" i="50"/>
  <c r="L18" i="50"/>
  <c r="M18" i="50" s="1"/>
  <c r="G18" i="50"/>
  <c r="L17" i="50"/>
  <c r="M17" i="50" s="1"/>
  <c r="G17" i="50"/>
  <c r="L16" i="50"/>
  <c r="M16" i="50" s="1"/>
  <c r="G16" i="50"/>
  <c r="G14" i="50"/>
  <c r="N14" i="50" s="1"/>
  <c r="L13" i="50"/>
  <c r="L12" i="50"/>
  <c r="L10" i="50"/>
  <c r="M10" i="50" s="1"/>
  <c r="L9" i="50"/>
  <c r="M9" i="50" s="1"/>
  <c r="G9" i="50"/>
  <c r="L8" i="50"/>
  <c r="M8" i="50" s="1"/>
  <c r="G8" i="50"/>
  <c r="M41" i="49"/>
  <c r="N41" i="49" s="1"/>
  <c r="O41" i="49" s="1"/>
  <c r="M40" i="49"/>
  <c r="N40" i="49" s="1"/>
  <c r="O40" i="49" s="1"/>
  <c r="M14" i="49"/>
  <c r="N14" i="49" s="1"/>
  <c r="O14" i="49" s="1"/>
  <c r="M13" i="49"/>
  <c r="N13" i="49" s="1"/>
  <c r="O13" i="49" s="1"/>
  <c r="M39" i="50" l="1"/>
  <c r="N39" i="50" s="1"/>
  <c r="M12" i="50"/>
  <c r="N12" i="50" s="1"/>
  <c r="M13" i="50"/>
  <c r="N13" i="50" s="1"/>
  <c r="M40" i="50"/>
  <c r="N40" i="50" s="1"/>
  <c r="N8" i="50"/>
  <c r="N36" i="50"/>
  <c r="N17" i="50"/>
  <c r="N19" i="50"/>
  <c r="N21" i="50"/>
  <c r="N18" i="50"/>
  <c r="N42" i="50"/>
  <c r="N20" i="50"/>
  <c r="N9" i="50"/>
  <c r="J22" i="50"/>
  <c r="N16" i="50"/>
  <c r="N37" i="50"/>
  <c r="G10" i="50"/>
  <c r="N10" i="50" s="1"/>
  <c r="H8" i="50"/>
  <c r="H9" i="50"/>
  <c r="H10" i="50" l="1"/>
  <c r="N22" i="50"/>
  <c r="E13" i="44" s="1"/>
  <c r="K16" i="49"/>
  <c r="J16" i="49" s="1"/>
  <c r="K9" i="49"/>
  <c r="J9" i="49" s="1"/>
  <c r="G39" i="45" l="1"/>
  <c r="G35" i="45"/>
  <c r="G31" i="45"/>
  <c r="L17" i="45" l="1"/>
  <c r="G12" i="45"/>
  <c r="I12" i="45" s="1"/>
  <c r="J12" i="45" s="1"/>
  <c r="G11" i="45"/>
  <c r="G17" i="45"/>
  <c r="I17" i="45" s="1"/>
  <c r="K17" i="45" s="1"/>
  <c r="G19" i="45"/>
  <c r="I19" i="45" s="1"/>
  <c r="L19" i="45" s="1"/>
  <c r="I39" i="45"/>
  <c r="L39" i="45" s="1"/>
  <c r="Q39" i="45" s="1"/>
  <c r="I35" i="45"/>
  <c r="L35" i="45" s="1"/>
  <c r="Q35" i="45" s="1"/>
  <c r="I31" i="45"/>
  <c r="L31" i="45" s="1"/>
  <c r="O39" i="53"/>
  <c r="O38" i="53"/>
  <c r="O37" i="53"/>
  <c r="O36" i="53"/>
  <c r="O35" i="53"/>
  <c r="O33" i="53"/>
  <c r="O32" i="53"/>
  <c r="O31" i="53"/>
  <c r="I39" i="53"/>
  <c r="I38" i="53"/>
  <c r="I37" i="53"/>
  <c r="I36" i="53"/>
  <c r="I35" i="53"/>
  <c r="I33" i="53"/>
  <c r="I32" i="53"/>
  <c r="I31" i="53"/>
  <c r="H12" i="53"/>
  <c r="I19" i="53"/>
  <c r="L19" i="53" s="1"/>
  <c r="I18" i="53"/>
  <c r="L18" i="53" s="1"/>
  <c r="I17" i="53"/>
  <c r="L17" i="53" s="1"/>
  <c r="I16" i="53"/>
  <c r="L16" i="53" s="1"/>
  <c r="I15" i="53"/>
  <c r="L15" i="53" s="1"/>
  <c r="I13" i="53"/>
  <c r="L13" i="53" s="1"/>
  <c r="I12" i="53"/>
  <c r="L12" i="53" s="1"/>
  <c r="M12" i="53" s="1"/>
  <c r="I11" i="53"/>
  <c r="L11" i="53" s="1"/>
  <c r="F39" i="53"/>
  <c r="F35" i="53"/>
  <c r="F31" i="53"/>
  <c r="F11" i="53"/>
  <c r="E39" i="45"/>
  <c r="E38" i="45"/>
  <c r="E37" i="45"/>
  <c r="E35" i="45"/>
  <c r="E32" i="45"/>
  <c r="E31" i="45"/>
  <c r="F36" i="45"/>
  <c r="E36" i="45" s="1"/>
  <c r="F33" i="45"/>
  <c r="E33" i="45" s="1"/>
  <c r="K39" i="45"/>
  <c r="K31" i="45"/>
  <c r="O31" i="45" s="1"/>
  <c r="O39" i="45"/>
  <c r="H11" i="53" l="1"/>
  <c r="J11" i="53"/>
  <c r="K11" i="53" s="1"/>
  <c r="J12" i="53"/>
  <c r="K12" i="53" s="1"/>
  <c r="J13" i="53"/>
  <c r="K33" i="45"/>
  <c r="O33" i="45" s="1"/>
  <c r="G33" i="45"/>
  <c r="I33" i="45" s="1"/>
  <c r="L33" i="45" s="1"/>
  <c r="F41" i="45"/>
  <c r="K12" i="45"/>
  <c r="L12" i="45"/>
  <c r="M19" i="45"/>
  <c r="M12" i="45" l="1"/>
  <c r="O12" i="45" s="1"/>
  <c r="Q12" i="45"/>
  <c r="M17" i="45"/>
  <c r="Q17" i="45"/>
  <c r="K19" i="45"/>
  <c r="Q19" i="45"/>
  <c r="D36" i="53" l="1"/>
  <c r="F36" i="53" s="1"/>
  <c r="D33" i="53"/>
  <c r="F33" i="53" s="1"/>
  <c r="F40" i="53" s="1"/>
  <c r="D16" i="53"/>
  <c r="D13" i="53"/>
  <c r="E19" i="45"/>
  <c r="E17" i="45"/>
  <c r="E15" i="45"/>
  <c r="E12" i="45"/>
  <c r="E11" i="45"/>
  <c r="F16" i="45"/>
  <c r="E16" i="45" s="1"/>
  <c r="F13" i="45"/>
  <c r="J32" i="32"/>
  <c r="H32" i="32"/>
  <c r="F22" i="45" l="1"/>
  <c r="G13" i="45"/>
  <c r="E13" i="45"/>
  <c r="G18" i="32"/>
  <c r="G17" i="32"/>
  <c r="I13" i="45" l="1"/>
  <c r="H39" i="53"/>
  <c r="K38" i="53"/>
  <c r="K37" i="53"/>
  <c r="K35" i="53"/>
  <c r="H33" i="53"/>
  <c r="K31" i="53"/>
  <c r="H31" i="53"/>
  <c r="F19" i="53"/>
  <c r="H19" i="53" s="1"/>
  <c r="F18" i="53"/>
  <c r="H18" i="53" s="1"/>
  <c r="F17" i="53"/>
  <c r="H17" i="53" s="1"/>
  <c r="F16" i="53"/>
  <c r="H16" i="53" s="1"/>
  <c r="F15" i="53"/>
  <c r="H15" i="53" s="1"/>
  <c r="F13" i="53"/>
  <c r="H13" i="53" l="1"/>
  <c r="H20" i="53" s="1"/>
  <c r="F20" i="53"/>
  <c r="L13" i="45"/>
  <c r="M13" i="45" s="1"/>
  <c r="J13" i="45"/>
  <c r="M31" i="53"/>
  <c r="H35" i="53"/>
  <c r="M35" i="53" s="1"/>
  <c r="H37" i="53"/>
  <c r="M37" i="53" s="1"/>
  <c r="H36" i="53"/>
  <c r="K39" i="53"/>
  <c r="M39" i="53" s="1"/>
  <c r="K33" i="53"/>
  <c r="M33" i="53" s="1"/>
  <c r="K36" i="53"/>
  <c r="H38" i="53"/>
  <c r="K13" i="45" l="1"/>
  <c r="O13" i="45" s="1"/>
  <c r="Q13" i="45"/>
  <c r="H40" i="53"/>
  <c r="M36" i="53"/>
  <c r="M38" i="53"/>
  <c r="K40" i="53"/>
  <c r="M48" i="49" l="1"/>
  <c r="N48" i="49" s="1"/>
  <c r="H48" i="49"/>
  <c r="M47" i="49"/>
  <c r="N47" i="49" s="1"/>
  <c r="H47" i="49"/>
  <c r="M46" i="49"/>
  <c r="N46" i="49" s="1"/>
  <c r="H46" i="49"/>
  <c r="M45" i="49"/>
  <c r="N45" i="49" s="1"/>
  <c r="H45" i="49"/>
  <c r="M44" i="49"/>
  <c r="N44" i="49" s="1"/>
  <c r="H44" i="49"/>
  <c r="H43" i="49"/>
  <c r="M43" i="49"/>
  <c r="N43" i="49" s="1"/>
  <c r="M42" i="49"/>
  <c r="H42" i="49"/>
  <c r="M37" i="49"/>
  <c r="N37" i="49" s="1"/>
  <c r="H37" i="49"/>
  <c r="I37" i="49" s="1"/>
  <c r="H36" i="49"/>
  <c r="I36" i="49" s="1"/>
  <c r="M36" i="49"/>
  <c r="N36" i="49" s="1"/>
  <c r="M35" i="49"/>
  <c r="N35" i="49" s="1"/>
  <c r="H35" i="49"/>
  <c r="I35" i="49" s="1"/>
  <c r="H21" i="49"/>
  <c r="M21" i="49"/>
  <c r="H20" i="49"/>
  <c r="H19" i="49"/>
  <c r="H18" i="49"/>
  <c r="H17" i="49"/>
  <c r="H16" i="49"/>
  <c r="M16" i="49"/>
  <c r="N16" i="49" s="1"/>
  <c r="H15" i="49"/>
  <c r="F10" i="49"/>
  <c r="H9" i="49"/>
  <c r="I9" i="49" s="1"/>
  <c r="M9" i="49"/>
  <c r="H8" i="49"/>
  <c r="B37" i="48"/>
  <c r="F35" i="48"/>
  <c r="C35" i="48"/>
  <c r="F34" i="48"/>
  <c r="C34" i="48"/>
  <c r="F33" i="48"/>
  <c r="C33" i="48"/>
  <c r="F32" i="48"/>
  <c r="C32" i="48"/>
  <c r="F31" i="48"/>
  <c r="C31" i="48"/>
  <c r="D30" i="48"/>
  <c r="C30" i="48" s="1"/>
  <c r="F29" i="48"/>
  <c r="C29" i="48"/>
  <c r="F28" i="48"/>
  <c r="G28" i="48" s="1"/>
  <c r="D27" i="48"/>
  <c r="C27" i="48" s="1"/>
  <c r="F26" i="48"/>
  <c r="C26" i="48"/>
  <c r="B15" i="48"/>
  <c r="F13" i="48"/>
  <c r="C13" i="48"/>
  <c r="F12" i="48"/>
  <c r="C12" i="48"/>
  <c r="F11" i="48"/>
  <c r="C11" i="48"/>
  <c r="F10" i="48"/>
  <c r="C10" i="48"/>
  <c r="F9" i="48"/>
  <c r="C9" i="48"/>
  <c r="D8" i="48"/>
  <c r="C8" i="48" s="1"/>
  <c r="F7" i="48"/>
  <c r="C7" i="48"/>
  <c r="F6" i="48"/>
  <c r="G6" i="48" s="1"/>
  <c r="C6" i="48"/>
  <c r="D5" i="48"/>
  <c r="C5" i="48" s="1"/>
  <c r="F4" i="48"/>
  <c r="C4" i="48"/>
  <c r="F5" i="48" l="1"/>
  <c r="G5" i="48" s="1"/>
  <c r="F27" i="48"/>
  <c r="G27" i="48" s="1"/>
  <c r="N21" i="49"/>
  <c r="O21" i="49" s="1"/>
  <c r="O46" i="49"/>
  <c r="N9" i="49"/>
  <c r="O9" i="49" s="1"/>
  <c r="O44" i="49"/>
  <c r="O47" i="49"/>
  <c r="N42" i="49"/>
  <c r="O42" i="49" s="1"/>
  <c r="O48" i="49"/>
  <c r="M8" i="49"/>
  <c r="N8" i="49" s="1"/>
  <c r="O8" i="49" s="1"/>
  <c r="O36" i="49"/>
  <c r="O43" i="49"/>
  <c r="O35" i="49"/>
  <c r="O37" i="49"/>
  <c r="O45" i="49"/>
  <c r="O16" i="49"/>
  <c r="M10" i="49"/>
  <c r="N10" i="49" s="1"/>
  <c r="I8" i="49"/>
  <c r="H10" i="49"/>
  <c r="I10" i="49" s="1"/>
  <c r="F30" i="48"/>
  <c r="F40" i="48" s="1"/>
  <c r="D38" i="48"/>
  <c r="G26" i="48"/>
  <c r="H40" i="48" s="1"/>
  <c r="G4" i="48"/>
  <c r="H18" i="48" s="1"/>
  <c r="D16" i="48"/>
  <c r="F8" i="48"/>
  <c r="F18" i="48" s="1"/>
  <c r="O49" i="49" l="1"/>
  <c r="C13" i="44" s="1"/>
  <c r="O10" i="49"/>
  <c r="J33" i="45" l="1"/>
  <c r="Q33" i="45" s="1"/>
  <c r="J31" i="45"/>
  <c r="Q31" i="45" s="1"/>
  <c r="L39" i="32"/>
  <c r="J39" i="32"/>
  <c r="H39" i="32"/>
  <c r="E39" i="32"/>
  <c r="K38" i="32"/>
  <c r="L38" i="32" s="1"/>
  <c r="J38" i="32"/>
  <c r="H38" i="32"/>
  <c r="E38" i="32"/>
  <c r="K37" i="32"/>
  <c r="L37" i="32" s="1"/>
  <c r="J37" i="32"/>
  <c r="H37" i="32"/>
  <c r="E37" i="32"/>
  <c r="L36" i="32"/>
  <c r="J36" i="32"/>
  <c r="F36" i="32"/>
  <c r="H36" i="32" s="1"/>
  <c r="D36" i="32"/>
  <c r="L35" i="32"/>
  <c r="J35" i="32"/>
  <c r="H35" i="32"/>
  <c r="E35" i="32"/>
  <c r="K33" i="32"/>
  <c r="L33" i="32" s="1"/>
  <c r="I33" i="32"/>
  <c r="F33" i="32"/>
  <c r="D33" i="32"/>
  <c r="K32" i="32"/>
  <c r="L32" i="32" s="1"/>
  <c r="E32" i="32"/>
  <c r="K31" i="32"/>
  <c r="L31" i="32" s="1"/>
  <c r="I31" i="32"/>
  <c r="J31" i="32" s="1"/>
  <c r="H31" i="32"/>
  <c r="D31" i="32"/>
  <c r="E31" i="32" s="1"/>
  <c r="L19" i="32"/>
  <c r="J19" i="32"/>
  <c r="H19" i="32"/>
  <c r="E19" i="32"/>
  <c r="K18" i="32"/>
  <c r="L18" i="32" s="1"/>
  <c r="J18" i="32"/>
  <c r="E18" i="32"/>
  <c r="K17" i="32"/>
  <c r="L17" i="32" s="1"/>
  <c r="J17" i="32"/>
  <c r="E17" i="32"/>
  <c r="F16" i="32"/>
  <c r="L16" i="32" s="1"/>
  <c r="D16" i="32"/>
  <c r="E16" i="32" s="1"/>
  <c r="L15" i="32"/>
  <c r="J15" i="32"/>
  <c r="H15" i="32"/>
  <c r="E15" i="32"/>
  <c r="K13" i="32"/>
  <c r="I13" i="32"/>
  <c r="F13" i="32"/>
  <c r="D13" i="32"/>
  <c r="K12" i="32"/>
  <c r="L12" i="32" s="1"/>
  <c r="J12" i="32"/>
  <c r="H12" i="32"/>
  <c r="E12" i="32"/>
  <c r="K11" i="32"/>
  <c r="L11" i="32" s="1"/>
  <c r="I11" i="32"/>
  <c r="J11" i="32" s="1"/>
  <c r="H11" i="32"/>
  <c r="D11" i="32"/>
  <c r="E11" i="32" s="1"/>
  <c r="J13" i="32" l="1"/>
  <c r="H16" i="32"/>
  <c r="J16" i="32"/>
  <c r="E13" i="32"/>
  <c r="E33" i="32"/>
  <c r="J33" i="32"/>
  <c r="J40" i="32" s="1"/>
  <c r="L40" i="32"/>
  <c r="C11" i="44" s="1"/>
  <c r="E36" i="32"/>
  <c r="H13" i="32"/>
  <c r="J20" i="32"/>
  <c r="H33" i="32"/>
  <c r="H40" i="32" s="1"/>
  <c r="L13" i="32"/>
  <c r="L20" i="32" s="1"/>
  <c r="B11" i="44" s="1"/>
  <c r="H20" i="32" l="1"/>
  <c r="E33" i="38"/>
  <c r="G30" i="38"/>
  <c r="E9" i="47"/>
  <c r="B9" i="56" s="1"/>
  <c r="E9" i="56" s="1"/>
  <c r="E8" i="47"/>
  <c r="C9" i="47"/>
  <c r="B55" i="36"/>
  <c r="C55" i="36" s="1"/>
  <c r="C54" i="36"/>
  <c r="B53" i="36"/>
  <c r="C53" i="36" s="1"/>
  <c r="C52" i="36"/>
  <c r="B51" i="36"/>
  <c r="C51" i="36" s="1"/>
  <c r="C50" i="36"/>
  <c r="C49" i="36"/>
  <c r="B49" i="36"/>
  <c r="C48" i="36"/>
  <c r="B47" i="36"/>
  <c r="C47" i="36" s="1"/>
  <c r="C46" i="36"/>
  <c r="B45" i="36"/>
  <c r="C45" i="36" s="1"/>
  <c r="C44" i="36"/>
  <c r="C43" i="36"/>
  <c r="C42" i="36"/>
  <c r="B41" i="36"/>
  <c r="C40" i="36"/>
  <c r="C39" i="36"/>
  <c r="B55" i="35"/>
  <c r="C55" i="35" s="1"/>
  <c r="C54" i="35"/>
  <c r="B53" i="35"/>
  <c r="C53" i="35" s="1"/>
  <c r="C52" i="35"/>
  <c r="B51" i="35"/>
  <c r="C51" i="35" s="1"/>
  <c r="C50" i="35"/>
  <c r="B49" i="35"/>
  <c r="C49" i="35" s="1"/>
  <c r="C48" i="35"/>
  <c r="B47" i="35"/>
  <c r="C47" i="35" s="1"/>
  <c r="C46" i="35"/>
  <c r="C45" i="35"/>
  <c r="C44" i="35"/>
  <c r="B43" i="35"/>
  <c r="C42" i="35"/>
  <c r="C41" i="35"/>
  <c r="J27" i="41"/>
  <c r="H27" i="41"/>
  <c r="F27" i="41"/>
  <c r="H26" i="41"/>
  <c r="E26" i="41"/>
  <c r="I26" i="41" s="1"/>
  <c r="J26" i="41" s="1"/>
  <c r="H25" i="41"/>
  <c r="E25" i="41"/>
  <c r="F25" i="41" s="1"/>
  <c r="D24" i="41"/>
  <c r="J24" i="41" s="1"/>
  <c r="J23" i="41"/>
  <c r="H23" i="41"/>
  <c r="F23" i="41"/>
  <c r="I22" i="41"/>
  <c r="J22" i="41" s="1"/>
  <c r="G22" i="41"/>
  <c r="D22" i="41"/>
  <c r="I21" i="41"/>
  <c r="J21" i="41" s="1"/>
  <c r="H21" i="41"/>
  <c r="F21" i="41"/>
  <c r="I20" i="41"/>
  <c r="G20" i="41"/>
  <c r="D20" i="41"/>
  <c r="J20" i="41" s="1"/>
  <c r="K15" i="44"/>
  <c r="K13" i="44"/>
  <c r="K11" i="44"/>
  <c r="B58" i="35" l="1"/>
  <c r="B58" i="36"/>
  <c r="C41" i="36"/>
  <c r="F13" i="38"/>
  <c r="D16" i="38"/>
  <c r="E16" i="38" s="1"/>
  <c r="D36" i="38"/>
  <c r="E36" i="38" s="1"/>
  <c r="F33" i="38"/>
  <c r="B8" i="56"/>
  <c r="E8" i="56" s="1"/>
  <c r="E7" i="47"/>
  <c r="C7" i="47"/>
  <c r="C8" i="47"/>
  <c r="D56" i="36"/>
  <c r="D60" i="36" s="1"/>
  <c r="F27" i="38" s="1"/>
  <c r="G27" i="38" s="1"/>
  <c r="C43" i="35"/>
  <c r="D56" i="35" s="1"/>
  <c r="D62" i="35" s="1"/>
  <c r="F26" i="41"/>
  <c r="H22" i="41"/>
  <c r="F20" i="41"/>
  <c r="I25" i="41"/>
  <c r="J25" i="41" s="1"/>
  <c r="J28" i="41" s="1"/>
  <c r="H20" i="41"/>
  <c r="F22" i="41"/>
  <c r="F24" i="41"/>
  <c r="H24" i="41"/>
  <c r="H7" i="41"/>
  <c r="F7" i="41"/>
  <c r="J13" i="41"/>
  <c r="H13" i="41"/>
  <c r="F13" i="41"/>
  <c r="H12" i="41"/>
  <c r="E12" i="41"/>
  <c r="F12" i="41" s="1"/>
  <c r="H11" i="41"/>
  <c r="E11" i="41"/>
  <c r="I11" i="41" s="1"/>
  <c r="J11" i="41" s="1"/>
  <c r="D10" i="41"/>
  <c r="J10" i="41" s="1"/>
  <c r="J9" i="41"/>
  <c r="H9" i="41"/>
  <c r="F9" i="41"/>
  <c r="I8" i="41"/>
  <c r="G8" i="41"/>
  <c r="D8" i="41"/>
  <c r="I7" i="41"/>
  <c r="J7" i="41" s="1"/>
  <c r="I6" i="41"/>
  <c r="G6" i="41"/>
  <c r="D6" i="41"/>
  <c r="H6" i="41" l="1"/>
  <c r="B7" i="56"/>
  <c r="B10" i="56" s="1"/>
  <c r="C7" i="56" s="1"/>
  <c r="E10" i="47"/>
  <c r="I10" i="47" s="1"/>
  <c r="D30" i="38"/>
  <c r="E30" i="38" s="1"/>
  <c r="H30" i="38" s="1"/>
  <c r="C15" i="44" s="1"/>
  <c r="D27" i="38"/>
  <c r="E27" i="38" s="1"/>
  <c r="H27" i="38" s="1"/>
  <c r="C18" i="44" s="1"/>
  <c r="F16" i="38"/>
  <c r="G16" i="38" s="1"/>
  <c r="H16" i="38" s="1"/>
  <c r="H15" i="44" s="1"/>
  <c r="F36" i="38"/>
  <c r="G36" i="38" s="1"/>
  <c r="H36" i="38" s="1"/>
  <c r="I15" i="44" s="1"/>
  <c r="E7" i="56"/>
  <c r="F7" i="47"/>
  <c r="F8" i="47"/>
  <c r="F28" i="41"/>
  <c r="H28" i="41"/>
  <c r="J6" i="41"/>
  <c r="J8" i="41"/>
  <c r="I12" i="41"/>
  <c r="J12" i="41" s="1"/>
  <c r="F11" i="41"/>
  <c r="H8" i="41"/>
  <c r="F10" i="41"/>
  <c r="F6" i="41"/>
  <c r="H10" i="41"/>
  <c r="F8" i="41"/>
  <c r="F9" i="47" l="1"/>
  <c r="H14" i="41"/>
  <c r="C9" i="56"/>
  <c r="C8" i="56"/>
  <c r="E10" i="56"/>
  <c r="F7" i="56"/>
  <c r="J14" i="41"/>
  <c r="F14" i="41"/>
  <c r="F9" i="56" l="1"/>
  <c r="F8" i="56"/>
  <c r="C12" i="56"/>
  <c r="G33" i="38"/>
  <c r="H33" i="38" s="1"/>
  <c r="F15" i="44" s="1"/>
  <c r="E15" i="44"/>
  <c r="N15" i="44" s="1"/>
  <c r="C21" i="35"/>
  <c r="C20" i="35"/>
  <c r="C19" i="35"/>
  <c r="C17" i="35"/>
  <c r="C15" i="35"/>
  <c r="C13" i="35"/>
  <c r="C12" i="35"/>
  <c r="C11" i="35"/>
  <c r="C9" i="35"/>
  <c r="C8" i="35"/>
  <c r="B22" i="35"/>
  <c r="C22" i="35" s="1"/>
  <c r="B20" i="35"/>
  <c r="B18" i="35"/>
  <c r="C18" i="35" s="1"/>
  <c r="B16" i="35"/>
  <c r="C16" i="35" s="1"/>
  <c r="B14" i="35"/>
  <c r="C14" i="35" s="1"/>
  <c r="B10" i="35"/>
  <c r="C23" i="36"/>
  <c r="C21" i="36"/>
  <c r="C19" i="36"/>
  <c r="C17" i="36"/>
  <c r="C15" i="36"/>
  <c r="C14" i="36"/>
  <c r="C13" i="36"/>
  <c r="C12" i="36"/>
  <c r="C11" i="36"/>
  <c r="C9" i="36"/>
  <c r="C8" i="36"/>
  <c r="B24" i="36"/>
  <c r="C24" i="36" s="1"/>
  <c r="B22" i="36"/>
  <c r="C22" i="36" s="1"/>
  <c r="B20" i="36"/>
  <c r="C20" i="36" s="1"/>
  <c r="B18" i="36"/>
  <c r="C18" i="36" s="1"/>
  <c r="B16" i="36"/>
  <c r="C16" i="36" s="1"/>
  <c r="B14" i="36"/>
  <c r="B10" i="36"/>
  <c r="C10" i="36" s="1"/>
  <c r="B25" i="35" l="1"/>
  <c r="C10" i="35"/>
  <c r="D23" i="35" s="1"/>
  <c r="B31" i="35"/>
  <c r="B27" i="36"/>
  <c r="B31" i="36" s="1"/>
  <c r="D25" i="36"/>
  <c r="D29" i="36" s="1"/>
  <c r="F7" i="38" s="1"/>
  <c r="G7" i="38" s="1"/>
  <c r="D29" i="35" l="1"/>
  <c r="D7" i="38" s="1"/>
  <c r="O19" i="45"/>
  <c r="O17" i="45"/>
  <c r="K35" i="45"/>
  <c r="O35" i="45" s="1"/>
  <c r="E7" i="38" l="1"/>
  <c r="H7" i="38" s="1"/>
  <c r="E12" i="53"/>
  <c r="K16" i="53"/>
  <c r="K15" i="53"/>
  <c r="K18" i="53"/>
  <c r="K19" i="53"/>
  <c r="K13" i="53"/>
  <c r="K17" i="53"/>
  <c r="O12" i="53"/>
  <c r="H10" i="38" l="1"/>
  <c r="B15" i="44" s="1"/>
  <c r="K20" i="53"/>
  <c r="M40" i="53"/>
  <c r="I11" i="44" s="1"/>
  <c r="E32" i="53"/>
  <c r="O40" i="53" l="1"/>
  <c r="O18" i="53"/>
  <c r="O16" i="53"/>
  <c r="O13" i="53"/>
  <c r="M19" i="53"/>
  <c r="O19" i="53"/>
  <c r="O17" i="53"/>
  <c r="M17" i="53"/>
  <c r="O11" i="53"/>
  <c r="M18" i="53"/>
  <c r="M16" i="53"/>
  <c r="O15" i="53"/>
  <c r="M15" i="53"/>
  <c r="M11" i="53"/>
  <c r="M13" i="53"/>
  <c r="I11" i="45"/>
  <c r="L11" i="45" s="1"/>
  <c r="M11" i="45" s="1"/>
  <c r="M20" i="53" l="1"/>
  <c r="H11" i="44" s="1"/>
  <c r="J11" i="45"/>
  <c r="K11" i="45" s="1"/>
  <c r="Q11" i="45"/>
  <c r="O20" i="53" l="1"/>
  <c r="O11" i="45"/>
  <c r="G18" i="45"/>
  <c r="I18" i="45" l="1"/>
  <c r="L18" i="45" s="1"/>
  <c r="M18" i="45" l="1"/>
  <c r="K18" i="45" l="1"/>
  <c r="Q18" i="45"/>
  <c r="O18" i="45" l="1"/>
  <c r="K16" i="45"/>
  <c r="K20" i="45" s="1"/>
  <c r="G15" i="45"/>
  <c r="I15" i="45" s="1"/>
  <c r="L15" i="45" s="1"/>
  <c r="M15" i="45" s="1"/>
  <c r="O15" i="45" l="1"/>
  <c r="Q15" i="45"/>
  <c r="H20" i="45"/>
  <c r="G16" i="45"/>
  <c r="I16" i="45" s="1"/>
  <c r="L16" i="45" s="1"/>
  <c r="M16" i="45" l="1"/>
  <c r="Q16" i="45"/>
  <c r="O16" i="45" l="1"/>
  <c r="O22" i="45" s="1"/>
  <c r="M20" i="45"/>
  <c r="I32" i="45"/>
  <c r="L32" i="45" s="1"/>
  <c r="M32" i="45" s="1"/>
  <c r="E11" i="44" l="1"/>
  <c r="N11" i="44" s="1"/>
  <c r="Q32" i="45"/>
  <c r="K32" i="45" l="1"/>
  <c r="O32" i="45" l="1"/>
  <c r="I37" i="45"/>
  <c r="L37" i="45" s="1"/>
  <c r="Q37" i="45" l="1"/>
  <c r="M37" i="45"/>
  <c r="I38" i="45"/>
  <c r="L38" i="45" s="1"/>
  <c r="K37" i="45" l="1"/>
  <c r="Q38" i="45"/>
  <c r="M38" i="45"/>
  <c r="K38" i="45" s="1"/>
  <c r="O38" i="45" s="1"/>
  <c r="M40" i="45" l="1"/>
  <c r="K40" i="45"/>
  <c r="O37" i="45"/>
  <c r="O36" i="45"/>
  <c r="O41" i="45" s="1"/>
  <c r="H40" i="45"/>
  <c r="G36" i="45"/>
  <c r="I36" i="45"/>
  <c r="L36" i="45"/>
  <c r="Q36" i="45" s="1"/>
  <c r="J15" i="49"/>
  <c r="M15" i="49"/>
  <c r="N15" i="49"/>
  <c r="O15" i="49" s="1"/>
  <c r="J20" i="49"/>
  <c r="M20" i="49"/>
  <c r="N20" i="49"/>
  <c r="O20" i="49" s="1"/>
  <c r="J17" i="49"/>
  <c r="M17" i="49"/>
  <c r="N17" i="49" s="1"/>
  <c r="O17" i="49" s="1"/>
  <c r="J18" i="49"/>
  <c r="M18" i="49"/>
  <c r="N18" i="49"/>
  <c r="O18" i="49"/>
  <c r="K22" i="49"/>
  <c r="J19" i="49"/>
  <c r="M19" i="49"/>
  <c r="N19" i="49"/>
  <c r="O19" i="49" s="1"/>
  <c r="E18" i="44"/>
  <c r="O22" i="49" l="1"/>
  <c r="B18" i="44" s="1"/>
  <c r="B22" i="44" s="1"/>
  <c r="I18" i="44"/>
  <c r="F11" i="44"/>
  <c r="E21" i="44"/>
  <c r="E22" i="44" s="1"/>
  <c r="F6" i="52" l="1"/>
  <c r="L45" i="50"/>
  <c r="M45" i="50" s="1"/>
  <c r="N45" i="50"/>
  <c r="L43" i="50"/>
  <c r="L35" i="50"/>
  <c r="M35" i="50" s="1"/>
  <c r="N35" i="50" s="1"/>
  <c r="I48" i="50"/>
  <c r="L48" i="50"/>
  <c r="I43" i="50"/>
  <c r="I41" i="50"/>
  <c r="L41" i="50"/>
  <c r="M41" i="50" s="1"/>
  <c r="N41" i="50"/>
  <c r="I47" i="50"/>
  <c r="L47" i="50"/>
  <c r="M47" i="50" s="1"/>
  <c r="N47" i="50" s="1"/>
  <c r="I45" i="50"/>
  <c r="I44" i="50"/>
  <c r="L44" i="50"/>
  <c r="M44" i="50" s="1"/>
  <c r="N44" i="50" s="1"/>
  <c r="I35" i="50"/>
  <c r="M43" i="50" l="1"/>
  <c r="N43" i="50" s="1"/>
  <c r="N48" i="50"/>
  <c r="M48" i="50"/>
  <c r="N49" i="50" l="1"/>
  <c r="F13" i="44" s="1"/>
  <c r="F18" i="44" s="1"/>
  <c r="L13" i="54"/>
  <c r="M13" i="54"/>
  <c r="N13" i="54"/>
  <c r="J22" i="54"/>
  <c r="L12" i="54"/>
  <c r="M12" i="54" s="1"/>
  <c r="N12" i="54" s="1"/>
  <c r="N22" i="54" s="1"/>
  <c r="H13" i="44" s="1"/>
  <c r="N13" i="44" s="1"/>
  <c r="H18" i="44" l="1"/>
  <c r="H22" i="44" s="1"/>
  <c r="F8" i="52" s="1"/>
  <c r="F10" i="52" s="1"/>
  <c r="F13" i="52" s="1"/>
  <c r="F25" i="52" l="1"/>
  <c r="F32" i="52"/>
  <c r="F17" i="52"/>
  <c r="F21" i="52"/>
  <c r="F29" i="52"/>
  <c r="F37" i="52" l="1"/>
  <c r="F38" i="52"/>
  <c r="F34" i="52"/>
  <c r="F42" i="52"/>
  <c r="F43" i="52"/>
  <c r="F39" i="52" l="1"/>
  <c r="F44" i="52"/>
  <c r="D22" i="54" l="1"/>
  <c r="D22" i="49"/>
  <c r="D49" i="49"/>
  <c r="D49" i="54"/>
  <c r="D49" i="50"/>
  <c r="D22"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H11" authorId="0" shapeId="0" xr:uid="{00000000-0006-0000-0100-000001000000}">
      <text>
        <r>
          <rPr>
            <b/>
            <sz val="9"/>
            <color indexed="81"/>
            <rFont val="Tahoma"/>
            <family val="2"/>
          </rPr>
          <t>Brandkamp, Bob:</t>
        </r>
        <r>
          <rPr>
            <sz val="9"/>
            <color indexed="81"/>
            <rFont val="Tahoma"/>
            <family val="2"/>
          </rPr>
          <t xml:space="preserve">
Add $5,624,411 to achieve 5.13% ROL scenario</t>
        </r>
      </text>
    </comment>
    <comment ref="I11" authorId="0" shapeId="0" xr:uid="{00000000-0006-0000-0100-000002000000}">
      <text>
        <r>
          <rPr>
            <b/>
            <sz val="9"/>
            <color indexed="81"/>
            <rFont val="Tahoma"/>
            <family val="2"/>
          </rPr>
          <t>Brandkamp, Bob:</t>
        </r>
        <r>
          <rPr>
            <sz val="9"/>
            <color indexed="81"/>
            <rFont val="Tahoma"/>
            <family val="2"/>
          </rPr>
          <t xml:space="preserve">
Add $5,624,411 to achieve 5.13% ROL scenario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I8" authorId="0" shapeId="0" xr:uid="{00000000-0006-0000-0400-000001000000}">
      <text>
        <r>
          <rPr>
            <b/>
            <sz val="9"/>
            <color indexed="81"/>
            <rFont val="Tahoma"/>
            <family val="2"/>
          </rPr>
          <t>Brandkamp, Bob:</t>
        </r>
        <r>
          <rPr>
            <sz val="9"/>
            <color indexed="81"/>
            <rFont val="Tahoma"/>
            <family val="2"/>
          </rPr>
          <t xml:space="preserve">
AEGIS Loyalty Credit projected to approximately double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F14" authorId="0" shapeId="0" xr:uid="{00000000-0006-0000-0B00-000001000000}">
      <text>
        <r>
          <rPr>
            <b/>
            <sz val="9"/>
            <color indexed="81"/>
            <rFont val="Tahoma"/>
            <family val="2"/>
          </rPr>
          <t>Brandkamp, Bob:</t>
        </r>
        <r>
          <rPr>
            <sz val="9"/>
            <color indexed="81"/>
            <rFont val="Tahoma"/>
            <family val="2"/>
          </rPr>
          <t xml:space="preserve">
AEGIS loyalty credit projected to double from 2020 to 2021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Brandkamp, Bob</author>
  </authors>
  <commentList>
    <comment ref="J11" authorId="0" shapeId="0" xr:uid="{00000000-0006-0000-1000-000001000000}">
      <text>
        <r>
          <rPr>
            <b/>
            <sz val="9"/>
            <color indexed="81"/>
            <rFont val="Tahoma"/>
            <family val="2"/>
          </rPr>
          <t>Brandkamp, Bob:</t>
        </r>
        <r>
          <rPr>
            <sz val="9"/>
            <color indexed="81"/>
            <rFont val="Tahoma"/>
            <family val="2"/>
          </rPr>
          <t xml:space="preserve">
Overall AEGIS Loyalty Credit expected to double in 2021</t>
        </r>
      </text>
    </comment>
  </commentList>
</comments>
</file>

<file path=xl/sharedStrings.xml><?xml version="1.0" encoding="utf-8"?>
<sst xmlns="http://schemas.openxmlformats.org/spreadsheetml/2006/main" count="693" uniqueCount="226">
  <si>
    <t>Carrier</t>
  </si>
  <si>
    <t>Amount</t>
  </si>
  <si>
    <t>Utility Allocated Amount</t>
  </si>
  <si>
    <t>Comments</t>
  </si>
  <si>
    <t>AEGIS ($35M)</t>
  </si>
  <si>
    <t>AEGIS ($35M) taxes</t>
  </si>
  <si>
    <t>EIM ($100M xs $35M)</t>
  </si>
  <si>
    <t>EIM ($100M xs $35M) taxes</t>
  </si>
  <si>
    <t>Lloyd's of London ($50M xs $135M)</t>
  </si>
  <si>
    <t>Insurance Company/Coverage Amount</t>
  </si>
  <si>
    <t>AEGIS Continuity Credit</t>
  </si>
  <si>
    <t>EIM</t>
  </si>
  <si>
    <t>EIM taxes</t>
  </si>
  <si>
    <t>American Alternative Ins Corp</t>
  </si>
  <si>
    <t>AEGIS taxes</t>
  </si>
  <si>
    <t xml:space="preserve">ACE </t>
  </si>
  <si>
    <t>Total</t>
  </si>
  <si>
    <t>Difference s/b $0.00</t>
  </si>
  <si>
    <t>Lloyds Taxes</t>
  </si>
  <si>
    <t xml:space="preserve">Lloyds of London </t>
  </si>
  <si>
    <t>Lloyd's  taxes</t>
  </si>
  <si>
    <t xml:space="preserve">Lloyd's/Other </t>
  </si>
  <si>
    <t>Lloyd's/Other  taxes</t>
  </si>
  <si>
    <t>Lloyd's of London</t>
  </si>
  <si>
    <t>Lloyd's/Other</t>
  </si>
  <si>
    <t>AELP $ Allocation</t>
  </si>
  <si>
    <t>Avista Capital Allocation %</t>
  </si>
  <si>
    <t>Avista Capital Allocation $</t>
  </si>
  <si>
    <t>Avista Corp Allocation %</t>
  </si>
  <si>
    <t>Avista Corp Allocation $</t>
  </si>
  <si>
    <t>AELP Allocation %</t>
  </si>
  <si>
    <t xml:space="preserve">AEGIS </t>
  </si>
  <si>
    <t>EIM Distribution Credit</t>
  </si>
  <si>
    <t>2017 Property Premium Reconcilliation to Invoices (12/1/17 - 12/1/18)</t>
  </si>
  <si>
    <t>2018 Property Premium Reconcilliation to Invoices (12/1/18 - 12/1/19)</t>
  </si>
  <si>
    <t>rounding</t>
  </si>
  <si>
    <t>Less:  2017-18 AEGIS London Credit</t>
  </si>
  <si>
    <t>Avista Allocation (79.6%)</t>
  </si>
  <si>
    <t>Avista Allocation (80.4%)</t>
  </si>
  <si>
    <t>12/18 Invoice</t>
  </si>
  <si>
    <t>12/18 portion</t>
  </si>
  <si>
    <t>1/18-11/18 portion</t>
  </si>
  <si>
    <t>Total 2018 Property Premium</t>
  </si>
  <si>
    <t>Less:  2018-19 AEGIS London Credit</t>
  </si>
  <si>
    <t xml:space="preserve">2018-19 Net Avista Prop Premium </t>
  </si>
  <si>
    <t xml:space="preserve">2017-18 Net Avista Prop Premium </t>
  </si>
  <si>
    <t>12/17 Invoice</t>
  </si>
  <si>
    <t>12/17Iinvoice</t>
  </si>
  <si>
    <t>Actual 2017 Premiums</t>
  </si>
  <si>
    <t>2018 Premiums</t>
  </si>
  <si>
    <t>EIM Distribution Credit (Special)</t>
  </si>
  <si>
    <t>Avista Utilities</t>
  </si>
  <si>
    <t>Washington Jurisdiction</t>
  </si>
  <si>
    <t>TOTAL COSTS</t>
  </si>
  <si>
    <t>as of</t>
  </si>
  <si>
    <t>basis</t>
  </si>
  <si>
    <t>General Liability</t>
  </si>
  <si>
    <t>estimated</t>
  </si>
  <si>
    <t>FERC 925</t>
  </si>
  <si>
    <t>Directors &amp; Officers Liability</t>
  </si>
  <si>
    <t>actual</t>
  </si>
  <si>
    <t>Property</t>
  </si>
  <si>
    <t>FERC 924</t>
  </si>
  <si>
    <t>TOTAL INSURANCE COSTS</t>
  </si>
  <si>
    <t>Notes:</t>
  </si>
  <si>
    <t>premium with cc</t>
  </si>
  <si>
    <t>premium without cc</t>
  </si>
  <si>
    <t>2018 GL Premium With Continuity Credits</t>
  </si>
  <si>
    <t>2018 GL Premium Without  Continuity Credits</t>
  </si>
  <si>
    <t>Worksheet to Calculate Calendar Year Property Premiums (With Continuity Credits)</t>
  </si>
  <si>
    <t>Worksheet to Calculate Calendar Year Property Premiums (Without Continuity Credits)</t>
  </si>
  <si>
    <t>Continuity Credit Included</t>
  </si>
  <si>
    <t>Continuity Credit Excluded</t>
  </si>
  <si>
    <t>With Continuity Credit</t>
  </si>
  <si>
    <t>With Continuity Credit Excluded</t>
  </si>
  <si>
    <t>Total 2019 Property Premium</t>
  </si>
  <si>
    <t>Total 2020 Property Premium</t>
  </si>
  <si>
    <t>Avista Capital</t>
  </si>
  <si>
    <t>AEL&amp;P</t>
  </si>
  <si>
    <t>12/1/19 Allocation</t>
  </si>
  <si>
    <t>12/1/19 Premium</t>
  </si>
  <si>
    <t>% Increase premium at 12/1/20</t>
  </si>
  <si>
    <t>Expected 12/1/20 Premium</t>
  </si>
  <si>
    <t>12/1/20 Allocation</t>
  </si>
  <si>
    <t>Blended premium increase 12/1/19 to 12/1/20</t>
  </si>
  <si>
    <t>12/20 Invoice</t>
  </si>
  <si>
    <t>12/19 Invoice</t>
  </si>
  <si>
    <t>2018 portion (12/1/18-12/31/18)</t>
  </si>
  <si>
    <t>2018 portion (1/18-11/18)</t>
  </si>
  <si>
    <t>2019 portion (12/1/19-12/31/19)</t>
  </si>
  <si>
    <t>2019 portion (1/1/19-12/1/19)</t>
  </si>
  <si>
    <t>2020 portion (1/1/20 - 11/1/2020)</t>
  </si>
  <si>
    <t>2020 portion (12/1/20 -12/31/20)</t>
  </si>
  <si>
    <t>Actual 2018 Premiums</t>
  </si>
  <si>
    <t>Rate Increase for 2019</t>
  </si>
  <si>
    <t>2019 Premiums</t>
  </si>
  <si>
    <t>With Continuity Credits</t>
  </si>
  <si>
    <t>2020 Liability Premiums (Est)</t>
  </si>
  <si>
    <t>Actual 2019 Premiums</t>
  </si>
  <si>
    <t>Rate Increase for 2020</t>
  </si>
  <si>
    <t>2020 Premiums</t>
  </si>
  <si>
    <t>2018 Premiums (Invoiced)</t>
  </si>
  <si>
    <t>Projected Increase/Decrease</t>
  </si>
  <si>
    <t>2018 Actual/Estimated Premium</t>
  </si>
  <si>
    <t xml:space="preserve"> 2018 Utility Allocated %</t>
  </si>
  <si>
    <t>Amount Allocated to AELP</t>
  </si>
  <si>
    <t>AEGIS -Continuity Credit (1)</t>
  </si>
  <si>
    <t>EIM ($30M xs $35M)</t>
  </si>
  <si>
    <t>EIM ($30M xs $35M) taxes</t>
  </si>
  <si>
    <t xml:space="preserve"> XL Specialty($15M xs $65M)</t>
  </si>
  <si>
    <t>Twin City($15M xs $80M)</t>
  </si>
  <si>
    <t>Zurich($15M xs $95M)</t>
  </si>
  <si>
    <t>XL Speciality ($15M xs $100) Side A/DIC</t>
  </si>
  <si>
    <t>HCC ($15M xs $125M) Side A/DIC</t>
  </si>
  <si>
    <t>2018 D &amp; O Premium Total Allocated to Avista</t>
  </si>
  <si>
    <t>With Continuity Credit Applied</t>
  </si>
  <si>
    <t>Increase/Decrease</t>
  </si>
  <si>
    <t>2018 Actual Premium</t>
  </si>
  <si>
    <t>premium with cc (1)</t>
  </si>
  <si>
    <t>Line of Insurance</t>
  </si>
  <si>
    <t>Prorated for 1Q 2019</t>
  </si>
  <si>
    <t>XL Speciality ($15M xs $110) Side A/DIC</t>
  </si>
  <si>
    <t>(1)  Announced 12 month continuity credit for 2019 is 328,654</t>
  </si>
  <si>
    <t>2019 Actual/Estimated Premium Pro Rated for 1Q 2019 (2)</t>
  </si>
  <si>
    <t>(2)  New 12 month policy period will begin 3/31/19 due to prior 90 day extension of policy.</t>
  </si>
  <si>
    <t>2019 Premiums beginning 3/31/19</t>
  </si>
  <si>
    <t>2019 Portion (3/31/19 to 12/31/19</t>
  </si>
  <si>
    <t>Calculation of Estimated 2019 D &amp; O Premium Based on New Renewal Date of 3/31/19</t>
  </si>
  <si>
    <t>Includes Continuity Credit</t>
  </si>
  <si>
    <t>Projected Increase/Decrease for 12 month policy beginning 3/31/20</t>
  </si>
  <si>
    <t>2020 Portion (3/31/20 to 12/31/20</t>
  </si>
  <si>
    <t>?</t>
  </si>
  <si>
    <t>Proforma Insurance Adjustment</t>
  </si>
  <si>
    <t>Adjustment - System</t>
  </si>
  <si>
    <t xml:space="preserve">Total Adjustment </t>
  </si>
  <si>
    <t>Allocated to Washington Electric</t>
  </si>
  <si>
    <t>Note 7</t>
  </si>
  <si>
    <t>Note 4</t>
  </si>
  <si>
    <t>Allocated to Washington Gas</t>
  </si>
  <si>
    <t>Allocated to Idaho Electric</t>
  </si>
  <si>
    <t>Allocated to Idaho Gas</t>
  </si>
  <si>
    <t>Allocated to Oregon</t>
  </si>
  <si>
    <t>check</t>
  </si>
  <si>
    <t>Electric</t>
  </si>
  <si>
    <t>Gas</t>
  </si>
  <si>
    <t>Less 10% D&amp;O</t>
  </si>
  <si>
    <t>Adjusted for 10% D &amp; O Removal</t>
  </si>
  <si>
    <t>12/31/20 - Projected</t>
  </si>
  <si>
    <t>12 ME 12.31.2019</t>
  </si>
  <si>
    <t>Without Continuity Credits</t>
  </si>
  <si>
    <t>Actual 2020 Premiums</t>
  </si>
  <si>
    <t>Projected Rate Increase for 2021</t>
  </si>
  <si>
    <t>Est 2021 Premiums</t>
  </si>
  <si>
    <t xml:space="preserve">Excluding Continuity Credits </t>
  </si>
  <si>
    <t>2021 Liability Premiums (Est)</t>
  </si>
  <si>
    <t xml:space="preserve">2019 Liability Premiums </t>
  </si>
  <si>
    <t>Avista Utility Allocation $</t>
  </si>
  <si>
    <t>Avista Utility Allocation %</t>
  </si>
  <si>
    <t>Estimated Insurance Costs for GL, D&amp;O,and Property Lines 2020-21</t>
  </si>
  <si>
    <t>12/31/21 - Projected</t>
  </si>
  <si>
    <t>2020 Premiums beginning 3/31/20</t>
  </si>
  <si>
    <t>EIM Credit 1</t>
  </si>
  <si>
    <t>EIM Credit 2</t>
  </si>
  <si>
    <t>Calculation of Estimated 2020 D &amp; O Premium Based on New Renewal Date of 3/31/20</t>
  </si>
  <si>
    <t xml:space="preserve"> 2018-19 Utility Allocated %</t>
  </si>
  <si>
    <t xml:space="preserve"> 2019-20 Utility Allocated %</t>
  </si>
  <si>
    <t xml:space="preserve"> 2020-21 Utility Allocated %</t>
  </si>
  <si>
    <r>
      <t xml:space="preserve"> XL Specialty</t>
    </r>
    <r>
      <rPr>
        <sz val="11"/>
        <color rgb="FF00B050"/>
        <rFont val="Calibri"/>
        <family val="2"/>
        <scheme val="minor"/>
      </rPr>
      <t>($10M xs $65M)</t>
    </r>
  </si>
  <si>
    <r>
      <t>Twin City</t>
    </r>
    <r>
      <rPr>
        <sz val="11"/>
        <color rgb="FF00B050"/>
        <rFont val="Calibri"/>
        <family val="2"/>
        <scheme val="minor"/>
      </rPr>
      <t>($15M xs $75M)</t>
    </r>
  </si>
  <si>
    <r>
      <t>Zurich</t>
    </r>
    <r>
      <rPr>
        <sz val="11"/>
        <color rgb="FF00B050"/>
        <rFont val="Calibri"/>
        <family val="2"/>
        <scheme val="minor"/>
      </rPr>
      <t>($15M xs $90M)</t>
    </r>
  </si>
  <si>
    <r>
      <t xml:space="preserve">Travelers </t>
    </r>
    <r>
      <rPr>
        <sz val="11"/>
        <color rgb="FF00B050"/>
        <rFont val="Calibri"/>
        <family val="2"/>
        <scheme val="minor"/>
      </rPr>
      <t>($5M xs $105M)</t>
    </r>
  </si>
  <si>
    <t xml:space="preserve">AEGIS -Continuity Credit </t>
  </si>
  <si>
    <t xml:space="preserve">2019 Actual/Estimated Premium Pro Rated for 1Q 2020 </t>
  </si>
  <si>
    <t xml:space="preserve"> Increase/Decrease for 12 month policy beginning 3/31/19</t>
  </si>
  <si>
    <t>Avista Utility Combined 2019 premium</t>
  </si>
  <si>
    <t>Avista Utility Combined 2020 premium</t>
  </si>
  <si>
    <t>AEGIS -Continuity Credit</t>
  </si>
  <si>
    <t>= estimated to be received</t>
  </si>
  <si>
    <t>= paid/received</t>
  </si>
  <si>
    <t>Calculation of Estimated 2020 D &amp; O Premium Based on New Renewal Date of 3/31/21</t>
  </si>
  <si>
    <t>Without Continuity Credit</t>
  </si>
  <si>
    <t xml:space="preserve">Without Continuity Credit </t>
  </si>
  <si>
    <t>2020 Actual/Estimated Premium Pro Rated for 1Q 2021</t>
  </si>
  <si>
    <t>Projected Increase/Decrease for 12 month policy beginning 3/31/21</t>
  </si>
  <si>
    <t>2021 Premiums beginning 3/31/21</t>
  </si>
  <si>
    <t xml:space="preserve"> 2021-22 Utility Allocated %</t>
  </si>
  <si>
    <t>2021 Portion (3/31/21 to 12/31/21</t>
  </si>
  <si>
    <t>Avista Utility Combined 2021 premium</t>
  </si>
  <si>
    <t>= estimated to be received/paid</t>
  </si>
  <si>
    <t>(1)  Premium with cc in 2019 were actual premiums incurred net of continuity credits for GL, D and O and Property.  The Premium without cc is for illustrative purposes only and to be used as a comparison to years 2020 and 2021 if continuity credits are not received</t>
  </si>
  <si>
    <t>2019 Property Premium Reconcilliation to Invoices (12/1/19- 12/1/20)</t>
  </si>
  <si>
    <t>Avista Allocation (81.246075%)</t>
  </si>
  <si>
    <t>Less:  2019 EIM Credit 2 - 12/2019</t>
  </si>
  <si>
    <t xml:space="preserve">2019-20 Net Avista Prop Premium </t>
  </si>
  <si>
    <t xml:space="preserve">                                 2020 EIM Credit 1 - 3/2020</t>
  </si>
  <si>
    <t>Allocated portion of EIM 2 Credit 12 2020</t>
  </si>
  <si>
    <t>EIM Credit 1 - 3/2021</t>
  </si>
  <si>
    <t>12/21 Invoice</t>
  </si>
  <si>
    <t>2021 portion (1/1/21 - 11/1/2021)</t>
  </si>
  <si>
    <t>2021 portion (12/1/21 -12/31/21)</t>
  </si>
  <si>
    <t>Total 2021 Property Premium</t>
  </si>
  <si>
    <t>Allocated portion of EIM 2 Credit 12 2021</t>
  </si>
  <si>
    <t>12/1/21 Allocation</t>
  </si>
  <si>
    <t>Est 12/1/20 Premiums</t>
  </si>
  <si>
    <t>Expected 12/1/21 Premium</t>
  </si>
  <si>
    <t>Blended premium increase 12/1/20 to 12/1/21</t>
  </si>
  <si>
    <t>Adjusted Test period Expense 12 ME 12.31.2019</t>
  </si>
  <si>
    <t>AEGIS Loyalty Credit</t>
  </si>
  <si>
    <t xml:space="preserve">  Less:  EIM Special Credit</t>
  </si>
  <si>
    <t>AEGIS Loyalty Credit - 8/20</t>
  </si>
  <si>
    <t>AEGIS Loyalty Credit 8/21</t>
  </si>
  <si>
    <t>% Increase premium at 12/1/21</t>
  </si>
  <si>
    <t xml:space="preserve">   Less:  2019 AEGIS Loyalty Credit - 8/2019</t>
  </si>
  <si>
    <t>Loyalty Credit Adjusted by AEGIS</t>
  </si>
  <si>
    <t>Calculation of 2019 D &amp; O Premium Based on New Renewal Date of 3/31/19</t>
  </si>
  <si>
    <t>For the Twelve Months ended December 31, 2021</t>
  </si>
  <si>
    <t>2021 Projected Insurance Expense (@ 90% D &amp; O)</t>
  </si>
  <si>
    <t>Adjust Insurance to 2021 Pro Forma</t>
  </si>
  <si>
    <t>12 ME 12.31.2021</t>
  </si>
  <si>
    <t>IA-1</t>
  </si>
  <si>
    <t xml:space="preserve">LMA </t>
  </si>
  <si>
    <t>Total Estimated GL</t>
  </si>
  <si>
    <t>(1)</t>
  </si>
  <si>
    <t>(1) Estimated amounts based on discussions with Insurance provider. Incremental General Liability insurance will be invoiced, and therefore known and measureable, in December 2020.  The Company will update the GL insurance amount at that time, as soon as available.</t>
  </si>
  <si>
    <t>Plus Estimated 5.13 ROL Scenario</t>
  </si>
  <si>
    <t>(Adj in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</si>
</sst>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0.0%"/>
    <numFmt numFmtId="166" formatCode="&quot;$&quot;#,##0.00"/>
    <numFmt numFmtId="167" formatCode="0.0000000000000%"/>
    <numFmt numFmtId="168" formatCode="_(* #,##0_);_(* \(#,##0\);_(* &quot;-&quot;??_);_(@_)"/>
    <numFmt numFmtId="169" formatCode="_(&quot;$&quot;* #,##0_);_(&quot;$&quot;* \(#,##0\);_(&quot;$&quot;* &quot;-&quot;??_);_(@_)"/>
    <numFmt numFmtId="170" formatCode="0.00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0"/>
      <color rgb="FF00B050"/>
      <name val="Arial"/>
      <family val="2"/>
    </font>
    <font>
      <sz val="10"/>
      <color rgb="FFFF0000"/>
      <name val="Arial"/>
      <family val="2"/>
    </font>
    <font>
      <b/>
      <sz val="10"/>
      <color theme="1"/>
      <name val="Arial"/>
      <family val="2"/>
    </font>
    <font>
      <sz val="10"/>
      <name val="Times New Roman"/>
      <family val="1"/>
    </font>
    <font>
      <b/>
      <sz val="11"/>
      <name val="Calibri"/>
      <family val="2"/>
      <scheme val="minor"/>
    </font>
    <font>
      <b/>
      <sz val="9"/>
      <name val="Arial"/>
      <family val="2"/>
    </font>
    <font>
      <sz val="9"/>
      <name val="Arial"/>
      <family val="2"/>
    </font>
    <font>
      <b/>
      <i/>
      <sz val="9"/>
      <name val="Arial"/>
      <family val="2"/>
    </font>
    <font>
      <b/>
      <sz val="7"/>
      <color rgb="FFFF0000"/>
      <name val="Arial"/>
      <family val="2"/>
    </font>
    <font>
      <b/>
      <sz val="10"/>
      <color rgb="FFFF0000"/>
      <name val="Arial"/>
      <family val="2"/>
    </font>
    <font>
      <sz val="11"/>
      <name val="Calibri"/>
      <family val="2"/>
      <scheme val="minor"/>
    </font>
    <font>
      <b/>
      <i/>
      <sz val="11"/>
      <name val="Calibri"/>
      <family val="2"/>
      <scheme val="minor"/>
    </font>
    <font>
      <u/>
      <sz val="11"/>
      <name val="Calibri"/>
      <family val="2"/>
      <scheme val="minor"/>
    </font>
    <font>
      <i/>
      <sz val="11"/>
      <name val="Calibri"/>
      <family val="2"/>
      <scheme val="minor"/>
    </font>
    <font>
      <b/>
      <sz val="11"/>
      <color rgb="FFFF0000"/>
      <name val="Calibri"/>
      <family val="2"/>
      <scheme val="minor"/>
    </font>
    <font>
      <b/>
      <sz val="12"/>
      <color rgb="FFFF0000"/>
      <name val="Arial"/>
      <family val="2"/>
    </font>
    <font>
      <sz val="11"/>
      <color rgb="FF00B050"/>
      <name val="Calibri"/>
      <family val="2"/>
      <scheme val="minor"/>
    </font>
    <font>
      <sz val="10"/>
      <color theme="1"/>
      <name val="Arial"/>
      <family val="2"/>
    </font>
    <font>
      <sz val="9"/>
      <color indexed="81"/>
      <name val="Tahoma"/>
      <family val="2"/>
    </font>
    <font>
      <b/>
      <sz val="9"/>
      <color indexed="81"/>
      <name val="Tahoma"/>
      <family val="2"/>
    </font>
    <font>
      <sz val="10"/>
      <name val="Arial"/>
      <family val="2"/>
    </font>
    <font>
      <i/>
      <sz val="9"/>
      <name val="Arial"/>
      <family val="2"/>
    </font>
    <font>
      <sz val="1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indexed="1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auto="1"/>
      </top>
      <bottom style="double">
        <color auto="1"/>
      </bottom>
      <diagonal/>
    </border>
    <border>
      <left/>
      <right/>
      <top style="thin">
        <color auto="1"/>
      </top>
      <bottom/>
      <diagonal/>
    </border>
    <border>
      <left/>
      <right/>
      <top style="thin">
        <color auto="1"/>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double">
        <color indexed="64"/>
      </bottom>
      <diagonal/>
    </border>
    <border>
      <left style="double">
        <color rgb="FFFF0000"/>
      </left>
      <right style="double">
        <color rgb="FFFF0000"/>
      </right>
      <top style="double">
        <color rgb="FFFF0000"/>
      </top>
      <bottom style="double">
        <color rgb="FFFF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4">
    <xf numFmtId="0" fontId="0" fillId="0" borderId="0"/>
    <xf numFmtId="43" fontId="10" fillId="0" borderId="0" applyFont="0" applyFill="0" applyBorder="0" applyAlignment="0" applyProtection="0"/>
    <xf numFmtId="43" fontId="7" fillId="0" borderId="0" applyFont="0" applyFill="0" applyBorder="0" applyAlignment="0" applyProtection="0"/>
    <xf numFmtId="44" fontId="10" fillId="0" borderId="0" applyFont="0" applyFill="0" applyBorder="0" applyAlignment="0" applyProtection="0"/>
    <xf numFmtId="0" fontId="10" fillId="0" borderId="0"/>
    <xf numFmtId="0" fontId="7" fillId="0" borderId="0"/>
    <xf numFmtId="0" fontId="7" fillId="0" borderId="0"/>
    <xf numFmtId="0" fontId="7" fillId="0" borderId="0"/>
    <xf numFmtId="0" fontId="7" fillId="0" borderId="0"/>
    <xf numFmtId="9" fontId="10"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0" fillId="0" borderId="0"/>
    <xf numFmtId="43" fontId="10"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5" fillId="0" borderId="0"/>
    <xf numFmtId="9" fontId="32" fillId="0" borderId="0" applyFont="0" applyFill="0" applyBorder="0" applyAlignment="0" applyProtection="0"/>
    <xf numFmtId="44" fontId="34" fillId="0" borderId="0" applyFont="0" applyFill="0" applyBorder="0" applyAlignment="0" applyProtection="0"/>
  </cellStyleXfs>
  <cellXfs count="247">
    <xf numFmtId="0" fontId="0" fillId="0" borderId="0" xfId="0"/>
    <xf numFmtId="0" fontId="7" fillId="0" borderId="0" xfId="5"/>
    <xf numFmtId="0" fontId="9" fillId="0" borderId="0" xfId="5" applyFont="1"/>
    <xf numFmtId="0" fontId="9" fillId="0" borderId="0" xfId="5" applyFont="1" applyAlignment="1">
      <alignment horizontal="center"/>
    </xf>
    <xf numFmtId="164" fontId="7" fillId="0" borderId="0" xfId="5" applyNumberFormat="1" applyFill="1"/>
    <xf numFmtId="0" fontId="7" fillId="0" borderId="0" xfId="5" applyFill="1"/>
    <xf numFmtId="0" fontId="7" fillId="0" borderId="0" xfId="5" applyAlignment="1">
      <alignment horizontal="right"/>
    </xf>
    <xf numFmtId="166" fontId="9" fillId="0" borderId="2" xfId="5" applyNumberFormat="1" applyFont="1" applyBorder="1"/>
    <xf numFmtId="166" fontId="8" fillId="0" borderId="0" xfId="5" applyNumberFormat="1" applyFont="1"/>
    <xf numFmtId="0" fontId="0" fillId="0" borderId="0" xfId="0"/>
    <xf numFmtId="166" fontId="0" fillId="0" borderId="0" xfId="0" applyNumberFormat="1"/>
    <xf numFmtId="0" fontId="10" fillId="0" borderId="0" xfId="16"/>
    <xf numFmtId="0" fontId="9" fillId="0" borderId="0" xfId="16" applyFont="1"/>
    <xf numFmtId="0" fontId="9" fillId="0" borderId="0" xfId="16" applyFont="1" applyAlignment="1">
      <alignment horizontal="center" wrapText="1"/>
    </xf>
    <xf numFmtId="164" fontId="10" fillId="0" borderId="0" xfId="16" applyNumberFormat="1"/>
    <xf numFmtId="10" fontId="10" fillId="0" borderId="0" xfId="16" applyNumberFormat="1"/>
    <xf numFmtId="164" fontId="12" fillId="0" borderId="0" xfId="16" applyNumberFormat="1" applyFont="1"/>
    <xf numFmtId="0" fontId="6" fillId="0" borderId="0" xfId="20"/>
    <xf numFmtId="164" fontId="9" fillId="0" borderId="4" xfId="5" applyNumberFormat="1" applyFont="1" applyBorder="1"/>
    <xf numFmtId="0" fontId="11" fillId="2" borderId="1" xfId="0" applyFont="1" applyFill="1" applyBorder="1" applyAlignment="1">
      <alignment wrapText="1"/>
    </xf>
    <xf numFmtId="14" fontId="7" fillId="0" borderId="0" xfId="5" applyNumberFormat="1" applyAlignment="1">
      <alignment horizontal="right"/>
    </xf>
    <xf numFmtId="10" fontId="7" fillId="0" borderId="0" xfId="5" applyNumberFormat="1"/>
    <xf numFmtId="0" fontId="0" fillId="0" borderId="0" xfId="0" quotePrefix="1"/>
    <xf numFmtId="164" fontId="10" fillId="0" borderId="4" xfId="16" applyNumberFormat="1" applyBorder="1"/>
    <xf numFmtId="10" fontId="10" fillId="0" borderId="0" xfId="16" applyNumberFormat="1" applyFill="1"/>
    <xf numFmtId="0" fontId="11" fillId="0" borderId="0" xfId="0" applyFont="1" applyAlignment="1">
      <alignment horizontal="center" wrapText="1"/>
    </xf>
    <xf numFmtId="0" fontId="4" fillId="0" borderId="0" xfId="5" applyFont="1"/>
    <xf numFmtId="166" fontId="5" fillId="0" borderId="3" xfId="5" applyNumberFormat="1" applyFont="1" applyBorder="1"/>
    <xf numFmtId="167" fontId="7" fillId="0" borderId="0" xfId="5" applyNumberFormat="1"/>
    <xf numFmtId="164" fontId="8" fillId="0" borderId="0" xfId="5" applyNumberFormat="1" applyFont="1" applyFill="1"/>
    <xf numFmtId="0" fontId="8" fillId="0" borderId="0" xfId="5" applyFont="1"/>
    <xf numFmtId="0" fontId="8" fillId="0" borderId="0" xfId="5" applyFont="1" applyAlignment="1">
      <alignment horizontal="right"/>
    </xf>
    <xf numFmtId="166" fontId="0" fillId="0" borderId="1" xfId="0" applyNumberFormat="1" applyBorder="1"/>
    <xf numFmtId="0" fontId="11" fillId="2" borderId="1" xfId="0" applyFont="1" applyFill="1" applyBorder="1"/>
    <xf numFmtId="166" fontId="11" fillId="2" borderId="1" xfId="0" applyNumberFormat="1" applyFont="1" applyFill="1" applyBorder="1"/>
    <xf numFmtId="166" fontId="10" fillId="0" borderId="0" xfId="16" applyNumberFormat="1"/>
    <xf numFmtId="166" fontId="10" fillId="0" borderId="4" xfId="16" applyNumberFormat="1" applyBorder="1"/>
    <xf numFmtId="0" fontId="9" fillId="0" borderId="0" xfId="16" applyFont="1" applyAlignment="1"/>
    <xf numFmtId="0" fontId="13" fillId="0" borderId="0" xfId="16" applyFont="1"/>
    <xf numFmtId="164" fontId="13" fillId="0" borderId="0" xfId="16" applyNumberFormat="1" applyFont="1"/>
    <xf numFmtId="0" fontId="13" fillId="0" borderId="0" xfId="16" applyFont="1" applyFill="1"/>
    <xf numFmtId="0" fontId="11" fillId="0" borderId="0" xfId="4" applyFont="1" applyAlignment="1">
      <alignment wrapText="1"/>
    </xf>
    <xf numFmtId="0" fontId="16" fillId="0" borderId="0" xfId="31" applyFont="1"/>
    <xf numFmtId="0" fontId="17" fillId="0" borderId="0" xfId="0" applyFont="1"/>
    <xf numFmtId="168" fontId="18" fillId="0" borderId="0" xfId="1" applyNumberFormat="1" applyFont="1"/>
    <xf numFmtId="168" fontId="18" fillId="0" borderId="0" xfId="1" applyNumberFormat="1" applyFont="1" applyBorder="1"/>
    <xf numFmtId="0" fontId="18" fillId="0" borderId="0" xfId="0" applyFont="1" applyBorder="1"/>
    <xf numFmtId="0" fontId="18" fillId="0" borderId="0" xfId="0" applyFont="1"/>
    <xf numFmtId="14" fontId="19" fillId="5" borderId="9" xfId="1" applyNumberFormat="1" applyFont="1" applyFill="1" applyBorder="1"/>
    <xf numFmtId="14" fontId="19" fillId="0" borderId="9" xfId="1" applyNumberFormat="1" applyFont="1" applyFill="1" applyBorder="1"/>
    <xf numFmtId="14" fontId="19" fillId="0" borderId="0" xfId="1" applyNumberFormat="1" applyFont="1" applyFill="1" applyBorder="1"/>
    <xf numFmtId="0" fontId="17" fillId="0" borderId="0" xfId="0" applyFont="1" applyBorder="1"/>
    <xf numFmtId="0" fontId="17" fillId="0" borderId="0" xfId="0" applyFont="1" applyBorder="1" applyAlignment="1">
      <alignment horizontal="center"/>
    </xf>
    <xf numFmtId="0" fontId="17" fillId="0" borderId="0" xfId="0" applyFont="1" applyBorder="1" applyAlignment="1"/>
    <xf numFmtId="0" fontId="18" fillId="0" borderId="0" xfId="0" applyFont="1" applyBorder="1" applyAlignment="1"/>
    <xf numFmtId="0" fontId="18" fillId="0" borderId="0" xfId="0" applyFont="1" applyBorder="1" applyAlignment="1">
      <alignment wrapText="1"/>
    </xf>
    <xf numFmtId="168" fontId="18" fillId="0" borderId="1" xfId="1" applyNumberFormat="1" applyFont="1" applyBorder="1" applyAlignment="1">
      <alignment horizontal="center"/>
    </xf>
    <xf numFmtId="168" fontId="18" fillId="5" borderId="1" xfId="1" applyNumberFormat="1" applyFont="1" applyFill="1" applyBorder="1" applyAlignment="1">
      <alignment horizontal="center"/>
    </xf>
    <xf numFmtId="0" fontId="18" fillId="0" borderId="0" xfId="0" applyFont="1" applyBorder="1" applyAlignment="1">
      <alignment horizontal="center" wrapText="1"/>
    </xf>
    <xf numFmtId="0" fontId="18" fillId="0" borderId="0" xfId="0" quotePrefix="1" applyFont="1" applyBorder="1" applyAlignment="1">
      <alignment horizontal="center" wrapText="1"/>
    </xf>
    <xf numFmtId="0" fontId="18" fillId="0" borderId="0" xfId="0" quotePrefix="1" applyFont="1" applyBorder="1" applyAlignment="1">
      <alignment wrapText="1"/>
    </xf>
    <xf numFmtId="168" fontId="18" fillId="5" borderId="0" xfId="1" applyNumberFormat="1" applyFont="1" applyFill="1"/>
    <xf numFmtId="5" fontId="18" fillId="0" borderId="5" xfId="1" applyNumberFormat="1" applyFont="1" applyFill="1" applyBorder="1"/>
    <xf numFmtId="5" fontId="18" fillId="5" borderId="5" xfId="1" applyNumberFormat="1" applyFont="1" applyFill="1" applyBorder="1"/>
    <xf numFmtId="0" fontId="18" fillId="5" borderId="5" xfId="0" applyFont="1" applyFill="1" applyBorder="1"/>
    <xf numFmtId="0" fontId="18" fillId="0" borderId="5" xfId="0" applyFont="1" applyBorder="1"/>
    <xf numFmtId="9" fontId="18" fillId="0" borderId="0" xfId="1" applyNumberFormat="1" applyFont="1" applyBorder="1"/>
    <xf numFmtId="9" fontId="18" fillId="0" borderId="0" xfId="9" applyFont="1" applyBorder="1"/>
    <xf numFmtId="166" fontId="18" fillId="0" borderId="0" xfId="0" applyNumberFormat="1" applyFont="1" applyBorder="1"/>
    <xf numFmtId="10" fontId="18" fillId="0" borderId="0" xfId="0" applyNumberFormat="1" applyFont="1" applyBorder="1"/>
    <xf numFmtId="164" fontId="18" fillId="5" borderId="5" xfId="0" applyNumberFormat="1" applyFont="1" applyFill="1" applyBorder="1"/>
    <xf numFmtId="168" fontId="18" fillId="0" borderId="5" xfId="1" applyNumberFormat="1" applyFont="1" applyFill="1" applyBorder="1"/>
    <xf numFmtId="168" fontId="20" fillId="0" borderId="0" xfId="1" applyNumberFormat="1" applyFont="1" applyAlignment="1">
      <alignment horizontal="center"/>
    </xf>
    <xf numFmtId="168" fontId="18" fillId="5" borderId="1" xfId="1" applyNumberFormat="1" applyFont="1" applyFill="1" applyBorder="1" applyAlignment="1">
      <alignment horizontal="center" wrapText="1"/>
    </xf>
    <xf numFmtId="168" fontId="18" fillId="0" borderId="1" xfId="1" applyNumberFormat="1" applyFont="1" applyBorder="1" applyAlignment="1">
      <alignment horizontal="center" wrapText="1"/>
    </xf>
    <xf numFmtId="0" fontId="10" fillId="0" borderId="0" xfId="0" applyFont="1"/>
    <xf numFmtId="0" fontId="11" fillId="0" borderId="0" xfId="0" applyFont="1"/>
    <xf numFmtId="166" fontId="9" fillId="0" borderId="0" xfId="5" applyNumberFormat="1" applyFont="1" applyBorder="1"/>
    <xf numFmtId="0" fontId="10" fillId="0" borderId="0" xfId="0" applyFont="1" applyAlignment="1">
      <alignment wrapText="1"/>
    </xf>
    <xf numFmtId="10" fontId="0" fillId="0" borderId="0" xfId="0" applyNumberFormat="1"/>
    <xf numFmtId="0" fontId="13" fillId="0" borderId="0" xfId="0" applyFont="1"/>
    <xf numFmtId="0" fontId="9" fillId="0" borderId="0" xfId="16" quotePrefix="1" applyFont="1" applyAlignment="1"/>
    <xf numFmtId="14" fontId="21" fillId="0" borderId="0" xfId="0" applyNumberFormat="1" applyFont="1"/>
    <xf numFmtId="164" fontId="10" fillId="0" borderId="0" xfId="16" applyNumberFormat="1" applyFont="1"/>
    <xf numFmtId="164" fontId="12" fillId="0" borderId="0" xfId="16" applyNumberFormat="1" applyFont="1" applyFill="1"/>
    <xf numFmtId="0" fontId="10" fillId="0" borderId="0" xfId="16" applyFill="1"/>
    <xf numFmtId="0" fontId="9" fillId="0" borderId="0" xfId="16" applyFont="1" applyFill="1" applyAlignment="1"/>
    <xf numFmtId="0" fontId="9" fillId="0" borderId="0" xfId="15" applyFont="1" applyAlignment="1">
      <alignment horizontal="center"/>
    </xf>
    <xf numFmtId="0" fontId="9" fillId="0" borderId="0" xfId="15" applyFont="1" applyAlignment="1">
      <alignment horizontal="center" wrapText="1"/>
    </xf>
    <xf numFmtId="0" fontId="9" fillId="0" borderId="0" xfId="15" applyFont="1" applyFill="1" applyBorder="1" applyAlignment="1">
      <alignment horizontal="center" wrapText="1"/>
    </xf>
    <xf numFmtId="0" fontId="9" fillId="0" borderId="0" xfId="15" applyFont="1"/>
    <xf numFmtId="0" fontId="6" fillId="0" borderId="0" xfId="15"/>
    <xf numFmtId="164" fontId="6" fillId="0" borderId="0" xfId="15" applyNumberFormat="1"/>
    <xf numFmtId="165" fontId="6" fillId="0" borderId="0" xfId="15" applyNumberFormat="1"/>
    <xf numFmtId="164" fontId="6" fillId="0" borderId="0" xfId="15" applyNumberFormat="1" applyBorder="1"/>
    <xf numFmtId="164" fontId="6" fillId="0" borderId="0" xfId="15" applyNumberFormat="1" applyFill="1" applyAlignment="1">
      <alignment wrapText="1"/>
    </xf>
    <xf numFmtId="164" fontId="22" fillId="0" borderId="0" xfId="15" applyNumberFormat="1" applyFont="1"/>
    <xf numFmtId="0" fontId="6" fillId="0" borderId="0" xfId="15" applyFill="1" applyAlignment="1">
      <alignment wrapText="1"/>
    </xf>
    <xf numFmtId="0" fontId="6" fillId="0" borderId="0" xfId="15" applyFill="1"/>
    <xf numFmtId="164" fontId="9" fillId="0" borderId="0" xfId="15" applyNumberFormat="1" applyFont="1"/>
    <xf numFmtId="164" fontId="9" fillId="0" borderId="4" xfId="15" applyNumberFormat="1" applyFont="1" applyBorder="1"/>
    <xf numFmtId="0" fontId="17" fillId="0" borderId="6" xfId="0" applyFont="1" applyBorder="1"/>
    <xf numFmtId="0" fontId="3" fillId="0" borderId="0" xfId="15" applyFont="1"/>
    <xf numFmtId="0" fontId="3" fillId="0" borderId="0" xfId="15" quotePrefix="1" applyFont="1"/>
    <xf numFmtId="0" fontId="9" fillId="0" borderId="0" xfId="15" applyFont="1" applyFill="1" applyAlignment="1">
      <alignment horizontal="center" wrapText="1"/>
    </xf>
    <xf numFmtId="164" fontId="0" fillId="0" borderId="0" xfId="0" applyNumberFormat="1"/>
    <xf numFmtId="164" fontId="0" fillId="0" borderId="4" xfId="0" applyNumberFormat="1" applyBorder="1"/>
    <xf numFmtId="164" fontId="6" fillId="0" borderId="3" xfId="15" applyNumberFormat="1" applyBorder="1"/>
    <xf numFmtId="164" fontId="0" fillId="0" borderId="3" xfId="0" applyNumberFormat="1" applyBorder="1"/>
    <xf numFmtId="0" fontId="0" fillId="0" borderId="0" xfId="0" applyAlignment="1">
      <alignment shrinkToFit="1"/>
    </xf>
    <xf numFmtId="0" fontId="23" fillId="0" borderId="0" xfId="31" applyFont="1"/>
    <xf numFmtId="0" fontId="23" fillId="0" borderId="0" xfId="31" applyFont="1" applyAlignment="1">
      <alignment horizontal="center"/>
    </xf>
    <xf numFmtId="0" fontId="16" fillId="0" borderId="0" xfId="31" applyFont="1" applyAlignment="1">
      <alignment horizontal="center"/>
    </xf>
    <xf numFmtId="0" fontId="23" fillId="0" borderId="0" xfId="31" applyFont="1" applyAlignment="1">
      <alignment vertical="center"/>
    </xf>
    <xf numFmtId="168" fontId="23" fillId="0" borderId="0" xfId="1" applyNumberFormat="1" applyFont="1"/>
    <xf numFmtId="168" fontId="16" fillId="0" borderId="0" xfId="1" applyNumberFormat="1" applyFont="1" applyAlignment="1">
      <alignment horizontal="center" vertical="center" wrapText="1"/>
    </xf>
    <xf numFmtId="0" fontId="16" fillId="6" borderId="0" xfId="31" applyFont="1" applyFill="1"/>
    <xf numFmtId="168" fontId="16" fillId="0" borderId="0" xfId="1" applyNumberFormat="1" applyFont="1" applyAlignment="1">
      <alignment horizontal="center" wrapText="1"/>
    </xf>
    <xf numFmtId="169" fontId="16" fillId="0" borderId="0" xfId="31" applyNumberFormat="1" applyFont="1"/>
    <xf numFmtId="169" fontId="16" fillId="6" borderId="0" xfId="31" applyNumberFormat="1" applyFont="1" applyFill="1"/>
    <xf numFmtId="168" fontId="16" fillId="0" borderId="0" xfId="1" applyNumberFormat="1" applyFont="1"/>
    <xf numFmtId="169" fontId="16" fillId="0" borderId="0" xfId="3" applyNumberFormat="1" applyFont="1" applyBorder="1"/>
    <xf numFmtId="169" fontId="16" fillId="6" borderId="0" xfId="3" applyNumberFormat="1" applyFont="1" applyFill="1" applyBorder="1"/>
    <xf numFmtId="169" fontId="16" fillId="0" borderId="11" xfId="3" applyNumberFormat="1" applyFont="1" applyBorder="1"/>
    <xf numFmtId="0" fontId="22" fillId="0" borderId="0" xfId="31" applyFont="1" applyAlignment="1">
      <alignment wrapText="1"/>
    </xf>
    <xf numFmtId="0" fontId="16" fillId="0" borderId="0" xfId="31" applyFont="1" applyAlignment="1">
      <alignment horizontal="center" wrapText="1"/>
    </xf>
    <xf numFmtId="0" fontId="22" fillId="6" borderId="0" xfId="31" applyFont="1" applyFill="1" applyAlignment="1">
      <alignment wrapText="1"/>
    </xf>
    <xf numFmtId="0" fontId="16" fillId="0" borderId="11" xfId="31" applyFont="1" applyBorder="1" applyAlignment="1">
      <alignment horizontal="center" wrapText="1"/>
    </xf>
    <xf numFmtId="0" fontId="16" fillId="6" borderId="0" xfId="31" applyFont="1" applyFill="1" applyBorder="1" applyAlignment="1">
      <alignment horizontal="center" wrapText="1"/>
    </xf>
    <xf numFmtId="0" fontId="22" fillId="0" borderId="0" xfId="31" applyFont="1" applyAlignment="1">
      <alignment horizontal="right"/>
    </xf>
    <xf numFmtId="0" fontId="22" fillId="0" borderId="0" xfId="31" applyFont="1"/>
    <xf numFmtId="0" fontId="22" fillId="6" borderId="0" xfId="31" applyFont="1" applyFill="1"/>
    <xf numFmtId="169" fontId="16" fillId="0" borderId="0" xfId="3" applyNumberFormat="1" applyFont="1"/>
    <xf numFmtId="169" fontId="16" fillId="6" borderId="0" xfId="3" applyNumberFormat="1" applyFont="1" applyFill="1"/>
    <xf numFmtId="0" fontId="24" fillId="0" borderId="0" xfId="31" applyFont="1" applyAlignment="1">
      <alignment horizontal="right"/>
    </xf>
    <xf numFmtId="169" fontId="22" fillId="0" borderId="12" xfId="3" applyNumberFormat="1" applyFont="1" applyBorder="1"/>
    <xf numFmtId="169" fontId="22" fillId="6" borderId="0" xfId="3" applyNumberFormat="1" applyFont="1" applyFill="1" applyBorder="1"/>
    <xf numFmtId="169" fontId="22" fillId="0" borderId="0" xfId="3" applyNumberFormat="1" applyFont="1" applyBorder="1"/>
    <xf numFmtId="0" fontId="24" fillId="0" borderId="0" xfId="31" applyFont="1" applyBorder="1" applyAlignment="1">
      <alignment horizontal="right"/>
    </xf>
    <xf numFmtId="0" fontId="22" fillId="0" borderId="0" xfId="31" applyFont="1" applyBorder="1"/>
    <xf numFmtId="0" fontId="22" fillId="6" borderId="0" xfId="31" applyFont="1" applyFill="1" applyBorder="1"/>
    <xf numFmtId="0" fontId="22" fillId="0" borderId="0" xfId="31" applyFont="1" applyBorder="1" applyAlignment="1">
      <alignment horizontal="right"/>
    </xf>
    <xf numFmtId="168" fontId="25" fillId="0" borderId="0" xfId="1" applyNumberFormat="1" applyFont="1" applyBorder="1"/>
    <xf numFmtId="168" fontId="25" fillId="6" borderId="0" xfId="1" applyNumberFormat="1" applyFont="1" applyFill="1" applyBorder="1"/>
    <xf numFmtId="0" fontId="22" fillId="6" borderId="0" xfId="31" applyFont="1" applyFill="1" applyBorder="1" applyAlignment="1">
      <alignment horizontal="center"/>
    </xf>
    <xf numFmtId="0" fontId="22" fillId="0" borderId="0" xfId="31" applyFont="1" applyBorder="1" applyAlignment="1">
      <alignment horizontal="center"/>
    </xf>
    <xf numFmtId="168" fontId="25" fillId="0" borderId="0" xfId="1" applyNumberFormat="1" applyFont="1" applyBorder="1" applyAlignment="1">
      <alignment horizontal="center"/>
    </xf>
    <xf numFmtId="168" fontId="25" fillId="6" borderId="0" xfId="1" applyNumberFormat="1" applyFont="1" applyFill="1" applyBorder="1" applyAlignment="1">
      <alignment horizontal="center"/>
    </xf>
    <xf numFmtId="9" fontId="22" fillId="0" borderId="0" xfId="31" applyNumberFormat="1" applyFont="1"/>
    <xf numFmtId="169" fontId="22" fillId="6" borderId="0" xfId="31" applyNumberFormat="1" applyFont="1" applyFill="1"/>
    <xf numFmtId="169" fontId="22" fillId="0" borderId="13" xfId="3" applyNumberFormat="1" applyFont="1" applyBorder="1"/>
    <xf numFmtId="168" fontId="18" fillId="0" borderId="0" xfId="1" applyNumberFormat="1" applyFont="1" applyAlignment="1">
      <alignment horizontal="center"/>
    </xf>
    <xf numFmtId="168" fontId="18" fillId="0" borderId="9" xfId="1" applyNumberFormat="1" applyFont="1" applyBorder="1" applyAlignment="1">
      <alignment horizontal="center"/>
    </xf>
    <xf numFmtId="44" fontId="22" fillId="0" borderId="0" xfId="31" applyNumberFormat="1" applyFont="1"/>
    <xf numFmtId="0" fontId="18" fillId="0" borderId="0" xfId="0" quotePrefix="1" applyFont="1" applyAlignment="1">
      <alignment wrapText="1"/>
    </xf>
    <xf numFmtId="166" fontId="0" fillId="3" borderId="1" xfId="0" applyNumberFormat="1" applyFill="1" applyBorder="1"/>
    <xf numFmtId="166" fontId="0" fillId="3" borderId="0" xfId="0" applyNumberFormat="1" applyFill="1"/>
    <xf numFmtId="164" fontId="9" fillId="3" borderId="4" xfId="5" applyNumberFormat="1" applyFont="1" applyFill="1" applyBorder="1"/>
    <xf numFmtId="164" fontId="10" fillId="3" borderId="4" xfId="16" applyNumberFormat="1" applyFill="1" applyBorder="1"/>
    <xf numFmtId="164" fontId="9" fillId="3" borderId="4" xfId="15" applyNumberFormat="1" applyFont="1" applyFill="1" applyBorder="1"/>
    <xf numFmtId="164" fontId="13" fillId="0" borderId="0" xfId="16" applyNumberFormat="1" applyFont="1" applyFill="1"/>
    <xf numFmtId="10" fontId="10" fillId="0" borderId="0" xfId="16" applyNumberFormat="1" applyFill="1" applyBorder="1"/>
    <xf numFmtId="9" fontId="10" fillId="0" borderId="0" xfId="16" applyNumberFormat="1" applyFill="1" applyBorder="1"/>
    <xf numFmtId="166" fontId="10" fillId="0" borderId="0" xfId="16" applyNumberFormat="1" applyBorder="1"/>
    <xf numFmtId="166" fontId="13" fillId="0" borderId="0" xfId="16" applyNumberFormat="1" applyFont="1"/>
    <xf numFmtId="0" fontId="2" fillId="0" borderId="0" xfId="15" applyFont="1"/>
    <xf numFmtId="0" fontId="0" fillId="0" borderId="0" xfId="15" applyFont="1"/>
    <xf numFmtId="164" fontId="12" fillId="0" borderId="0" xfId="0" applyNumberFormat="1" applyFont="1"/>
    <xf numFmtId="164" fontId="13" fillId="0" borderId="0" xfId="0" applyNumberFormat="1" applyFont="1"/>
    <xf numFmtId="165" fontId="8" fillId="0" borderId="0" xfId="15" applyNumberFormat="1" applyFont="1"/>
    <xf numFmtId="0" fontId="12" fillId="8" borderId="0" xfId="0" applyFont="1" applyFill="1"/>
    <xf numFmtId="0" fontId="10" fillId="0" borderId="0" xfId="0" quotePrefix="1" applyFont="1"/>
    <xf numFmtId="0" fontId="0" fillId="7" borderId="0" xfId="0" applyFill="1"/>
    <xf numFmtId="164" fontId="28" fillId="0" borderId="0" xfId="15" applyNumberFormat="1" applyFont="1"/>
    <xf numFmtId="164" fontId="8" fillId="0" borderId="0" xfId="15" applyNumberFormat="1" applyFont="1"/>
    <xf numFmtId="164" fontId="21" fillId="0" borderId="4" xfId="0" applyNumberFormat="1" applyFont="1" applyFill="1" applyBorder="1"/>
    <xf numFmtId="166" fontId="13" fillId="0" borderId="4" xfId="16" applyNumberFormat="1" applyFont="1" applyFill="1" applyBorder="1"/>
    <xf numFmtId="166" fontId="29" fillId="0" borderId="0" xfId="16" applyNumberFormat="1" applyFont="1"/>
    <xf numFmtId="166" fontId="21" fillId="0" borderId="4" xfId="16" applyNumberFormat="1" applyFont="1" applyBorder="1"/>
    <xf numFmtId="166" fontId="0" fillId="0" borderId="1" xfId="0" applyNumberFormat="1" applyFill="1" applyBorder="1"/>
    <xf numFmtId="166" fontId="11" fillId="0" borderId="1" xfId="0" applyNumberFormat="1" applyFont="1" applyFill="1" applyBorder="1"/>
    <xf numFmtId="166" fontId="13" fillId="0" borderId="0" xfId="0" applyNumberFormat="1" applyFont="1"/>
    <xf numFmtId="166" fontId="11" fillId="3" borderId="1" xfId="0" applyNumberFormat="1" applyFont="1" applyFill="1" applyBorder="1"/>
    <xf numFmtId="166" fontId="0" fillId="3" borderId="3" xfId="0" applyNumberFormat="1" applyFill="1" applyBorder="1"/>
    <xf numFmtId="0" fontId="24" fillId="0" borderId="0" xfId="31" applyFont="1" applyFill="1" applyAlignment="1">
      <alignment horizontal="right"/>
    </xf>
    <xf numFmtId="0" fontId="22" fillId="0" borderId="0" xfId="31" applyFont="1" applyFill="1" applyAlignment="1">
      <alignment horizontal="right"/>
    </xf>
    <xf numFmtId="170" fontId="22" fillId="0" borderId="0" xfId="31" applyNumberFormat="1" applyFont="1" applyFill="1" applyAlignment="1">
      <alignment horizontal="right"/>
    </xf>
    <xf numFmtId="0" fontId="22" fillId="0" borderId="0" xfId="31" applyFont="1" applyFill="1"/>
    <xf numFmtId="0" fontId="24" fillId="0" borderId="0" xfId="31" applyFont="1" applyFill="1" applyBorder="1" applyAlignment="1">
      <alignment horizontal="right"/>
    </xf>
    <xf numFmtId="0" fontId="22" fillId="0" borderId="0" xfId="31" applyFont="1" applyFill="1" applyBorder="1" applyAlignment="1">
      <alignment horizontal="right"/>
    </xf>
    <xf numFmtId="166" fontId="9" fillId="0" borderId="4" xfId="5" applyNumberFormat="1" applyFont="1" applyBorder="1"/>
    <xf numFmtId="0" fontId="1" fillId="0" borderId="0" xfId="15" applyFont="1"/>
    <xf numFmtId="166" fontId="12" fillId="0" borderId="0" xfId="16" applyNumberFormat="1" applyFont="1" applyFill="1"/>
    <xf numFmtId="168" fontId="18" fillId="9" borderId="0" xfId="1" applyNumberFormat="1" applyFont="1" applyFill="1" applyAlignment="1">
      <alignment horizontal="center"/>
    </xf>
    <xf numFmtId="168" fontId="18" fillId="9" borderId="1" xfId="1" applyNumberFormat="1" applyFont="1" applyFill="1" applyBorder="1" applyAlignment="1">
      <alignment horizontal="center" wrapText="1"/>
    </xf>
    <xf numFmtId="166" fontId="11" fillId="9" borderId="1" xfId="0" applyNumberFormat="1" applyFont="1" applyFill="1" applyBorder="1"/>
    <xf numFmtId="164" fontId="17" fillId="5" borderId="5" xfId="0" applyNumberFormat="1" applyFont="1" applyFill="1" applyBorder="1"/>
    <xf numFmtId="166" fontId="14" fillId="9" borderId="1" xfId="0" applyNumberFormat="1" applyFont="1" applyFill="1" applyBorder="1"/>
    <xf numFmtId="5" fontId="17" fillId="5" borderId="5" xfId="1" applyNumberFormat="1" applyFont="1" applyFill="1" applyBorder="1"/>
    <xf numFmtId="166" fontId="5" fillId="9" borderId="3" xfId="5" applyNumberFormat="1" applyFont="1" applyFill="1" applyBorder="1"/>
    <xf numFmtId="166" fontId="0" fillId="9" borderId="0" xfId="0" applyNumberFormat="1" applyFill="1"/>
    <xf numFmtId="166" fontId="10" fillId="9" borderId="4" xfId="16" applyNumberFormat="1" applyFill="1" applyBorder="1"/>
    <xf numFmtId="10" fontId="13" fillId="0" borderId="0" xfId="32" applyNumberFormat="1" applyFont="1" applyFill="1"/>
    <xf numFmtId="164" fontId="11" fillId="9" borderId="4" xfId="0" applyNumberFormat="1" applyFont="1" applyFill="1" applyBorder="1"/>
    <xf numFmtId="164" fontId="21" fillId="9" borderId="4" xfId="0" applyNumberFormat="1" applyFont="1" applyFill="1" applyBorder="1"/>
    <xf numFmtId="169" fontId="22" fillId="9" borderId="12" xfId="3" applyNumberFormat="1" applyFont="1" applyFill="1" applyBorder="1"/>
    <xf numFmtId="0" fontId="33" fillId="0" borderId="0" xfId="0" applyFont="1"/>
    <xf numFmtId="166" fontId="21" fillId="9" borderId="4" xfId="16" applyNumberFormat="1" applyFont="1" applyFill="1" applyBorder="1"/>
    <xf numFmtId="0" fontId="10" fillId="0" borderId="0" xfId="0" applyFont="1" applyAlignment="1">
      <alignment vertical="top" wrapText="1"/>
    </xf>
    <xf numFmtId="166" fontId="11" fillId="9" borderId="14" xfId="0" applyNumberFormat="1" applyFont="1" applyFill="1" applyBorder="1"/>
    <xf numFmtId="0" fontId="11" fillId="0" borderId="0" xfId="0" applyFont="1" applyAlignment="1">
      <alignment horizontal="right"/>
    </xf>
    <xf numFmtId="169" fontId="21" fillId="9" borderId="0" xfId="33" applyNumberFormat="1" applyFont="1" applyFill="1" applyBorder="1"/>
    <xf numFmtId="0" fontId="11" fillId="0" borderId="0" xfId="0" quotePrefix="1" applyFont="1"/>
    <xf numFmtId="0" fontId="18" fillId="0" borderId="0" xfId="0" applyFont="1" applyFill="1"/>
    <xf numFmtId="0" fontId="18" fillId="0" borderId="0" xfId="0" applyFont="1" applyFill="1" applyBorder="1"/>
    <xf numFmtId="7" fontId="18" fillId="0" borderId="0" xfId="0" applyNumberFormat="1" applyFont="1" applyFill="1"/>
    <xf numFmtId="43" fontId="18" fillId="0" borderId="0" xfId="0" applyNumberFormat="1" applyFont="1" applyFill="1"/>
    <xf numFmtId="168" fontId="18" fillId="0" borderId="0" xfId="0" applyNumberFormat="1" applyFont="1" applyFill="1"/>
    <xf numFmtId="0" fontId="11" fillId="0" borderId="0" xfId="4" applyFont="1" applyAlignment="1">
      <alignment horizontal="center" wrapText="1"/>
    </xf>
    <xf numFmtId="0" fontId="26" fillId="0" borderId="0" xfId="31" applyFont="1" applyAlignment="1">
      <alignment horizontal="center"/>
    </xf>
    <xf numFmtId="0" fontId="18" fillId="0" borderId="0" xfId="0" quotePrefix="1" applyFont="1" applyAlignment="1">
      <alignment horizontal="left" wrapText="1"/>
    </xf>
    <xf numFmtId="14" fontId="17" fillId="5" borderId="10" xfId="0" applyNumberFormat="1" applyFont="1" applyFill="1" applyBorder="1" applyAlignment="1">
      <alignment horizontal="center" wrapText="1"/>
    </xf>
    <xf numFmtId="0" fontId="17" fillId="5" borderId="5" xfId="0" applyFont="1" applyFill="1" applyBorder="1" applyAlignment="1">
      <alignment horizontal="center" wrapText="1"/>
    </xf>
    <xf numFmtId="0" fontId="17" fillId="5" borderId="6" xfId="0" applyFont="1" applyFill="1" applyBorder="1" applyAlignment="1">
      <alignment horizontal="center" wrapText="1"/>
    </xf>
    <xf numFmtId="0" fontId="17" fillId="0" borderId="10" xfId="0" applyFont="1" applyFill="1" applyBorder="1" applyAlignment="1">
      <alignment horizontal="center" wrapText="1"/>
    </xf>
    <xf numFmtId="0" fontId="17" fillId="0" borderId="5" xfId="0" applyFont="1" applyFill="1" applyBorder="1" applyAlignment="1">
      <alignment horizontal="center" wrapText="1"/>
    </xf>
    <xf numFmtId="0" fontId="17" fillId="0" borderId="6" xfId="0" applyFont="1" applyFill="1" applyBorder="1" applyAlignment="1">
      <alignment horizontal="center" wrapText="1"/>
    </xf>
    <xf numFmtId="0" fontId="17" fillId="5" borderId="10" xfId="0" applyFont="1" applyFill="1" applyBorder="1" applyAlignment="1">
      <alignment horizontal="center" wrapText="1"/>
    </xf>
    <xf numFmtId="0" fontId="17" fillId="4" borderId="7" xfId="0" applyFont="1" applyFill="1" applyBorder="1" applyAlignment="1">
      <alignment horizontal="center"/>
    </xf>
    <xf numFmtId="0" fontId="17" fillId="4" borderId="8" xfId="0" applyFont="1" applyFill="1" applyBorder="1" applyAlignment="1">
      <alignment horizontal="center"/>
    </xf>
    <xf numFmtId="168" fontId="27" fillId="0" borderId="11" xfId="1" applyNumberFormat="1" applyFont="1" applyBorder="1" applyAlignment="1">
      <alignment horizontal="center"/>
    </xf>
    <xf numFmtId="0" fontId="11" fillId="9" borderId="0" xfId="0" applyFont="1" applyFill="1" applyAlignment="1">
      <alignment horizontal="center"/>
    </xf>
    <xf numFmtId="0" fontId="11" fillId="0" borderId="0" xfId="0" applyFont="1" applyAlignment="1">
      <alignment horizontal="center"/>
    </xf>
    <xf numFmtId="0" fontId="9" fillId="0" borderId="0" xfId="16" applyFont="1" applyAlignment="1">
      <alignment horizontal="center"/>
    </xf>
    <xf numFmtId="0" fontId="9" fillId="0" borderId="0" xfId="20" applyFont="1" applyAlignment="1">
      <alignment horizontal="center"/>
    </xf>
    <xf numFmtId="0" fontId="10" fillId="9" borderId="15" xfId="0" applyFont="1" applyFill="1" applyBorder="1" applyAlignment="1">
      <alignment horizontal="left" vertical="top" wrapText="1"/>
    </xf>
    <xf numFmtId="0" fontId="10" fillId="9" borderId="16" xfId="0" applyFont="1" applyFill="1" applyBorder="1" applyAlignment="1">
      <alignment horizontal="left" vertical="top" wrapText="1"/>
    </xf>
    <xf numFmtId="0" fontId="10" fillId="9" borderId="17" xfId="0" applyFont="1" applyFill="1" applyBorder="1" applyAlignment="1">
      <alignment horizontal="left" vertical="top" wrapText="1"/>
    </xf>
    <xf numFmtId="0" fontId="10" fillId="9" borderId="18" xfId="0" applyFont="1" applyFill="1" applyBorder="1" applyAlignment="1">
      <alignment horizontal="left" vertical="top" wrapText="1"/>
    </xf>
    <xf numFmtId="0" fontId="10" fillId="9" borderId="0" xfId="0" applyFont="1" applyFill="1" applyBorder="1" applyAlignment="1">
      <alignment horizontal="left" vertical="top" wrapText="1"/>
    </xf>
    <xf numFmtId="0" fontId="10" fillId="9" borderId="19" xfId="0" applyFont="1" applyFill="1" applyBorder="1" applyAlignment="1">
      <alignment horizontal="left" vertical="top" wrapText="1"/>
    </xf>
    <xf numFmtId="0" fontId="10" fillId="9" borderId="20" xfId="0" applyFont="1" applyFill="1" applyBorder="1" applyAlignment="1">
      <alignment horizontal="left" vertical="top" wrapText="1"/>
    </xf>
    <xf numFmtId="0" fontId="10" fillId="9" borderId="11" xfId="0" applyFont="1" applyFill="1" applyBorder="1" applyAlignment="1">
      <alignment horizontal="left" vertical="top" wrapText="1"/>
    </xf>
    <xf numFmtId="0" fontId="10" fillId="9" borderId="21" xfId="0" applyFont="1" applyFill="1" applyBorder="1" applyAlignment="1">
      <alignment horizontal="left" vertical="top" wrapText="1"/>
    </xf>
    <xf numFmtId="0" fontId="14" fillId="0" borderId="0" xfId="0" applyFont="1" applyAlignment="1">
      <alignment horizontal="center"/>
    </xf>
    <xf numFmtId="0" fontId="0" fillId="0" borderId="0" xfId="0" applyAlignment="1">
      <alignment horizontal="center"/>
    </xf>
    <xf numFmtId="0" fontId="10" fillId="0" borderId="0" xfId="0" applyFont="1" applyAlignment="1">
      <alignment horizontal="center"/>
    </xf>
  </cellXfs>
  <cellStyles count="34">
    <cellStyle name="Comma 2" xfId="1" xr:uid="{00000000-0005-0000-0000-000000000000}"/>
    <cellStyle name="Comma 2 2" xfId="25" xr:uid="{00000000-0005-0000-0000-000001000000}"/>
    <cellStyle name="Comma 3" xfId="2" xr:uid="{00000000-0005-0000-0000-000002000000}"/>
    <cellStyle name="Comma 3 2" xfId="19" xr:uid="{00000000-0005-0000-0000-000003000000}"/>
    <cellStyle name="Comma 3 3" xfId="11" xr:uid="{00000000-0005-0000-0000-000004000000}"/>
    <cellStyle name="Comma 4" xfId="17" xr:uid="{00000000-0005-0000-0000-000005000000}"/>
    <cellStyle name="Comma 4 2" xfId="26" xr:uid="{00000000-0005-0000-0000-000006000000}"/>
    <cellStyle name="Currency" xfId="33" builtinId="4"/>
    <cellStyle name="Currency 2" xfId="3" xr:uid="{00000000-0005-0000-0000-000007000000}"/>
    <cellStyle name="Currency 2 2" xfId="27" xr:uid="{00000000-0005-0000-0000-000008000000}"/>
    <cellStyle name="Normal" xfId="0" builtinId="0"/>
    <cellStyle name="Normal 2" xfId="4" xr:uid="{00000000-0005-0000-0000-00000A000000}"/>
    <cellStyle name="Normal 2 2" xfId="5" xr:uid="{00000000-0005-0000-0000-00000B000000}"/>
    <cellStyle name="Normal 2 2 2" xfId="20" xr:uid="{00000000-0005-0000-0000-00000C000000}"/>
    <cellStyle name="Normal 2 2 3" xfId="12" xr:uid="{00000000-0005-0000-0000-00000D000000}"/>
    <cellStyle name="Normal 2 3" xfId="29" xr:uid="{00000000-0005-0000-0000-00000E000000}"/>
    <cellStyle name="Normal 3" xfId="6" xr:uid="{00000000-0005-0000-0000-00000F000000}"/>
    <cellStyle name="Normal 3 2" xfId="24" xr:uid="{00000000-0005-0000-0000-000010000000}"/>
    <cellStyle name="Normal 3 3" xfId="21" xr:uid="{00000000-0005-0000-0000-000011000000}"/>
    <cellStyle name="Normal 3 4" xfId="13" xr:uid="{00000000-0005-0000-0000-000012000000}"/>
    <cellStyle name="Normal 4" xfId="7" xr:uid="{00000000-0005-0000-0000-000013000000}"/>
    <cellStyle name="Normal 4 2" xfId="22" xr:uid="{00000000-0005-0000-0000-000014000000}"/>
    <cellStyle name="Normal 4 3" xfId="14" xr:uid="{00000000-0005-0000-0000-000015000000}"/>
    <cellStyle name="Normal 5" xfId="8" xr:uid="{00000000-0005-0000-0000-000016000000}"/>
    <cellStyle name="Normal 5 2" xfId="18" xr:uid="{00000000-0005-0000-0000-000017000000}"/>
    <cellStyle name="Normal 5 3" xfId="10" xr:uid="{00000000-0005-0000-0000-000018000000}"/>
    <cellStyle name="Normal 6" xfId="15" xr:uid="{00000000-0005-0000-0000-000019000000}"/>
    <cellStyle name="Normal 7" xfId="16" xr:uid="{00000000-0005-0000-0000-00001A000000}"/>
    <cellStyle name="Normal_Incent2007recon" xfId="31" xr:uid="{00000000-0005-0000-0000-00001B000000}"/>
    <cellStyle name="Percent" xfId="32" builtinId="5"/>
    <cellStyle name="Percent 2" xfId="9" xr:uid="{00000000-0005-0000-0000-00001C000000}"/>
    <cellStyle name="Percent 2 2" xfId="28" xr:uid="{00000000-0005-0000-0000-00001D000000}"/>
    <cellStyle name="Percent 3" xfId="23" xr:uid="{00000000-0005-0000-0000-00001E000000}"/>
    <cellStyle name="Percent 3 2" xfId="30"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36</xdr:row>
      <xdr:rowOff>19050</xdr:rowOff>
    </xdr:from>
    <xdr:to>
      <xdr:col>3</xdr:col>
      <xdr:colOff>76200</xdr:colOff>
      <xdr:row>37</xdr:row>
      <xdr:rowOff>82550</xdr:rowOff>
    </xdr:to>
    <xdr:sp macro="" textlink="">
      <xdr:nvSpPr>
        <xdr:cNvPr id="16" name="Text Box 1">
          <a:extLst>
            <a:ext uri="{FF2B5EF4-FFF2-40B4-BE49-F238E27FC236}">
              <a16:creationId xmlns:a16="http://schemas.microsoft.com/office/drawing/2014/main" id="{00000000-0008-0000-0000-000010000000}"/>
            </a:ext>
          </a:extLst>
        </xdr:cNvPr>
        <xdr:cNvSpPr txBox="1">
          <a:spLocks noChangeArrowheads="1"/>
        </xdr:cNvSpPr>
      </xdr:nvSpPr>
      <xdr:spPr bwMode="auto">
        <a:xfrm>
          <a:off x="4152900" y="7667625"/>
          <a:ext cx="76200" cy="228600"/>
        </a:xfrm>
        <a:prstGeom prst="rect">
          <a:avLst/>
        </a:prstGeom>
        <a:noFill/>
        <a:ln w="9525">
          <a:noFill/>
          <a:miter lim="800000"/>
          <a:headEnd/>
          <a:tailEnd/>
        </a:ln>
      </xdr:spPr>
    </xdr:sp>
    <xdr:clientData/>
  </xdr:twoCellAnchor>
  <xdr:twoCellAnchor editAs="oneCell">
    <xdr:from>
      <xdr:col>3</xdr:col>
      <xdr:colOff>0</xdr:colOff>
      <xdr:row>37</xdr:row>
      <xdr:rowOff>19050</xdr:rowOff>
    </xdr:from>
    <xdr:to>
      <xdr:col>3</xdr:col>
      <xdr:colOff>76200</xdr:colOff>
      <xdr:row>38</xdr:row>
      <xdr:rowOff>95250</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4152900" y="7858125"/>
          <a:ext cx="76200" cy="238125"/>
        </a:xfrm>
        <a:prstGeom prst="rect">
          <a:avLst/>
        </a:prstGeom>
        <a:noFill/>
        <a:ln w="9525">
          <a:noFill/>
          <a:miter lim="800000"/>
          <a:headEnd/>
          <a:tailEnd/>
        </a:ln>
      </xdr:spPr>
    </xdr:sp>
    <xdr:clientData/>
  </xdr:twoCellAnchor>
  <xdr:twoCellAnchor editAs="oneCell">
    <xdr:from>
      <xdr:col>3</xdr:col>
      <xdr:colOff>0</xdr:colOff>
      <xdr:row>41</xdr:row>
      <xdr:rowOff>19050</xdr:rowOff>
    </xdr:from>
    <xdr:to>
      <xdr:col>3</xdr:col>
      <xdr:colOff>76200</xdr:colOff>
      <xdr:row>42</xdr:row>
      <xdr:rowOff>82550</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4152900" y="8658225"/>
          <a:ext cx="76200" cy="228600"/>
        </a:xfrm>
        <a:prstGeom prst="rect">
          <a:avLst/>
        </a:prstGeom>
        <a:noFill/>
        <a:ln w="9525">
          <a:noFill/>
          <a:miter lim="800000"/>
          <a:headEnd/>
          <a:tailEnd/>
        </a:ln>
      </xdr:spPr>
    </xdr:sp>
    <xdr:clientData/>
  </xdr:twoCellAnchor>
  <xdr:twoCellAnchor editAs="oneCell">
    <xdr:from>
      <xdr:col>3</xdr:col>
      <xdr:colOff>0</xdr:colOff>
      <xdr:row>42</xdr:row>
      <xdr:rowOff>19050</xdr:rowOff>
    </xdr:from>
    <xdr:to>
      <xdr:col>3</xdr:col>
      <xdr:colOff>76200</xdr:colOff>
      <xdr:row>43</xdr:row>
      <xdr:rowOff>95250</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4152900" y="8848725"/>
          <a:ext cx="76200" cy="238125"/>
        </a:xfrm>
        <a:prstGeom prst="rect">
          <a:avLst/>
        </a:prstGeom>
        <a:noFill/>
        <a:ln w="9525">
          <a:noFill/>
          <a:miter lim="800000"/>
          <a:headEnd/>
          <a:tailEnd/>
        </a:ln>
      </xdr:spPr>
    </xdr:sp>
    <xdr:clientData/>
  </xdr:twoCellAnchor>
  <xdr:twoCellAnchor editAs="oneCell">
    <xdr:from>
      <xdr:col>3</xdr:col>
      <xdr:colOff>0</xdr:colOff>
      <xdr:row>42</xdr:row>
      <xdr:rowOff>19050</xdr:rowOff>
    </xdr:from>
    <xdr:to>
      <xdr:col>3</xdr:col>
      <xdr:colOff>76200</xdr:colOff>
      <xdr:row>43</xdr:row>
      <xdr:rowOff>95250</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4152900" y="8848725"/>
          <a:ext cx="76200" cy="238125"/>
        </a:xfrm>
        <a:prstGeom prst="rect">
          <a:avLst/>
        </a:prstGeom>
        <a:noFill/>
        <a:ln w="9525">
          <a:noFill/>
          <a:miter lim="800000"/>
          <a:headEnd/>
          <a:tailEnd/>
        </a:ln>
      </xdr:spPr>
    </xdr:sp>
    <xdr:clientData/>
  </xdr:twoCellAnchor>
  <xdr:twoCellAnchor editAs="oneCell">
    <xdr:from>
      <xdr:col>3</xdr:col>
      <xdr:colOff>0</xdr:colOff>
      <xdr:row>37</xdr:row>
      <xdr:rowOff>19050</xdr:rowOff>
    </xdr:from>
    <xdr:to>
      <xdr:col>3</xdr:col>
      <xdr:colOff>76200</xdr:colOff>
      <xdr:row>38</xdr:row>
      <xdr:rowOff>95250</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4152900" y="7858125"/>
          <a:ext cx="76200" cy="238125"/>
        </a:xfrm>
        <a:prstGeom prst="rect">
          <a:avLst/>
        </a:prstGeom>
        <a:noFill/>
        <a:ln w="9525">
          <a:noFill/>
          <a:miter lim="800000"/>
          <a:headEnd/>
          <a:tailEnd/>
        </a:ln>
      </xdr:spPr>
    </xdr:sp>
    <xdr:clientData/>
  </xdr:twoCellAnchor>
  <xdr:twoCellAnchor editAs="oneCell">
    <xdr:from>
      <xdr:col>3</xdr:col>
      <xdr:colOff>0</xdr:colOff>
      <xdr:row>37</xdr:row>
      <xdr:rowOff>19050</xdr:rowOff>
    </xdr:from>
    <xdr:to>
      <xdr:col>3</xdr:col>
      <xdr:colOff>76200</xdr:colOff>
      <xdr:row>38</xdr:row>
      <xdr:rowOff>95250</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4152900" y="7858125"/>
          <a:ext cx="76200" cy="238125"/>
        </a:xfrm>
        <a:prstGeom prst="rect">
          <a:avLst/>
        </a:prstGeom>
        <a:noFill/>
        <a:ln w="9525">
          <a:noFill/>
          <a:miter lim="800000"/>
          <a:headEnd/>
          <a:tailEnd/>
        </a:ln>
      </xdr:spPr>
    </xdr:sp>
    <xdr:clientData/>
  </xdr:twoCellAnchor>
  <xdr:twoCellAnchor editAs="oneCell">
    <xdr:from>
      <xdr:col>5</xdr:col>
      <xdr:colOff>0</xdr:colOff>
      <xdr:row>36</xdr:row>
      <xdr:rowOff>19050</xdr:rowOff>
    </xdr:from>
    <xdr:to>
      <xdr:col>5</xdr:col>
      <xdr:colOff>76200</xdr:colOff>
      <xdr:row>37</xdr:row>
      <xdr:rowOff>82550</xdr:rowOff>
    </xdr:to>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5172075" y="7667625"/>
          <a:ext cx="76200" cy="228600"/>
        </a:xfrm>
        <a:prstGeom prst="rect">
          <a:avLst/>
        </a:prstGeom>
        <a:noFill/>
        <a:ln w="9525">
          <a:noFill/>
          <a:miter lim="800000"/>
          <a:headEnd/>
          <a:tailEnd/>
        </a:ln>
      </xdr:spPr>
    </xdr:sp>
    <xdr:clientData/>
  </xdr:twoCellAnchor>
  <xdr:twoCellAnchor editAs="oneCell">
    <xdr:from>
      <xdr:col>5</xdr:col>
      <xdr:colOff>0</xdr:colOff>
      <xdr:row>37</xdr:row>
      <xdr:rowOff>19050</xdr:rowOff>
    </xdr:from>
    <xdr:to>
      <xdr:col>5</xdr:col>
      <xdr:colOff>76200</xdr:colOff>
      <xdr:row>38</xdr:row>
      <xdr:rowOff>95250</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5172075" y="7858125"/>
          <a:ext cx="76200" cy="238125"/>
        </a:xfrm>
        <a:prstGeom prst="rect">
          <a:avLst/>
        </a:prstGeom>
        <a:noFill/>
        <a:ln w="9525">
          <a:noFill/>
          <a:miter lim="800000"/>
          <a:headEnd/>
          <a:tailEnd/>
        </a:ln>
      </xdr:spPr>
    </xdr:sp>
    <xdr:clientData/>
  </xdr:twoCellAnchor>
  <xdr:twoCellAnchor editAs="oneCell">
    <xdr:from>
      <xdr:col>5</xdr:col>
      <xdr:colOff>0</xdr:colOff>
      <xdr:row>41</xdr:row>
      <xdr:rowOff>19050</xdr:rowOff>
    </xdr:from>
    <xdr:to>
      <xdr:col>5</xdr:col>
      <xdr:colOff>76200</xdr:colOff>
      <xdr:row>42</xdr:row>
      <xdr:rowOff>82550</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5172075" y="8658225"/>
          <a:ext cx="76200" cy="228600"/>
        </a:xfrm>
        <a:prstGeom prst="rect">
          <a:avLst/>
        </a:prstGeom>
        <a:noFill/>
        <a:ln w="9525">
          <a:noFill/>
          <a:miter lim="800000"/>
          <a:headEnd/>
          <a:tailEnd/>
        </a:ln>
      </xdr:spPr>
    </xdr:sp>
    <xdr:clientData/>
  </xdr:twoCellAnchor>
  <xdr:twoCellAnchor editAs="oneCell">
    <xdr:from>
      <xdr:col>5</xdr:col>
      <xdr:colOff>0</xdr:colOff>
      <xdr:row>42</xdr:row>
      <xdr:rowOff>19050</xdr:rowOff>
    </xdr:from>
    <xdr:to>
      <xdr:col>5</xdr:col>
      <xdr:colOff>76200</xdr:colOff>
      <xdr:row>43</xdr:row>
      <xdr:rowOff>95250</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5172075" y="8848725"/>
          <a:ext cx="76200" cy="238125"/>
        </a:xfrm>
        <a:prstGeom prst="rect">
          <a:avLst/>
        </a:prstGeom>
        <a:noFill/>
        <a:ln w="9525">
          <a:noFill/>
          <a:miter lim="800000"/>
          <a:headEnd/>
          <a:tailEnd/>
        </a:ln>
      </xdr:spPr>
    </xdr:sp>
    <xdr:clientData/>
  </xdr:twoCellAnchor>
  <xdr:twoCellAnchor editAs="oneCell">
    <xdr:from>
      <xdr:col>5</xdr:col>
      <xdr:colOff>0</xdr:colOff>
      <xdr:row>42</xdr:row>
      <xdr:rowOff>19050</xdr:rowOff>
    </xdr:from>
    <xdr:to>
      <xdr:col>5</xdr:col>
      <xdr:colOff>76200</xdr:colOff>
      <xdr:row>43</xdr:row>
      <xdr:rowOff>95250</xdr:rowOff>
    </xdr:to>
    <xdr:sp macro="" textlink="">
      <xdr:nvSpPr>
        <xdr:cNvPr id="27" name="Text Box 1">
          <a:extLst>
            <a:ext uri="{FF2B5EF4-FFF2-40B4-BE49-F238E27FC236}">
              <a16:creationId xmlns:a16="http://schemas.microsoft.com/office/drawing/2014/main" id="{00000000-0008-0000-0000-00001B000000}"/>
            </a:ext>
          </a:extLst>
        </xdr:cNvPr>
        <xdr:cNvSpPr txBox="1">
          <a:spLocks noChangeArrowheads="1"/>
        </xdr:cNvSpPr>
      </xdr:nvSpPr>
      <xdr:spPr bwMode="auto">
        <a:xfrm>
          <a:off x="5172075" y="8848725"/>
          <a:ext cx="76200" cy="238125"/>
        </a:xfrm>
        <a:prstGeom prst="rect">
          <a:avLst/>
        </a:prstGeom>
        <a:noFill/>
        <a:ln w="9525">
          <a:noFill/>
          <a:miter lim="800000"/>
          <a:headEnd/>
          <a:tailEnd/>
        </a:ln>
      </xdr:spPr>
    </xdr:sp>
    <xdr:clientData/>
  </xdr:twoCellAnchor>
  <xdr:twoCellAnchor editAs="oneCell">
    <xdr:from>
      <xdr:col>5</xdr:col>
      <xdr:colOff>0</xdr:colOff>
      <xdr:row>37</xdr:row>
      <xdr:rowOff>19050</xdr:rowOff>
    </xdr:from>
    <xdr:to>
      <xdr:col>5</xdr:col>
      <xdr:colOff>76200</xdr:colOff>
      <xdr:row>38</xdr:row>
      <xdr:rowOff>95250</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5172075" y="7858125"/>
          <a:ext cx="76200" cy="238125"/>
        </a:xfrm>
        <a:prstGeom prst="rect">
          <a:avLst/>
        </a:prstGeom>
        <a:noFill/>
        <a:ln w="9525">
          <a:noFill/>
          <a:miter lim="800000"/>
          <a:headEnd/>
          <a:tailEnd/>
        </a:ln>
      </xdr:spPr>
    </xdr:sp>
    <xdr:clientData/>
  </xdr:twoCellAnchor>
  <xdr:twoCellAnchor editAs="oneCell">
    <xdr:from>
      <xdr:col>5</xdr:col>
      <xdr:colOff>0</xdr:colOff>
      <xdr:row>37</xdr:row>
      <xdr:rowOff>19050</xdr:rowOff>
    </xdr:from>
    <xdr:to>
      <xdr:col>5</xdr:col>
      <xdr:colOff>76200</xdr:colOff>
      <xdr:row>38</xdr:row>
      <xdr:rowOff>95250</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5172075" y="7858125"/>
          <a:ext cx="76200" cy="2381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zoomScale="85" zoomScaleNormal="85" workbookViewId="0">
      <selection activeCell="M27" sqref="M27"/>
    </sheetView>
  </sheetViews>
  <sheetFormatPr defaultRowHeight="12.75" x14ac:dyDescent="0.2"/>
  <cols>
    <col min="1" max="1" width="36.7109375" customWidth="1"/>
    <col min="2" max="2" width="4.5703125" bestFit="1" customWidth="1"/>
    <col min="4" max="4" width="3.140625" customWidth="1"/>
    <col min="5" max="5" width="11.140625" customWidth="1"/>
    <col min="6" max="6" width="13.85546875" customWidth="1"/>
    <col min="7" max="7" width="3.140625" customWidth="1"/>
    <col min="8" max="8" width="3.28515625" customWidth="1"/>
  </cols>
  <sheetData>
    <row r="1" spans="1:7" x14ac:dyDescent="0.2">
      <c r="A1" s="218" t="s">
        <v>51</v>
      </c>
      <c r="B1" s="218"/>
      <c r="C1" s="218"/>
      <c r="D1" s="218"/>
      <c r="E1" s="218"/>
      <c r="F1" s="218"/>
      <c r="G1" s="218"/>
    </row>
    <row r="2" spans="1:7" x14ac:dyDescent="0.2">
      <c r="A2" s="218" t="s">
        <v>52</v>
      </c>
      <c r="B2" s="218"/>
      <c r="C2" s="218"/>
      <c r="D2" s="218"/>
      <c r="E2" s="218"/>
      <c r="F2" s="218"/>
      <c r="G2" s="218"/>
    </row>
    <row r="3" spans="1:7" x14ac:dyDescent="0.2">
      <c r="A3" s="218" t="s">
        <v>132</v>
      </c>
      <c r="B3" s="218"/>
      <c r="C3" s="218"/>
      <c r="D3" s="218"/>
      <c r="E3" s="218"/>
      <c r="F3" s="218"/>
      <c r="G3" s="218"/>
    </row>
    <row r="4" spans="1:7" ht="15" x14ac:dyDescent="0.25">
      <c r="A4" s="110"/>
      <c r="B4" s="110"/>
      <c r="C4" s="42"/>
      <c r="D4" s="42"/>
      <c r="E4" s="219"/>
      <c r="F4" s="219"/>
      <c r="G4" s="42"/>
    </row>
    <row r="5" spans="1:7" ht="15" x14ac:dyDescent="0.25">
      <c r="A5" s="110"/>
      <c r="B5" s="111"/>
      <c r="C5" s="111"/>
      <c r="D5" s="42"/>
      <c r="E5" s="42"/>
      <c r="F5" s="112"/>
      <c r="G5" s="112"/>
    </row>
    <row r="6" spans="1:7" ht="30" x14ac:dyDescent="0.25">
      <c r="A6" s="113" t="s">
        <v>206</v>
      </c>
      <c r="B6" s="114"/>
      <c r="C6" s="115"/>
      <c r="D6" s="116"/>
      <c r="E6" s="117" t="s">
        <v>148</v>
      </c>
      <c r="F6" s="118">
        <f>'IA-2'!B22</f>
        <v>4532598.820176539</v>
      </c>
      <c r="G6" s="119"/>
    </row>
    <row r="7" spans="1:7" ht="15" x14ac:dyDescent="0.25">
      <c r="A7" s="113"/>
      <c r="B7" s="114"/>
      <c r="C7" s="120"/>
      <c r="D7" s="116"/>
      <c r="E7" s="42"/>
      <c r="F7" s="42"/>
      <c r="G7" s="116"/>
    </row>
    <row r="8" spans="1:7" ht="30" x14ac:dyDescent="0.25">
      <c r="A8" s="113" t="s">
        <v>216</v>
      </c>
      <c r="B8" s="114"/>
      <c r="C8" s="117"/>
      <c r="D8" s="116"/>
      <c r="E8" s="117" t="s">
        <v>218</v>
      </c>
      <c r="F8" s="121">
        <f>'IA-2'!H22</f>
        <v>11780077.989454208</v>
      </c>
      <c r="G8" s="122"/>
    </row>
    <row r="9" spans="1:7" ht="15" x14ac:dyDescent="0.25">
      <c r="A9" s="110"/>
      <c r="B9" s="114"/>
      <c r="C9" s="120"/>
      <c r="D9" s="116"/>
      <c r="E9" s="42"/>
      <c r="F9" s="42"/>
      <c r="G9" s="116"/>
    </row>
    <row r="10" spans="1:7" ht="15.75" thickBot="1" x14ac:dyDescent="0.3">
      <c r="A10" s="110" t="s">
        <v>133</v>
      </c>
      <c r="B10" s="114"/>
      <c r="C10" s="120"/>
      <c r="D10" s="116"/>
      <c r="E10" s="42"/>
      <c r="F10" s="123">
        <f>F8-F6</f>
        <v>7247479.1692776689</v>
      </c>
      <c r="G10" s="122"/>
    </row>
    <row r="11" spans="1:7" ht="15" x14ac:dyDescent="0.25">
      <c r="A11" s="110"/>
      <c r="B11" s="110"/>
      <c r="C11" s="42"/>
      <c r="D11" s="116"/>
      <c r="E11" s="42"/>
      <c r="F11" s="42"/>
      <c r="G11" s="116"/>
    </row>
    <row r="12" spans="1:7" ht="60.75" thickBot="1" x14ac:dyDescent="0.3">
      <c r="A12" s="124"/>
      <c r="B12" s="124"/>
      <c r="C12" s="125"/>
      <c r="D12" s="126"/>
      <c r="E12" s="124"/>
      <c r="F12" s="127" t="s">
        <v>217</v>
      </c>
      <c r="G12" s="128"/>
    </row>
    <row r="13" spans="1:7" ht="15" x14ac:dyDescent="0.25">
      <c r="A13" s="129" t="s">
        <v>134</v>
      </c>
      <c r="B13" s="129"/>
      <c r="C13" s="130"/>
      <c r="D13" s="131"/>
      <c r="E13" s="130"/>
      <c r="F13" s="132">
        <f>F10</f>
        <v>7247479.1692776689</v>
      </c>
      <c r="G13" s="133"/>
    </row>
    <row r="14" spans="1:7" ht="15" x14ac:dyDescent="0.25">
      <c r="A14" s="130"/>
      <c r="B14" s="130"/>
      <c r="C14" s="130"/>
      <c r="D14" s="131"/>
      <c r="E14" s="130"/>
      <c r="F14" s="130"/>
      <c r="G14" s="131"/>
    </row>
    <row r="15" spans="1:7" ht="15" x14ac:dyDescent="0.25">
      <c r="A15" s="184" t="s">
        <v>135</v>
      </c>
      <c r="B15" s="134"/>
      <c r="C15" s="130"/>
      <c r="D15" s="131"/>
      <c r="E15" s="130"/>
      <c r="F15" s="130"/>
      <c r="G15" s="131"/>
    </row>
    <row r="16" spans="1:7" ht="15" x14ac:dyDescent="0.25">
      <c r="A16" s="185">
        <v>0.70577999999999996</v>
      </c>
      <c r="B16" s="129"/>
      <c r="C16" s="130" t="s">
        <v>136</v>
      </c>
      <c r="D16" s="131"/>
      <c r="E16" s="130"/>
      <c r="F16" s="130"/>
      <c r="G16" s="131"/>
    </row>
    <row r="17" spans="1:10" ht="15.75" thickBot="1" x14ac:dyDescent="0.3">
      <c r="A17" s="186">
        <v>0.69189000000000001</v>
      </c>
      <c r="B17" s="129"/>
      <c r="C17" s="130" t="s">
        <v>137</v>
      </c>
      <c r="D17" s="131"/>
      <c r="E17" s="130"/>
      <c r="F17" s="205">
        <f>((F13)*$A$16*$A$17)</f>
        <v>3539104.4230369222</v>
      </c>
      <c r="G17" s="136"/>
      <c r="J17" s="206" t="s">
        <v>220</v>
      </c>
    </row>
    <row r="18" spans="1:10" ht="15.75" thickTop="1" x14ac:dyDescent="0.25">
      <c r="A18" s="187"/>
      <c r="B18" s="130"/>
      <c r="C18" s="130"/>
      <c r="D18" s="131"/>
      <c r="E18" s="130"/>
      <c r="F18" s="130"/>
      <c r="G18" s="131"/>
      <c r="J18" s="206"/>
    </row>
    <row r="19" spans="1:10" ht="15" x14ac:dyDescent="0.25">
      <c r="A19" s="184" t="s">
        <v>138</v>
      </c>
      <c r="B19" s="134"/>
      <c r="C19" s="130"/>
      <c r="D19" s="131"/>
      <c r="E19" s="130"/>
      <c r="F19" s="130"/>
      <c r="G19" s="131"/>
      <c r="J19" s="206"/>
    </row>
    <row r="20" spans="1:10" ht="15" x14ac:dyDescent="0.25">
      <c r="A20" s="186">
        <v>0.20513000000000001</v>
      </c>
      <c r="B20" s="129"/>
      <c r="C20" s="130" t="s">
        <v>136</v>
      </c>
      <c r="D20" s="131"/>
      <c r="E20" s="130"/>
      <c r="F20" s="130"/>
      <c r="G20" s="131"/>
      <c r="J20" s="206"/>
    </row>
    <row r="21" spans="1:10" ht="15.75" thickBot="1" x14ac:dyDescent="0.3">
      <c r="A21" s="185">
        <v>0.72592999999999996</v>
      </c>
      <c r="B21" s="129"/>
      <c r="C21" s="130" t="s">
        <v>137</v>
      </c>
      <c r="D21" s="131"/>
      <c r="E21" s="130"/>
      <c r="F21" s="205">
        <f>((F13)*$A$20*$A$21)</f>
        <v>1079222.2745694523</v>
      </c>
      <c r="G21" s="136"/>
      <c r="J21" s="206" t="s">
        <v>220</v>
      </c>
    </row>
    <row r="22" spans="1:10" ht="15.75" thickTop="1" x14ac:dyDescent="0.25">
      <c r="A22" s="187"/>
      <c r="B22" s="130"/>
      <c r="C22" s="130"/>
      <c r="D22" s="131"/>
      <c r="E22" s="130"/>
      <c r="F22" s="130"/>
      <c r="G22" s="131"/>
    </row>
    <row r="23" spans="1:10" ht="15" x14ac:dyDescent="0.25">
      <c r="A23" s="184" t="s">
        <v>139</v>
      </c>
      <c r="B23" s="134"/>
      <c r="C23" s="130"/>
      <c r="D23" s="131"/>
      <c r="E23" s="130"/>
      <c r="F23" s="130"/>
      <c r="G23" s="131"/>
    </row>
    <row r="24" spans="1:10" ht="15" x14ac:dyDescent="0.25">
      <c r="A24" s="185">
        <v>0.70577999999999996</v>
      </c>
      <c r="B24" s="129"/>
      <c r="C24" s="130" t="s">
        <v>136</v>
      </c>
      <c r="D24" s="131"/>
      <c r="E24" s="130"/>
      <c r="F24" s="130"/>
      <c r="G24" s="131"/>
    </row>
    <row r="25" spans="1:10" ht="15.75" thickBot="1" x14ac:dyDescent="0.3">
      <c r="A25" s="186">
        <v>0.30810999999999999</v>
      </c>
      <c r="B25" s="129"/>
      <c r="C25" s="130" t="s">
        <v>137</v>
      </c>
      <c r="D25" s="131"/>
      <c r="E25" s="130"/>
      <c r="F25" s="135">
        <f>((F13)*$A$24*$A$25)</f>
        <v>1576021.4250558703</v>
      </c>
      <c r="G25" s="136"/>
    </row>
    <row r="26" spans="1:10" ht="15.75" thickTop="1" x14ac:dyDescent="0.25">
      <c r="A26" s="187"/>
      <c r="B26" s="130"/>
      <c r="C26" s="130"/>
      <c r="D26" s="131"/>
      <c r="E26" s="130"/>
      <c r="F26" s="130"/>
      <c r="G26" s="131"/>
    </row>
    <row r="27" spans="1:10" ht="15" x14ac:dyDescent="0.25">
      <c r="A27" s="184" t="s">
        <v>140</v>
      </c>
      <c r="B27" s="134"/>
      <c r="C27" s="130"/>
      <c r="D27" s="131"/>
      <c r="E27" s="130"/>
      <c r="F27" s="130"/>
      <c r="G27" s="131"/>
    </row>
    <row r="28" spans="1:10" ht="15" x14ac:dyDescent="0.25">
      <c r="A28" s="185">
        <v>0.20513000000000001</v>
      </c>
      <c r="B28" s="129"/>
      <c r="C28" s="130" t="s">
        <v>136</v>
      </c>
      <c r="D28" s="131"/>
      <c r="E28" s="130"/>
      <c r="F28" s="130"/>
      <c r="G28" s="131"/>
    </row>
    <row r="29" spans="1:10" ht="15.75" thickBot="1" x14ac:dyDescent="0.3">
      <c r="A29" s="185">
        <v>0.27406999999999998</v>
      </c>
      <c r="B29" s="129"/>
      <c r="C29" s="130" t="s">
        <v>137</v>
      </c>
      <c r="D29" s="131"/>
      <c r="E29" s="130"/>
      <c r="F29" s="135">
        <f>((F13)*$A$28*$A$29)</f>
        <v>407453.12742447591</v>
      </c>
      <c r="G29" s="136"/>
    </row>
    <row r="30" spans="1:10" ht="15.75" thickTop="1" x14ac:dyDescent="0.25">
      <c r="A30" s="185"/>
      <c r="B30" s="129"/>
      <c r="C30" s="130"/>
      <c r="D30" s="131"/>
      <c r="E30" s="130"/>
      <c r="F30" s="137"/>
      <c r="G30" s="136"/>
    </row>
    <row r="31" spans="1:10" ht="15" x14ac:dyDescent="0.25">
      <c r="A31" s="188" t="s">
        <v>141</v>
      </c>
      <c r="B31" s="138"/>
      <c r="C31" s="139"/>
      <c r="D31" s="140"/>
      <c r="E31" s="139"/>
      <c r="F31" s="137"/>
      <c r="G31" s="136"/>
    </row>
    <row r="32" spans="1:10" ht="15.75" thickBot="1" x14ac:dyDescent="0.3">
      <c r="A32" s="189">
        <v>8.9090000000000003E-2</v>
      </c>
      <c r="B32" s="141"/>
      <c r="C32" s="139" t="s">
        <v>136</v>
      </c>
      <c r="D32" s="140"/>
      <c r="E32" s="139"/>
      <c r="F32" s="135">
        <f>((F13)*$A$32)</f>
        <v>645677.91919094755</v>
      </c>
      <c r="G32" s="136"/>
    </row>
    <row r="33" spans="1:7" ht="15.75" thickTop="1" x14ac:dyDescent="0.25">
      <c r="A33" s="141"/>
      <c r="B33" s="141"/>
      <c r="C33" s="139"/>
      <c r="D33" s="140"/>
      <c r="E33" s="139"/>
      <c r="F33" s="139"/>
      <c r="G33" s="140"/>
    </row>
    <row r="34" spans="1:7" ht="15" x14ac:dyDescent="0.25">
      <c r="A34" s="141"/>
      <c r="B34" s="141"/>
      <c r="C34" s="139" t="s">
        <v>142</v>
      </c>
      <c r="D34" s="140"/>
      <c r="E34" s="139"/>
      <c r="F34" s="142">
        <f>F17+F21+F25+F29+F32-F13</f>
        <v>0</v>
      </c>
      <c r="G34" s="143"/>
    </row>
    <row r="35" spans="1:7" ht="15" x14ac:dyDescent="0.25">
      <c r="A35" s="141"/>
      <c r="B35" s="141"/>
      <c r="C35" s="139"/>
      <c r="D35" s="140"/>
      <c r="E35" s="139"/>
      <c r="F35" s="142"/>
      <c r="G35" s="143"/>
    </row>
    <row r="36" spans="1:7" ht="15" x14ac:dyDescent="0.25">
      <c r="A36" s="141"/>
      <c r="B36" s="141"/>
      <c r="C36" s="139"/>
      <c r="D36" s="144"/>
      <c r="E36" s="145"/>
      <c r="F36" s="146" t="s">
        <v>143</v>
      </c>
      <c r="G36" s="147"/>
    </row>
    <row r="37" spans="1:7" ht="15" x14ac:dyDescent="0.25">
      <c r="A37" s="130"/>
      <c r="B37" s="148">
        <v>0.7</v>
      </c>
      <c r="C37" s="130" t="s">
        <v>58</v>
      </c>
      <c r="D37" s="131"/>
      <c r="E37" s="130"/>
      <c r="F37" s="153">
        <f>F17*B37</f>
        <v>2477373.0961258453</v>
      </c>
      <c r="G37" s="149"/>
    </row>
    <row r="38" spans="1:7" ht="15.75" thickBot="1" x14ac:dyDescent="0.3">
      <c r="A38" s="130"/>
      <c r="B38" s="148">
        <v>0.3</v>
      </c>
      <c r="C38" s="130" t="s">
        <v>62</v>
      </c>
      <c r="D38" s="131"/>
      <c r="E38" s="130"/>
      <c r="F38" s="153">
        <f>F17*B38</f>
        <v>1061731.3269110767</v>
      </c>
      <c r="G38" s="149"/>
    </row>
    <row r="39" spans="1:7" ht="16.5" thickTop="1" thickBot="1" x14ac:dyDescent="0.3">
      <c r="A39" s="130"/>
      <c r="B39" s="130"/>
      <c r="C39" s="130"/>
      <c r="D39" s="131"/>
      <c r="E39" s="130"/>
      <c r="F39" s="150">
        <f>SUM(F37:F38)</f>
        <v>3539104.4230369218</v>
      </c>
      <c r="G39" s="136"/>
    </row>
    <row r="40" spans="1:7" ht="15.75" thickTop="1" x14ac:dyDescent="0.25">
      <c r="A40" s="130"/>
      <c r="B40" s="130"/>
      <c r="C40" s="130"/>
      <c r="D40" s="131"/>
      <c r="E40" s="130"/>
      <c r="F40" s="130"/>
      <c r="G40" s="131"/>
    </row>
    <row r="41" spans="1:7" ht="15" x14ac:dyDescent="0.25">
      <c r="A41" s="130"/>
      <c r="B41" s="130"/>
      <c r="C41" s="130"/>
      <c r="D41" s="131"/>
      <c r="E41" s="130"/>
      <c r="F41" s="145" t="s">
        <v>144</v>
      </c>
      <c r="G41" s="144"/>
    </row>
    <row r="42" spans="1:7" ht="15" x14ac:dyDescent="0.25">
      <c r="A42" s="130"/>
      <c r="B42" s="148">
        <v>0.7</v>
      </c>
      <c r="C42" s="130" t="s">
        <v>58</v>
      </c>
      <c r="D42" s="131"/>
      <c r="E42" s="130"/>
      <c r="F42" s="153">
        <f>F21*B42</f>
        <v>755455.59219861659</v>
      </c>
      <c r="G42" s="149"/>
    </row>
    <row r="43" spans="1:7" ht="15.75" thickBot="1" x14ac:dyDescent="0.3">
      <c r="A43" s="130"/>
      <c r="B43" s="148">
        <v>0.3</v>
      </c>
      <c r="C43" s="130" t="s">
        <v>62</v>
      </c>
      <c r="D43" s="131"/>
      <c r="E43" s="130"/>
      <c r="F43" s="153">
        <f>F21*B43</f>
        <v>323766.68237083568</v>
      </c>
      <c r="G43" s="149"/>
    </row>
    <row r="44" spans="1:7" ht="16.5" thickTop="1" thickBot="1" x14ac:dyDescent="0.3">
      <c r="A44" s="130"/>
      <c r="B44" s="130"/>
      <c r="C44" s="130"/>
      <c r="D44" s="131"/>
      <c r="E44" s="130"/>
      <c r="F44" s="150">
        <f>SUM(F42:F43)</f>
        <v>1079222.2745694523</v>
      </c>
      <c r="G44" s="136"/>
    </row>
    <row r="45" spans="1:7" ht="13.5" thickTop="1" x14ac:dyDescent="0.2"/>
  </sheetData>
  <mergeCells count="4">
    <mergeCell ref="A1:G1"/>
    <mergeCell ref="A2:G2"/>
    <mergeCell ref="A3:G3"/>
    <mergeCell ref="E4:F4"/>
  </mergeCells>
  <pageMargins left="0.7" right="0.7" top="0.75" bottom="0.75" header="0.3" footer="0.3"/>
  <pageSetup scale="89" orientation="portrait" r:id="rId1"/>
  <headerFooter>
    <oddHeader>&amp;RAdjustment No.         .
Workpaper Ref. &amp;A</oddHeader>
    <oddFooter>&amp;L&amp;F
&amp;P of &amp;N&amp;RPrep by: ____________
          Date:  &amp;D           Mgr. Review:__________</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C8:L43"/>
  <sheetViews>
    <sheetView view="pageBreakPreview" zoomScale="85" zoomScaleNormal="100" zoomScaleSheetLayoutView="85" workbookViewId="0">
      <selection activeCell="M24" sqref="M24"/>
    </sheetView>
  </sheetViews>
  <sheetFormatPr defaultRowHeight="12.75" x14ac:dyDescent="0.2"/>
  <cols>
    <col min="1" max="2" width="2.7109375" customWidth="1"/>
    <col min="3" max="3" width="35.85546875" bestFit="1" customWidth="1"/>
    <col min="4" max="4" width="10.140625" bestFit="1" customWidth="1"/>
    <col min="5" max="6" width="11.42578125" customWidth="1"/>
    <col min="7" max="7" width="12.7109375" customWidth="1"/>
    <col min="8" max="8" width="12.140625" customWidth="1"/>
    <col min="9" max="10" width="11.5703125" customWidth="1"/>
    <col min="11" max="11" width="11.7109375" customWidth="1"/>
    <col min="12" max="12" width="13.140625" customWidth="1"/>
  </cols>
  <sheetData>
    <row r="8" spans="3:12" ht="15" x14ac:dyDescent="0.25">
      <c r="C8" s="11"/>
      <c r="D8" s="233" t="s">
        <v>155</v>
      </c>
      <c r="E8" s="233"/>
      <c r="F8" s="233"/>
      <c r="G8" s="86"/>
      <c r="H8" s="81"/>
      <c r="I8" s="37"/>
      <c r="J8" s="37"/>
      <c r="K8" s="82"/>
      <c r="L8" s="9"/>
    </row>
    <row r="9" spans="3:12" ht="15" x14ac:dyDescent="0.25">
      <c r="C9" s="17"/>
      <c r="D9" s="234" t="s">
        <v>96</v>
      </c>
      <c r="E9" s="234"/>
      <c r="F9" s="234"/>
      <c r="G9" s="17"/>
      <c r="H9" s="17"/>
      <c r="I9" s="17"/>
      <c r="J9" s="17"/>
      <c r="K9" s="9"/>
      <c r="L9" s="9"/>
    </row>
    <row r="10" spans="3:12" ht="60" x14ac:dyDescent="0.25">
      <c r="C10" s="12" t="s">
        <v>9</v>
      </c>
      <c r="D10" s="25" t="s">
        <v>93</v>
      </c>
      <c r="E10" s="13" t="s">
        <v>94</v>
      </c>
      <c r="F10" s="25" t="s">
        <v>95</v>
      </c>
      <c r="G10" s="25" t="s">
        <v>30</v>
      </c>
      <c r="H10" s="13" t="s">
        <v>25</v>
      </c>
      <c r="I10" s="13" t="s">
        <v>26</v>
      </c>
      <c r="J10" s="13" t="s">
        <v>27</v>
      </c>
      <c r="K10" s="13" t="s">
        <v>28</v>
      </c>
      <c r="L10" s="13" t="s">
        <v>29</v>
      </c>
    </row>
    <row r="11" spans="3:12" x14ac:dyDescent="0.2">
      <c r="C11" s="11" t="s">
        <v>4</v>
      </c>
      <c r="D11" s="83">
        <f>2030287+75000</f>
        <v>2105287</v>
      </c>
      <c r="E11" s="15">
        <f>(F11-D11)/D11</f>
        <v>2.0000123498601377E-2</v>
      </c>
      <c r="F11" s="16">
        <v>2147393</v>
      </c>
      <c r="G11" s="15">
        <v>0.16600000000000001</v>
      </c>
      <c r="H11" s="35">
        <f>+F11*G11</f>
        <v>356467.23800000001</v>
      </c>
      <c r="I11" s="15">
        <f>0.834*0.005</f>
        <v>4.1700000000000001E-3</v>
      </c>
      <c r="J11" s="14">
        <f>+F11*I11</f>
        <v>8954.6288100000002</v>
      </c>
      <c r="K11" s="15">
        <f>0.834*0.995</f>
        <v>0.82982999999999996</v>
      </c>
      <c r="L11" s="35">
        <f t="shared" ref="L11:L19" si="0">+K11*F11</f>
        <v>1781971.13319</v>
      </c>
    </row>
    <row r="12" spans="3:12" x14ac:dyDescent="0.2">
      <c r="C12" s="11" t="s">
        <v>10</v>
      </c>
      <c r="D12" s="83">
        <v>-60263</v>
      </c>
      <c r="E12" s="15">
        <f t="shared" ref="E12" si="1">(F12-D12)/D12</f>
        <v>0.36373894429417719</v>
      </c>
      <c r="F12" s="16">
        <v>-82183</v>
      </c>
      <c r="G12" s="15">
        <v>9.9599999999999994E-2</v>
      </c>
      <c r="H12" s="35">
        <f>+D12*G12</f>
        <v>-6002.1947999999993</v>
      </c>
      <c r="I12" s="15">
        <v>4.1999999999999997E-3</v>
      </c>
      <c r="J12" s="14">
        <f>+I12*D12</f>
        <v>-253.10459999999998</v>
      </c>
      <c r="K12" s="15">
        <f>(1-G12-I12)</f>
        <v>0.8962</v>
      </c>
      <c r="L12" s="35">
        <f t="shared" si="0"/>
        <v>-73652.404599999994</v>
      </c>
    </row>
    <row r="13" spans="3:12" x14ac:dyDescent="0.2">
      <c r="C13" s="11" t="s">
        <v>5</v>
      </c>
      <c r="D13" s="83">
        <f>40900.48+2045.02</f>
        <v>42945.5</v>
      </c>
      <c r="E13" s="15">
        <f>(F13-D13)/D13</f>
        <v>9.8708828631636891E-3</v>
      </c>
      <c r="F13" s="84">
        <f>41304.2+2065.21</f>
        <v>43369.409999999996</v>
      </c>
      <c r="G13" s="15">
        <v>0.16600000000000001</v>
      </c>
      <c r="H13" s="35">
        <f t="shared" ref="H13:H19" si="2">+F13*G13</f>
        <v>7199.3220599999995</v>
      </c>
      <c r="I13" s="15">
        <f>0.834*0.005</f>
        <v>4.1700000000000001E-3</v>
      </c>
      <c r="J13" s="14">
        <f t="shared" ref="J13:J19" si="3">+F13*I13</f>
        <v>180.85043969999998</v>
      </c>
      <c r="K13" s="15">
        <f>0.834*0.995</f>
        <v>0.82982999999999996</v>
      </c>
      <c r="L13" s="35">
        <f t="shared" si="0"/>
        <v>35989.237500299998</v>
      </c>
    </row>
    <row r="14" spans="3:12" s="9" customFormat="1" x14ac:dyDescent="0.2">
      <c r="C14" s="11" t="s">
        <v>207</v>
      </c>
      <c r="D14" s="83"/>
      <c r="E14" s="15"/>
      <c r="F14" s="84">
        <v>-16436.599999999999</v>
      </c>
      <c r="G14" s="15">
        <f>H14/F14</f>
        <v>6.6400000000000001E-2</v>
      </c>
      <c r="H14" s="35">
        <v>-1091.3902399999999</v>
      </c>
      <c r="I14" s="15">
        <f>J14/F14</f>
        <v>4.2000000000000006E-3</v>
      </c>
      <c r="J14" s="14">
        <v>-69.033720000000002</v>
      </c>
      <c r="K14" s="15">
        <f>L14/F14</f>
        <v>0.92940000000000011</v>
      </c>
      <c r="L14" s="35">
        <v>-15276.17604</v>
      </c>
    </row>
    <row r="15" spans="3:12" x14ac:dyDescent="0.2">
      <c r="C15" s="11" t="s">
        <v>6</v>
      </c>
      <c r="D15" s="83">
        <v>766068</v>
      </c>
      <c r="E15" s="15">
        <f t="shared" ref="E15:E19" si="4">(F15-D15)/D15</f>
        <v>0</v>
      </c>
      <c r="F15" s="16">
        <v>766068</v>
      </c>
      <c r="G15" s="15">
        <v>9.6000000000000002E-2</v>
      </c>
      <c r="H15" s="35">
        <f t="shared" si="2"/>
        <v>73542.528000000006</v>
      </c>
      <c r="I15" s="15">
        <v>0</v>
      </c>
      <c r="J15" s="14">
        <f t="shared" si="3"/>
        <v>0</v>
      </c>
      <c r="K15" s="15">
        <v>0.90400000000000003</v>
      </c>
      <c r="L15" s="35">
        <f t="shared" si="0"/>
        <v>692525.47200000007</v>
      </c>
    </row>
    <row r="16" spans="3:12" x14ac:dyDescent="0.2">
      <c r="C16" s="11" t="s">
        <v>7</v>
      </c>
      <c r="D16" s="83">
        <f>15321.36+766.07</f>
        <v>16087.43</v>
      </c>
      <c r="E16" s="15">
        <f t="shared" si="4"/>
        <v>0</v>
      </c>
      <c r="F16" s="84">
        <f>15321.36+766.07</f>
        <v>16087.43</v>
      </c>
      <c r="G16" s="15">
        <v>9.6000000000000002E-2</v>
      </c>
      <c r="H16" s="35">
        <f t="shared" si="2"/>
        <v>1544.39328</v>
      </c>
      <c r="I16" s="15">
        <v>0</v>
      </c>
      <c r="J16" s="14">
        <f t="shared" si="3"/>
        <v>0</v>
      </c>
      <c r="K16" s="15">
        <v>0.90400000000000003</v>
      </c>
      <c r="L16" s="35">
        <f t="shared" si="0"/>
        <v>14543.03672</v>
      </c>
    </row>
    <row r="17" spans="3:12" x14ac:dyDescent="0.2">
      <c r="C17" s="85" t="s">
        <v>32</v>
      </c>
      <c r="D17" s="83">
        <v>-184062</v>
      </c>
      <c r="E17" s="15">
        <f t="shared" si="4"/>
        <v>0.25861394530103987</v>
      </c>
      <c r="F17" s="84">
        <v>-231663</v>
      </c>
      <c r="G17" s="24">
        <f>H17/F17</f>
        <v>7.6800006906584131E-2</v>
      </c>
      <c r="H17" s="35">
        <v>-17791.72</v>
      </c>
      <c r="I17" s="15">
        <v>0</v>
      </c>
      <c r="J17" s="14">
        <f t="shared" si="3"/>
        <v>0</v>
      </c>
      <c r="K17" s="15">
        <f>(1-G17-I17)</f>
        <v>0.92319999309341583</v>
      </c>
      <c r="L17" s="35">
        <f t="shared" si="0"/>
        <v>-213871.28</v>
      </c>
    </row>
    <row r="18" spans="3:12" x14ac:dyDescent="0.2">
      <c r="C18" s="85" t="s">
        <v>50</v>
      </c>
      <c r="D18" s="83">
        <v>-115599</v>
      </c>
      <c r="E18" s="15">
        <f t="shared" si="4"/>
        <v>0.32748156413488883</v>
      </c>
      <c r="F18" s="84">
        <v>-153455.54133242901</v>
      </c>
      <c r="G18" s="24">
        <f>H18/F18</f>
        <v>7.680000000000034E-2</v>
      </c>
      <c r="H18" s="35">
        <v>-11785.385574330599</v>
      </c>
      <c r="I18" s="15">
        <v>0</v>
      </c>
      <c r="J18" s="14">
        <f t="shared" si="3"/>
        <v>0</v>
      </c>
      <c r="K18" s="15">
        <f>(1-G18-I18)</f>
        <v>0.92319999999999969</v>
      </c>
      <c r="L18" s="35">
        <f t="shared" si="0"/>
        <v>-141670.15575809841</v>
      </c>
    </row>
    <row r="19" spans="3:12" x14ac:dyDescent="0.2">
      <c r="C19" s="11" t="s">
        <v>8</v>
      </c>
      <c r="D19" s="83">
        <v>182000</v>
      </c>
      <c r="E19" s="15">
        <f t="shared" si="4"/>
        <v>0</v>
      </c>
      <c r="F19" s="16">
        <v>182000</v>
      </c>
      <c r="G19" s="15">
        <v>1.5299999999999999E-2</v>
      </c>
      <c r="H19" s="35">
        <f t="shared" si="2"/>
        <v>2784.6</v>
      </c>
      <c r="I19" s="15">
        <v>0</v>
      </c>
      <c r="J19" s="14">
        <f t="shared" si="3"/>
        <v>0</v>
      </c>
      <c r="K19" s="15">
        <v>0.98470000000000002</v>
      </c>
      <c r="L19" s="35">
        <f t="shared" si="0"/>
        <v>179215.4</v>
      </c>
    </row>
    <row r="20" spans="3:12" ht="13.5" thickBot="1" x14ac:dyDescent="0.25">
      <c r="C20" s="11"/>
      <c r="D20" s="14"/>
      <c r="E20" s="11"/>
      <c r="F20" s="9"/>
      <c r="G20" s="9"/>
      <c r="H20" s="36">
        <f>SUM(H11:H19)</f>
        <v>404867.39072566945</v>
      </c>
      <c r="I20" s="11"/>
      <c r="J20" s="36">
        <f>SUM(J11:J19)</f>
        <v>8813.3409296999998</v>
      </c>
      <c r="K20" s="11"/>
      <c r="L20" s="201">
        <f>SUM(L11:L19)</f>
        <v>2259774.263012202</v>
      </c>
    </row>
    <row r="21" spans="3:12" ht="13.5" thickTop="1" x14ac:dyDescent="0.2"/>
    <row r="22" spans="3:12" x14ac:dyDescent="0.2">
      <c r="F22" s="170"/>
      <c r="G22" s="171" t="s">
        <v>178</v>
      </c>
    </row>
    <row r="28" spans="3:12" ht="15" x14ac:dyDescent="0.25">
      <c r="C28" s="11"/>
      <c r="D28" s="233" t="s">
        <v>155</v>
      </c>
      <c r="E28" s="233"/>
      <c r="F28" s="233"/>
      <c r="G28" s="86"/>
      <c r="H28" s="81"/>
      <c r="I28" s="37"/>
      <c r="J28" s="37"/>
      <c r="K28" s="82"/>
      <c r="L28" s="9"/>
    </row>
    <row r="29" spans="3:12" ht="15" x14ac:dyDescent="0.25">
      <c r="C29" s="17"/>
      <c r="D29" s="234" t="s">
        <v>149</v>
      </c>
      <c r="E29" s="234"/>
      <c r="F29" s="234"/>
      <c r="G29" s="17"/>
      <c r="H29" s="17"/>
      <c r="I29" s="17"/>
      <c r="J29" s="17"/>
      <c r="K29" s="9"/>
      <c r="L29" s="9"/>
    </row>
    <row r="30" spans="3:12" ht="60" x14ac:dyDescent="0.25">
      <c r="C30" s="12" t="s">
        <v>9</v>
      </c>
      <c r="D30" s="25" t="s">
        <v>93</v>
      </c>
      <c r="E30" s="13" t="s">
        <v>94</v>
      </c>
      <c r="F30" s="25" t="s">
        <v>95</v>
      </c>
      <c r="G30" s="25" t="s">
        <v>30</v>
      </c>
      <c r="H30" s="13" t="s">
        <v>25</v>
      </c>
      <c r="I30" s="13" t="s">
        <v>26</v>
      </c>
      <c r="J30" s="13" t="s">
        <v>27</v>
      </c>
      <c r="K30" s="13" t="s">
        <v>28</v>
      </c>
      <c r="L30" s="13" t="s">
        <v>29</v>
      </c>
    </row>
    <row r="31" spans="3:12" x14ac:dyDescent="0.2">
      <c r="C31" s="11" t="s">
        <v>4</v>
      </c>
      <c r="D31" s="83">
        <f>2030287+75000</f>
        <v>2105287</v>
      </c>
      <c r="E31" s="15">
        <f>(F31-D31)/D31</f>
        <v>2.0000123498601377E-2</v>
      </c>
      <c r="F31" s="16">
        <v>2147393</v>
      </c>
      <c r="G31" s="15">
        <v>0.16600000000000001</v>
      </c>
      <c r="H31" s="35">
        <f>+F31*G31</f>
        <v>356467.23800000001</v>
      </c>
      <c r="I31" s="15">
        <f>0.834*0.005</f>
        <v>4.1700000000000001E-3</v>
      </c>
      <c r="J31" s="14">
        <f>+F31*I31</f>
        <v>8954.6288100000002</v>
      </c>
      <c r="K31" s="15">
        <f>0.834*0.995</f>
        <v>0.82982999999999996</v>
      </c>
      <c r="L31" s="35">
        <f t="shared" ref="L31:L39" si="5">+K31*F31</f>
        <v>1781971.13319</v>
      </c>
    </row>
    <row r="32" spans="3:12" x14ac:dyDescent="0.2">
      <c r="C32" s="11" t="s">
        <v>10</v>
      </c>
      <c r="D32" s="83">
        <v>-60263</v>
      </c>
      <c r="E32" s="15">
        <f t="shared" ref="E32" si="6">(F32-D32)/D32</f>
        <v>-1</v>
      </c>
      <c r="F32" s="16">
        <v>0</v>
      </c>
      <c r="G32" s="15">
        <v>9.9599999999999994E-2</v>
      </c>
      <c r="H32" s="35">
        <f>G32*F32</f>
        <v>0</v>
      </c>
      <c r="I32" s="15">
        <v>4.1999999999999997E-3</v>
      </c>
      <c r="J32" s="14">
        <f>F32*I32</f>
        <v>0</v>
      </c>
      <c r="K32" s="15">
        <f>(1-G32-I32)</f>
        <v>0.8962</v>
      </c>
      <c r="L32" s="35">
        <f>F32*K32</f>
        <v>0</v>
      </c>
    </row>
    <row r="33" spans="3:12" x14ac:dyDescent="0.2">
      <c r="C33" s="11" t="s">
        <v>5</v>
      </c>
      <c r="D33" s="83">
        <f>40900.48+2045.02</f>
        <v>42945.5</v>
      </c>
      <c r="E33" s="15">
        <f>(F33-D33)/D33</f>
        <v>9.8708828631636891E-3</v>
      </c>
      <c r="F33" s="84">
        <f>41304.2+2065.21</f>
        <v>43369.409999999996</v>
      </c>
      <c r="G33" s="15">
        <v>0.16600000000000001</v>
      </c>
      <c r="H33" s="35">
        <f t="shared" ref="H33:H39" si="7">+F33*G33</f>
        <v>7199.3220599999995</v>
      </c>
      <c r="I33" s="15">
        <f>0.834*0.005</f>
        <v>4.1700000000000001E-3</v>
      </c>
      <c r="J33" s="14">
        <f t="shared" ref="J33:J39" si="8">+F33*I33</f>
        <v>180.85043969999998</v>
      </c>
      <c r="K33" s="15">
        <f>0.834*0.995</f>
        <v>0.82982999999999996</v>
      </c>
      <c r="L33" s="35">
        <f t="shared" si="5"/>
        <v>35989.237500299998</v>
      </c>
    </row>
    <row r="34" spans="3:12" s="9" customFormat="1" x14ac:dyDescent="0.2">
      <c r="C34" s="11" t="s">
        <v>207</v>
      </c>
      <c r="D34" s="83"/>
      <c r="E34" s="15"/>
      <c r="F34" s="84"/>
      <c r="G34" s="15"/>
      <c r="H34" s="35"/>
      <c r="I34" s="15"/>
      <c r="J34" s="14"/>
      <c r="K34" s="15"/>
      <c r="L34" s="35"/>
    </row>
    <row r="35" spans="3:12" x14ac:dyDescent="0.2">
      <c r="C35" s="11" t="s">
        <v>6</v>
      </c>
      <c r="D35" s="83">
        <v>766068</v>
      </c>
      <c r="E35" s="15">
        <f t="shared" ref="E35:E39" si="9">(F35-D35)/D35</f>
        <v>0</v>
      </c>
      <c r="F35" s="16">
        <v>766068</v>
      </c>
      <c r="G35" s="15">
        <v>9.6000000000000002E-2</v>
      </c>
      <c r="H35" s="35">
        <f t="shared" si="7"/>
        <v>73542.528000000006</v>
      </c>
      <c r="I35" s="15">
        <v>0</v>
      </c>
      <c r="J35" s="14">
        <f t="shared" si="8"/>
        <v>0</v>
      </c>
      <c r="K35" s="15">
        <v>0.90400000000000003</v>
      </c>
      <c r="L35" s="35">
        <f t="shared" si="5"/>
        <v>692525.47200000007</v>
      </c>
    </row>
    <row r="36" spans="3:12" x14ac:dyDescent="0.2">
      <c r="C36" s="11" t="s">
        <v>7</v>
      </c>
      <c r="D36" s="83">
        <f>15321.36+766.07</f>
        <v>16087.43</v>
      </c>
      <c r="E36" s="15">
        <f t="shared" si="9"/>
        <v>0</v>
      </c>
      <c r="F36" s="84">
        <f>15321.36+766.07</f>
        <v>16087.43</v>
      </c>
      <c r="G36" s="15">
        <v>9.6000000000000002E-2</v>
      </c>
      <c r="H36" s="35">
        <f t="shared" si="7"/>
        <v>1544.39328</v>
      </c>
      <c r="I36" s="15">
        <v>0</v>
      </c>
      <c r="J36" s="14">
        <f t="shared" si="8"/>
        <v>0</v>
      </c>
      <c r="K36" s="15">
        <v>0.90400000000000003</v>
      </c>
      <c r="L36" s="35">
        <f t="shared" si="5"/>
        <v>14543.03672</v>
      </c>
    </row>
    <row r="37" spans="3:12" x14ac:dyDescent="0.2">
      <c r="C37" s="85" t="s">
        <v>32</v>
      </c>
      <c r="D37" s="83">
        <v>-184062</v>
      </c>
      <c r="E37" s="15">
        <f t="shared" si="9"/>
        <v>-1</v>
      </c>
      <c r="F37" s="84">
        <v>0</v>
      </c>
      <c r="G37" s="24">
        <v>7.6799999999999993E-2</v>
      </c>
      <c r="H37" s="35">
        <f t="shared" si="7"/>
        <v>0</v>
      </c>
      <c r="I37" s="15">
        <v>0</v>
      </c>
      <c r="J37" s="14">
        <f t="shared" si="8"/>
        <v>0</v>
      </c>
      <c r="K37" s="15">
        <f>(1-G37-I37)</f>
        <v>0.92320000000000002</v>
      </c>
      <c r="L37" s="35">
        <f t="shared" si="5"/>
        <v>0</v>
      </c>
    </row>
    <row r="38" spans="3:12" x14ac:dyDescent="0.2">
      <c r="C38" s="85" t="s">
        <v>50</v>
      </c>
      <c r="D38" s="83">
        <v>-115599</v>
      </c>
      <c r="E38" s="15">
        <f t="shared" si="9"/>
        <v>-1</v>
      </c>
      <c r="F38" s="84">
        <v>0</v>
      </c>
      <c r="G38" s="24">
        <v>7.6799999999999993E-2</v>
      </c>
      <c r="H38" s="35">
        <f t="shared" si="7"/>
        <v>0</v>
      </c>
      <c r="I38" s="15">
        <v>0</v>
      </c>
      <c r="J38" s="14">
        <f t="shared" si="8"/>
        <v>0</v>
      </c>
      <c r="K38" s="15">
        <f>(1-G38-I38)</f>
        <v>0.92320000000000002</v>
      </c>
      <c r="L38" s="35">
        <f t="shared" si="5"/>
        <v>0</v>
      </c>
    </row>
    <row r="39" spans="3:12" x14ac:dyDescent="0.2">
      <c r="C39" s="11" t="s">
        <v>8</v>
      </c>
      <c r="D39" s="83">
        <v>182000</v>
      </c>
      <c r="E39" s="15">
        <f t="shared" si="9"/>
        <v>0</v>
      </c>
      <c r="F39" s="16">
        <v>182000</v>
      </c>
      <c r="G39" s="15">
        <v>1.5299999999999999E-2</v>
      </c>
      <c r="H39" s="35">
        <f t="shared" si="7"/>
        <v>2784.6</v>
      </c>
      <c r="I39" s="15">
        <v>0</v>
      </c>
      <c r="J39" s="14">
        <f t="shared" si="8"/>
        <v>0</v>
      </c>
      <c r="K39" s="15">
        <v>0.98470000000000002</v>
      </c>
      <c r="L39" s="35">
        <f t="shared" si="5"/>
        <v>179215.4</v>
      </c>
    </row>
    <row r="40" spans="3:12" ht="13.5" thickBot="1" x14ac:dyDescent="0.25">
      <c r="C40" s="11"/>
      <c r="D40" s="14"/>
      <c r="E40" s="11"/>
      <c r="F40" s="9"/>
      <c r="G40" s="9"/>
      <c r="H40" s="36">
        <f>SUM(H31:H39)</f>
        <v>441538.08133999998</v>
      </c>
      <c r="I40" s="11"/>
      <c r="J40" s="36">
        <f>SUM(J31:J39)</f>
        <v>9135.4792496999999</v>
      </c>
      <c r="K40" s="11"/>
      <c r="L40" s="36">
        <f>SUM(L31:L39)</f>
        <v>2704244.2794103003</v>
      </c>
    </row>
    <row r="41" spans="3:12" ht="13.5" thickTop="1" x14ac:dyDescent="0.2"/>
    <row r="43" spans="3:12" x14ac:dyDescent="0.2">
      <c r="F43" s="170"/>
      <c r="G43" s="171" t="s">
        <v>178</v>
      </c>
    </row>
  </sheetData>
  <mergeCells count="4">
    <mergeCell ref="D9:F9"/>
    <mergeCell ref="D29:F29"/>
    <mergeCell ref="D28:F28"/>
    <mergeCell ref="D8:F8"/>
  </mergeCells>
  <pageMargins left="0.7" right="0.7" top="0.75" bottom="0.75" header="0.3" footer="0.3"/>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C8:Q43"/>
  <sheetViews>
    <sheetView zoomScale="85" zoomScaleNormal="85" workbookViewId="0">
      <selection activeCell="M24" sqref="M24"/>
    </sheetView>
  </sheetViews>
  <sheetFormatPr defaultColWidth="9.140625" defaultRowHeight="12.75" x14ac:dyDescent="0.2"/>
  <cols>
    <col min="1" max="2" width="9.140625" style="9"/>
    <col min="3" max="3" width="35.85546875" style="9" bestFit="1" customWidth="1"/>
    <col min="4" max="4" width="10.140625" style="9" bestFit="1" customWidth="1"/>
    <col min="5" max="6" width="11.42578125" style="9" customWidth="1"/>
    <col min="7" max="7" width="12.7109375" style="9" customWidth="1"/>
    <col min="8" max="9" width="12.140625" style="9" customWidth="1"/>
    <col min="10" max="11" width="11.5703125" style="9" customWidth="1"/>
    <col min="12" max="12" width="11.7109375" style="9" customWidth="1"/>
    <col min="13" max="13" width="13.140625" style="9" customWidth="1"/>
    <col min="14" max="14" width="9.140625" style="9"/>
    <col min="15" max="15" width="12.7109375" style="9" bestFit="1" customWidth="1"/>
    <col min="16" max="16384" width="9.140625" style="9"/>
  </cols>
  <sheetData>
    <row r="8" spans="3:17" ht="15" x14ac:dyDescent="0.25">
      <c r="C8" s="11"/>
      <c r="D8" s="233" t="s">
        <v>97</v>
      </c>
      <c r="E8" s="233"/>
      <c r="F8" s="233"/>
      <c r="G8" s="86"/>
      <c r="H8" s="81"/>
      <c r="I8" s="81"/>
      <c r="J8" s="37"/>
      <c r="K8" s="37"/>
      <c r="L8" s="82"/>
    </row>
    <row r="9" spans="3:17" ht="15" x14ac:dyDescent="0.25">
      <c r="C9" s="17"/>
      <c r="D9" s="234" t="s">
        <v>96</v>
      </c>
      <c r="E9" s="234"/>
      <c r="F9" s="234"/>
      <c r="G9" s="17"/>
      <c r="H9" s="17"/>
      <c r="I9" s="17"/>
      <c r="J9" s="17"/>
      <c r="K9" s="17"/>
    </row>
    <row r="10" spans="3:17" ht="60" x14ac:dyDescent="0.25">
      <c r="C10" s="12" t="s">
        <v>9</v>
      </c>
      <c r="D10" s="25" t="s">
        <v>98</v>
      </c>
      <c r="E10" s="13" t="s">
        <v>99</v>
      </c>
      <c r="F10" s="25" t="s">
        <v>100</v>
      </c>
      <c r="G10" s="25" t="s">
        <v>30</v>
      </c>
      <c r="H10" s="13" t="s">
        <v>25</v>
      </c>
      <c r="I10" s="13" t="s">
        <v>28</v>
      </c>
      <c r="J10" s="13" t="s">
        <v>26</v>
      </c>
      <c r="K10" s="13" t="s">
        <v>27</v>
      </c>
      <c r="L10" s="13" t="s">
        <v>28</v>
      </c>
      <c r="M10" s="13" t="s">
        <v>29</v>
      </c>
    </row>
    <row r="11" spans="3:17" x14ac:dyDescent="0.2">
      <c r="C11" s="11" t="s">
        <v>4</v>
      </c>
      <c r="D11" s="83">
        <v>2147393</v>
      </c>
      <c r="E11" s="15">
        <f>(F11-D11)/D11</f>
        <v>9.9007028522492158E-2</v>
      </c>
      <c r="F11" s="16">
        <v>2360000</v>
      </c>
      <c r="G11" s="24">
        <f t="shared" ref="G11:G16" si="0">H11/F11</f>
        <v>0.15859771182203392</v>
      </c>
      <c r="H11" s="35">
        <v>374290.59990000003</v>
      </c>
      <c r="I11" s="15">
        <f>1-G11</f>
        <v>0.84140228817796614</v>
      </c>
      <c r="J11" s="15">
        <f>0.005*I11</f>
        <v>4.2070114408898308E-3</v>
      </c>
      <c r="K11" s="14">
        <f>J11*F11</f>
        <v>9928.5470005000006</v>
      </c>
      <c r="L11" s="15">
        <f>0.995*I11</f>
        <v>0.83719527673707628</v>
      </c>
      <c r="M11" s="35">
        <f>L11*F11</f>
        <v>1975780.8530995001</v>
      </c>
      <c r="O11" s="10">
        <f>H11+K11+M11</f>
        <v>2360000</v>
      </c>
      <c r="Q11" s="79">
        <f>G11+J11+L11</f>
        <v>1</v>
      </c>
    </row>
    <row r="12" spans="3:17" x14ac:dyDescent="0.2">
      <c r="C12" s="11" t="s">
        <v>10</v>
      </c>
      <c r="D12" s="83">
        <v>-82183</v>
      </c>
      <c r="E12" s="15">
        <f t="shared" ref="E12:E13" si="1">(F12-D12)/D12</f>
        <v>8.7475511967195163E-2</v>
      </c>
      <c r="F12" s="16">
        <v>-89372</v>
      </c>
      <c r="G12" s="24">
        <f t="shared" si="0"/>
        <v>9.9602242816542078E-2</v>
      </c>
      <c r="H12" s="35">
        <v>-8901.6516449999981</v>
      </c>
      <c r="I12" s="15">
        <f t="shared" ref="I12:I19" si="2">1-G12</f>
        <v>0.90039775718345794</v>
      </c>
      <c r="J12" s="15">
        <f t="shared" ref="J12:J13" si="3">0.005*I12</f>
        <v>4.5019887859172898E-3</v>
      </c>
      <c r="K12" s="14">
        <f t="shared" ref="K12:K19" si="4">J12*F12</f>
        <v>-402.35174177499999</v>
      </c>
      <c r="L12" s="15">
        <f t="shared" ref="L12:L13" si="5">0.995*I12</f>
        <v>0.89589576839754059</v>
      </c>
      <c r="M12" s="35">
        <f>L12*F12</f>
        <v>-80067.996613224997</v>
      </c>
      <c r="O12" s="10">
        <f t="shared" ref="O12:O19" si="6">H12+K12+M12</f>
        <v>-89372</v>
      </c>
      <c r="Q12" s="79">
        <f t="shared" ref="Q12:Q19" si="7">G12+J12+L12</f>
        <v>1</v>
      </c>
    </row>
    <row r="13" spans="3:17" x14ac:dyDescent="0.2">
      <c r="C13" s="11" t="s">
        <v>5</v>
      </c>
      <c r="D13" s="83">
        <v>43369.409999999996</v>
      </c>
      <c r="E13" s="15">
        <f t="shared" si="1"/>
        <v>9.9468496343390417E-2</v>
      </c>
      <c r="F13" s="16">
        <f>45412.6+2270.7</f>
        <v>47683.299999999996</v>
      </c>
      <c r="G13" s="24">
        <f t="shared" si="0"/>
        <v>0.15853114534858118</v>
      </c>
      <c r="H13" s="35">
        <v>7559.2881630000002</v>
      </c>
      <c r="I13" s="15">
        <f t="shared" si="2"/>
        <v>0.84146885465141885</v>
      </c>
      <c r="J13" s="15">
        <f t="shared" si="3"/>
        <v>4.207344273257094E-3</v>
      </c>
      <c r="K13" s="14">
        <f t="shared" si="4"/>
        <v>200.62005918499997</v>
      </c>
      <c r="L13" s="15">
        <f t="shared" si="5"/>
        <v>0.83726151037816177</v>
      </c>
      <c r="M13" s="35">
        <f>L13*F13</f>
        <v>39923.391777814999</v>
      </c>
      <c r="O13" s="10">
        <f t="shared" si="6"/>
        <v>47683.3</v>
      </c>
      <c r="Q13" s="79">
        <f t="shared" si="7"/>
        <v>1</v>
      </c>
    </row>
    <row r="14" spans="3:17" x14ac:dyDescent="0.2">
      <c r="C14" s="11" t="s">
        <v>207</v>
      </c>
      <c r="D14" s="83"/>
      <c r="E14" s="15"/>
      <c r="F14" s="16">
        <v>-17874.400000000001</v>
      </c>
      <c r="G14" s="24">
        <f>H14/F14</f>
        <v>0.16599999999999998</v>
      </c>
      <c r="H14" s="35">
        <v>-2967.1504</v>
      </c>
      <c r="I14" s="15"/>
      <c r="J14" s="15">
        <f>K14/F14</f>
        <v>4.1999999999999997E-3</v>
      </c>
      <c r="K14" s="14">
        <v>-75.072479999999999</v>
      </c>
      <c r="L14" s="15">
        <f>M14/F14</f>
        <v>0.82979999999999998</v>
      </c>
      <c r="M14" s="35">
        <v>-14832.17712</v>
      </c>
      <c r="O14" s="10"/>
      <c r="Q14" s="79"/>
    </row>
    <row r="15" spans="3:17" x14ac:dyDescent="0.2">
      <c r="C15" s="11" t="s">
        <v>6</v>
      </c>
      <c r="D15" s="83">
        <v>766068</v>
      </c>
      <c r="E15" s="15">
        <f>(F15-D15)/D15</f>
        <v>3.000125315246166E-2</v>
      </c>
      <c r="F15" s="16">
        <v>789051</v>
      </c>
      <c r="G15" s="24">
        <f t="shared" si="0"/>
        <v>9.5999883201466074E-2</v>
      </c>
      <c r="H15" s="35">
        <v>75748.803840000008</v>
      </c>
      <c r="I15" s="15">
        <f t="shared" si="2"/>
        <v>0.90400011679853387</v>
      </c>
      <c r="J15" s="15">
        <v>0</v>
      </c>
      <c r="K15" s="14">
        <f t="shared" si="4"/>
        <v>0</v>
      </c>
      <c r="L15" s="15">
        <f>I15</f>
        <v>0.90400011679853387</v>
      </c>
      <c r="M15" s="35">
        <f>L15*F15</f>
        <v>713302.19615999993</v>
      </c>
      <c r="O15" s="10">
        <f t="shared" si="6"/>
        <v>789051</v>
      </c>
      <c r="Q15" s="79">
        <f t="shared" si="7"/>
        <v>1</v>
      </c>
    </row>
    <row r="16" spans="3:17" x14ac:dyDescent="0.2">
      <c r="C16" s="11" t="s">
        <v>7</v>
      </c>
      <c r="D16" s="83">
        <v>16087.43</v>
      </c>
      <c r="E16" s="15">
        <f t="shared" ref="E16:E19" si="8">(F16-D16)/D16</f>
        <v>3.0009143784930248E-2</v>
      </c>
      <c r="F16" s="16">
        <f>789.1+15781.1</f>
        <v>16570.2</v>
      </c>
      <c r="G16" s="24">
        <f t="shared" si="0"/>
        <v>9.5999147771300281E-2</v>
      </c>
      <c r="H16" s="35">
        <v>1590.7250784</v>
      </c>
      <c r="I16" s="15">
        <f t="shared" si="2"/>
        <v>0.90400085222869975</v>
      </c>
      <c r="J16" s="15">
        <v>0</v>
      </c>
      <c r="K16" s="14">
        <f t="shared" si="4"/>
        <v>0</v>
      </c>
      <c r="L16" s="15">
        <f t="shared" ref="L16:L19" si="9">I16</f>
        <v>0.90400085222869975</v>
      </c>
      <c r="M16" s="35">
        <f>F16*L16</f>
        <v>14979.474921600002</v>
      </c>
      <c r="O16" s="10">
        <f t="shared" si="6"/>
        <v>16570.2</v>
      </c>
      <c r="Q16" s="79">
        <f t="shared" si="7"/>
        <v>1</v>
      </c>
    </row>
    <row r="17" spans="3:17" x14ac:dyDescent="0.2">
      <c r="C17" s="85" t="s">
        <v>32</v>
      </c>
      <c r="D17" s="83">
        <v>-184062</v>
      </c>
      <c r="E17" s="15">
        <f t="shared" si="8"/>
        <v>-0.17898941660962064</v>
      </c>
      <c r="F17" s="16">
        <v>-151116.85</v>
      </c>
      <c r="G17" s="24">
        <f>H17/F17</f>
        <v>9.6000015881749778E-2</v>
      </c>
      <c r="H17" s="177">
        <v>-14507.22</v>
      </c>
      <c r="I17" s="15">
        <f t="shared" si="2"/>
        <v>0.90399998411825022</v>
      </c>
      <c r="J17" s="15">
        <v>0</v>
      </c>
      <c r="K17" s="14">
        <f t="shared" si="4"/>
        <v>0</v>
      </c>
      <c r="L17" s="15">
        <f t="shared" si="9"/>
        <v>0.90399998411825022</v>
      </c>
      <c r="M17" s="35">
        <f t="shared" ref="M17:M19" si="10">L17*F17</f>
        <v>-136609.63</v>
      </c>
      <c r="O17" s="10">
        <f t="shared" si="6"/>
        <v>-151116.85</v>
      </c>
      <c r="Q17" s="79">
        <f t="shared" si="7"/>
        <v>1</v>
      </c>
    </row>
    <row r="18" spans="3:17" x14ac:dyDescent="0.2">
      <c r="C18" s="85" t="s">
        <v>50</v>
      </c>
      <c r="D18" s="83">
        <v>-115599</v>
      </c>
      <c r="E18" s="15">
        <f t="shared" si="8"/>
        <v>0.30725179283557819</v>
      </c>
      <c r="F18" s="160">
        <v>-151117</v>
      </c>
      <c r="G18" s="24">
        <f>H18/F18</f>
        <v>9.599992059132989E-2</v>
      </c>
      <c r="H18" s="164">
        <v>-14507.22</v>
      </c>
      <c r="I18" s="15">
        <f t="shared" si="2"/>
        <v>0.90400007940867011</v>
      </c>
      <c r="J18" s="15">
        <v>0</v>
      </c>
      <c r="K18" s="14">
        <f t="shared" si="4"/>
        <v>0</v>
      </c>
      <c r="L18" s="15">
        <f t="shared" si="9"/>
        <v>0.90400007940867011</v>
      </c>
      <c r="M18" s="164">
        <f t="shared" si="10"/>
        <v>-136609.78</v>
      </c>
      <c r="O18" s="10">
        <f t="shared" si="6"/>
        <v>-151117</v>
      </c>
      <c r="Q18" s="79">
        <f t="shared" si="7"/>
        <v>1</v>
      </c>
    </row>
    <row r="19" spans="3:17" x14ac:dyDescent="0.2">
      <c r="C19" s="11" t="s">
        <v>8</v>
      </c>
      <c r="D19" s="83">
        <v>182000</v>
      </c>
      <c r="E19" s="15">
        <f t="shared" si="8"/>
        <v>0.31868131868131866</v>
      </c>
      <c r="F19" s="16">
        <v>240000</v>
      </c>
      <c r="G19" s="15">
        <f>H19/F19</f>
        <v>1.1950575E-2</v>
      </c>
      <c r="H19" s="35">
        <v>2868.1379999999999</v>
      </c>
      <c r="I19" s="15">
        <f t="shared" si="2"/>
        <v>0.98804942500000004</v>
      </c>
      <c r="J19" s="15">
        <v>0</v>
      </c>
      <c r="K19" s="14">
        <f t="shared" si="4"/>
        <v>0</v>
      </c>
      <c r="L19" s="15">
        <f t="shared" si="9"/>
        <v>0.98804942500000004</v>
      </c>
      <c r="M19" s="35">
        <f t="shared" si="10"/>
        <v>237131.86200000002</v>
      </c>
      <c r="O19" s="10">
        <f t="shared" si="6"/>
        <v>240000.00000000003</v>
      </c>
      <c r="Q19" s="79">
        <f t="shared" si="7"/>
        <v>1</v>
      </c>
    </row>
    <row r="20" spans="3:17" ht="13.5" thickBot="1" x14ac:dyDescent="0.25">
      <c r="C20" s="11"/>
      <c r="D20" s="14"/>
      <c r="E20" s="11"/>
      <c r="H20" s="36">
        <f>SUM(H11:H19)</f>
        <v>421174.31293640012</v>
      </c>
      <c r="I20" s="163"/>
      <c r="J20" s="11">
        <v>0</v>
      </c>
      <c r="K20" s="36">
        <f>SUM(K11:K19)</f>
        <v>9651.7428379099983</v>
      </c>
      <c r="L20" s="11"/>
      <c r="M20" s="176">
        <f>SUM(M11:M19)</f>
        <v>2612998.1942256908</v>
      </c>
    </row>
    <row r="21" spans="3:17" ht="13.5" thickTop="1" x14ac:dyDescent="0.2"/>
    <row r="22" spans="3:17" x14ac:dyDescent="0.2">
      <c r="F22" s="105">
        <f>SUM(F11:F21)</f>
        <v>3043824.25</v>
      </c>
      <c r="H22" s="170"/>
      <c r="I22" s="171" t="s">
        <v>178</v>
      </c>
      <c r="O22" s="10">
        <f>SUM(O11:O21)</f>
        <v>3061698.65</v>
      </c>
    </row>
    <row r="23" spans="3:17" x14ac:dyDescent="0.2">
      <c r="H23" s="172"/>
      <c r="I23" s="171" t="s">
        <v>188</v>
      </c>
    </row>
    <row r="28" spans="3:17" ht="15" x14ac:dyDescent="0.25">
      <c r="C28" s="11"/>
      <c r="D28" s="233" t="s">
        <v>97</v>
      </c>
      <c r="E28" s="233"/>
      <c r="F28" s="233"/>
      <c r="G28" s="86"/>
      <c r="H28" s="81"/>
      <c r="I28" s="81"/>
      <c r="J28" s="37"/>
      <c r="K28" s="37"/>
      <c r="L28" s="82"/>
    </row>
    <row r="29" spans="3:17" ht="15" x14ac:dyDescent="0.25">
      <c r="C29" s="17"/>
      <c r="D29" s="234" t="s">
        <v>149</v>
      </c>
      <c r="E29" s="234"/>
      <c r="F29" s="234"/>
      <c r="G29" s="17"/>
      <c r="H29" s="17"/>
      <c r="I29" s="17"/>
      <c r="J29" s="17"/>
      <c r="K29" s="17"/>
    </row>
    <row r="30" spans="3:17" ht="60" x14ac:dyDescent="0.25">
      <c r="C30" s="12" t="s">
        <v>9</v>
      </c>
      <c r="D30" s="25" t="s">
        <v>98</v>
      </c>
      <c r="E30" s="13" t="s">
        <v>94</v>
      </c>
      <c r="F30" s="25" t="s">
        <v>100</v>
      </c>
      <c r="G30" s="25" t="s">
        <v>30</v>
      </c>
      <c r="H30" s="13" t="s">
        <v>25</v>
      </c>
      <c r="I30" s="13" t="s">
        <v>28</v>
      </c>
      <c r="J30" s="13" t="s">
        <v>26</v>
      </c>
      <c r="K30" s="13" t="s">
        <v>27</v>
      </c>
      <c r="L30" s="13" t="s">
        <v>28</v>
      </c>
      <c r="M30" s="13" t="s">
        <v>29</v>
      </c>
    </row>
    <row r="31" spans="3:17" x14ac:dyDescent="0.2">
      <c r="C31" s="11" t="s">
        <v>4</v>
      </c>
      <c r="D31" s="83">
        <v>2147393</v>
      </c>
      <c r="E31" s="15">
        <f t="shared" ref="E31:E39" si="11">(F31-D31)/D31</f>
        <v>9.9007028522492158E-2</v>
      </c>
      <c r="F31" s="16">
        <v>2360000</v>
      </c>
      <c r="G31" s="24">
        <f t="shared" ref="G31:G36" si="12">H31/F31</f>
        <v>0.15859771182203392</v>
      </c>
      <c r="H31" s="35">
        <v>374290.59990000003</v>
      </c>
      <c r="I31" s="15">
        <f>1-G31</f>
        <v>0.84140228817796614</v>
      </c>
      <c r="J31" s="15">
        <f>0.834*0.005</f>
        <v>4.1700000000000001E-3</v>
      </c>
      <c r="K31" s="14">
        <f t="shared" ref="K31:K39" si="13">F31-H31-M31</f>
        <v>9928.5500999998767</v>
      </c>
      <c r="L31" s="15">
        <f>0.995*I31</f>
        <v>0.83719527673707628</v>
      </c>
      <c r="M31" s="35">
        <v>1975780.85</v>
      </c>
      <c r="O31" s="10">
        <f>H31+K31+M31</f>
        <v>2360000</v>
      </c>
      <c r="Q31" s="79">
        <f>L31+J31+G31</f>
        <v>0.99996298855911014</v>
      </c>
    </row>
    <row r="32" spans="3:17" x14ac:dyDescent="0.2">
      <c r="C32" s="11" t="s">
        <v>10</v>
      </c>
      <c r="D32" s="83">
        <v>-82183</v>
      </c>
      <c r="E32" s="15">
        <f t="shared" si="11"/>
        <v>-1</v>
      </c>
      <c r="F32" s="16">
        <v>0</v>
      </c>
      <c r="G32" s="24">
        <v>9.9599999999999994E-2</v>
      </c>
      <c r="H32" s="35">
        <v>0</v>
      </c>
      <c r="I32" s="15">
        <f t="shared" ref="I32:I39" si="14">1-G32</f>
        <v>0.90039999999999998</v>
      </c>
      <c r="J32" s="15">
        <v>4.4999999999999997E-3</v>
      </c>
      <c r="K32" s="14">
        <f t="shared" si="13"/>
        <v>0</v>
      </c>
      <c r="L32" s="15">
        <f t="shared" ref="L32:L33" si="15">0.995*I32</f>
        <v>0.89589799999999997</v>
      </c>
      <c r="M32" s="35">
        <f>F32*L32</f>
        <v>0</v>
      </c>
      <c r="O32" s="10">
        <f t="shared" ref="O32:O39" si="16">H32+K32+M32</f>
        <v>0</v>
      </c>
      <c r="Q32" s="79">
        <f t="shared" ref="Q32:Q39" si="17">L32+J32+G32</f>
        <v>0.99999799999999994</v>
      </c>
    </row>
    <row r="33" spans="3:17" x14ac:dyDescent="0.2">
      <c r="C33" s="11" t="s">
        <v>5</v>
      </c>
      <c r="D33" s="83">
        <v>43369.409999999996</v>
      </c>
      <c r="E33" s="15">
        <f t="shared" si="11"/>
        <v>9.9468496343390417E-2</v>
      </c>
      <c r="F33" s="16">
        <f>45412.6+2270.7</f>
        <v>47683.299999999996</v>
      </c>
      <c r="G33" s="24">
        <f t="shared" si="12"/>
        <v>0.15853118387359938</v>
      </c>
      <c r="H33" s="35">
        <v>7559.29</v>
      </c>
      <c r="I33" s="15">
        <f t="shared" si="14"/>
        <v>0.84146881612640057</v>
      </c>
      <c r="J33" s="15">
        <f>0.834*0.005</f>
        <v>4.1700000000000001E-3</v>
      </c>
      <c r="K33" s="14">
        <f t="shared" si="13"/>
        <v>201.21999999999389</v>
      </c>
      <c r="L33" s="15">
        <f t="shared" si="15"/>
        <v>0.83726147204576851</v>
      </c>
      <c r="M33" s="35">
        <v>39922.79</v>
      </c>
      <c r="O33" s="10">
        <f t="shared" si="16"/>
        <v>47683.299999999996</v>
      </c>
      <c r="Q33" s="79">
        <f t="shared" si="17"/>
        <v>0.99996265591936795</v>
      </c>
    </row>
    <row r="34" spans="3:17" x14ac:dyDescent="0.2">
      <c r="C34" s="11" t="s">
        <v>207</v>
      </c>
      <c r="D34" s="83"/>
      <c r="E34" s="15"/>
      <c r="F34" s="16">
        <v>0</v>
      </c>
      <c r="G34" s="24"/>
      <c r="H34" s="35">
        <v>0</v>
      </c>
      <c r="I34" s="15"/>
      <c r="J34" s="15"/>
      <c r="K34" s="14">
        <v>0</v>
      </c>
      <c r="L34" s="15"/>
      <c r="M34" s="35">
        <v>0</v>
      </c>
      <c r="O34" s="10"/>
      <c r="Q34" s="79"/>
    </row>
    <row r="35" spans="3:17" x14ac:dyDescent="0.2">
      <c r="C35" s="11" t="s">
        <v>6</v>
      </c>
      <c r="D35" s="83">
        <v>766068</v>
      </c>
      <c r="E35" s="15">
        <f t="shared" si="11"/>
        <v>3.000125315246166E-2</v>
      </c>
      <c r="F35" s="16">
        <v>789051</v>
      </c>
      <c r="G35" s="24">
        <f t="shared" si="12"/>
        <v>9.5999878334860483E-2</v>
      </c>
      <c r="H35" s="35">
        <v>75748.800000000003</v>
      </c>
      <c r="I35" s="15">
        <f t="shared" si="14"/>
        <v>0.90400012166513954</v>
      </c>
      <c r="J35" s="15">
        <v>0</v>
      </c>
      <c r="K35" s="14">
        <f t="shared" si="13"/>
        <v>3.8399999029934406E-3</v>
      </c>
      <c r="L35" s="15">
        <f>I35</f>
        <v>0.90400012166513954</v>
      </c>
      <c r="M35" s="35">
        <v>713302.19616000005</v>
      </c>
      <c r="O35" s="10">
        <f t="shared" si="16"/>
        <v>789051</v>
      </c>
      <c r="Q35" s="79">
        <f t="shared" si="17"/>
        <v>1</v>
      </c>
    </row>
    <row r="36" spans="3:17" x14ac:dyDescent="0.2">
      <c r="C36" s="11" t="s">
        <v>7</v>
      </c>
      <c r="D36" s="83">
        <v>16087.43</v>
      </c>
      <c r="E36" s="15">
        <f t="shared" si="11"/>
        <v>3.0009143784930248E-2</v>
      </c>
      <c r="F36" s="16">
        <f>789.1+15781.1</f>
        <v>16570.2</v>
      </c>
      <c r="G36" s="24">
        <f t="shared" si="12"/>
        <v>9.5999147771300281E-2</v>
      </c>
      <c r="H36" s="35">
        <v>1590.7250784</v>
      </c>
      <c r="I36" s="15">
        <f t="shared" si="14"/>
        <v>0.90400085222869975</v>
      </c>
      <c r="J36" s="15">
        <v>0</v>
      </c>
      <c r="K36" s="14">
        <v>0</v>
      </c>
      <c r="L36" s="15">
        <f t="shared" ref="L36:L39" si="18">I36</f>
        <v>0.90400085222869975</v>
      </c>
      <c r="M36" s="35">
        <v>14979.47</v>
      </c>
      <c r="O36" s="10">
        <f t="shared" si="16"/>
        <v>16570.1950784</v>
      </c>
      <c r="Q36" s="79">
        <f t="shared" si="17"/>
        <v>1</v>
      </c>
    </row>
    <row r="37" spans="3:17" x14ac:dyDescent="0.2">
      <c r="C37" s="85" t="s">
        <v>32</v>
      </c>
      <c r="D37" s="83">
        <v>-184062</v>
      </c>
      <c r="E37" s="15">
        <f t="shared" si="11"/>
        <v>-1</v>
      </c>
      <c r="F37" s="16">
        <v>0</v>
      </c>
      <c r="G37" s="24">
        <v>9.6000000000000002E-2</v>
      </c>
      <c r="H37" s="35">
        <v>0</v>
      </c>
      <c r="I37" s="15">
        <f t="shared" si="14"/>
        <v>0.90400000000000003</v>
      </c>
      <c r="J37" s="15">
        <v>0</v>
      </c>
      <c r="K37" s="14">
        <f t="shared" si="13"/>
        <v>0</v>
      </c>
      <c r="L37" s="15">
        <f t="shared" si="18"/>
        <v>0.90400000000000003</v>
      </c>
      <c r="M37" s="35">
        <f t="shared" ref="M37:M38" si="19">+L37*F37</f>
        <v>0</v>
      </c>
      <c r="O37" s="10">
        <f t="shared" si="16"/>
        <v>0</v>
      </c>
      <c r="Q37" s="79">
        <f t="shared" si="17"/>
        <v>1</v>
      </c>
    </row>
    <row r="38" spans="3:17" x14ac:dyDescent="0.2">
      <c r="C38" s="85" t="s">
        <v>50</v>
      </c>
      <c r="D38" s="83">
        <v>-115599</v>
      </c>
      <c r="E38" s="15">
        <f t="shared" si="11"/>
        <v>-1</v>
      </c>
      <c r="F38" s="84">
        <v>0</v>
      </c>
      <c r="G38" s="24">
        <v>9.6000000000000002E-2</v>
      </c>
      <c r="H38" s="35">
        <v>0</v>
      </c>
      <c r="I38" s="15">
        <f t="shared" si="14"/>
        <v>0.90400000000000003</v>
      </c>
      <c r="J38" s="15">
        <v>0</v>
      </c>
      <c r="K38" s="14">
        <f t="shared" si="13"/>
        <v>0</v>
      </c>
      <c r="L38" s="15">
        <f t="shared" si="18"/>
        <v>0.90400000000000003</v>
      </c>
      <c r="M38" s="35">
        <f t="shared" si="19"/>
        <v>0</v>
      </c>
      <c r="O38" s="10">
        <f t="shared" si="16"/>
        <v>0</v>
      </c>
      <c r="Q38" s="79">
        <f t="shared" si="17"/>
        <v>1</v>
      </c>
    </row>
    <row r="39" spans="3:17" x14ac:dyDescent="0.2">
      <c r="C39" s="11" t="s">
        <v>8</v>
      </c>
      <c r="D39" s="83">
        <v>182000</v>
      </c>
      <c r="E39" s="15">
        <f t="shared" si="11"/>
        <v>0.31868131868131866</v>
      </c>
      <c r="F39" s="16">
        <v>240000</v>
      </c>
      <c r="G39" s="15">
        <f>H39/F39</f>
        <v>1.1950583333333332E-2</v>
      </c>
      <c r="H39" s="35">
        <v>2868.14</v>
      </c>
      <c r="I39" s="15">
        <f t="shared" si="14"/>
        <v>0.98804941666666668</v>
      </c>
      <c r="J39" s="15">
        <v>0</v>
      </c>
      <c r="K39" s="14">
        <f t="shared" si="13"/>
        <v>0</v>
      </c>
      <c r="L39" s="15">
        <f t="shared" si="18"/>
        <v>0.98804941666666668</v>
      </c>
      <c r="M39" s="35">
        <v>237131.86</v>
      </c>
      <c r="O39" s="10">
        <f t="shared" si="16"/>
        <v>240000</v>
      </c>
      <c r="Q39" s="79">
        <f t="shared" si="17"/>
        <v>1</v>
      </c>
    </row>
    <row r="40" spans="3:17" ht="13.5" thickBot="1" x14ac:dyDescent="0.25">
      <c r="C40" s="11"/>
      <c r="D40" s="14"/>
      <c r="E40" s="11"/>
      <c r="H40" s="36">
        <f>SUM(H31:H39)</f>
        <v>462057.5549784</v>
      </c>
      <c r="I40" s="163"/>
      <c r="J40" s="11"/>
      <c r="K40" s="36">
        <f>SUM(K31:K39)</f>
        <v>10129.773939999774</v>
      </c>
      <c r="L40" s="11"/>
      <c r="M40" s="36">
        <f>SUM(M31:M39)</f>
        <v>2981117.1661600005</v>
      </c>
    </row>
    <row r="41" spans="3:17" ht="13.5" thickTop="1" x14ac:dyDescent="0.2">
      <c r="F41" s="105">
        <f>SUM(F31:F40)</f>
        <v>3453304.5</v>
      </c>
      <c r="O41" s="10">
        <f>SUM(O31:O40)</f>
        <v>3453304.4950783998</v>
      </c>
    </row>
    <row r="42" spans="3:17" x14ac:dyDescent="0.2">
      <c r="F42" s="75"/>
      <c r="M42" s="10"/>
    </row>
    <row r="43" spans="3:17" x14ac:dyDescent="0.2">
      <c r="H43" s="170"/>
      <c r="I43" s="171" t="s">
        <v>178</v>
      </c>
    </row>
  </sheetData>
  <mergeCells count="4">
    <mergeCell ref="D8:F8"/>
    <mergeCell ref="D9:F9"/>
    <mergeCell ref="D28:F28"/>
    <mergeCell ref="D29:F29"/>
  </mergeCells>
  <pageMargins left="0.7" right="0.7" top="0.75" bottom="0.75" header="0.3" footer="0.3"/>
  <pageSetup scale="5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3:J29"/>
  <sheetViews>
    <sheetView zoomScale="85" zoomScaleNormal="85" workbookViewId="0">
      <selection activeCell="M24" sqref="M24"/>
    </sheetView>
  </sheetViews>
  <sheetFormatPr defaultRowHeight="12.75" x14ac:dyDescent="0.2"/>
  <cols>
    <col min="3" max="3" width="35.85546875" bestFit="1" customWidth="1"/>
    <col min="4" max="4" width="10.140625" bestFit="1" customWidth="1"/>
    <col min="5" max="5" width="12.42578125" customWidth="1"/>
    <col min="6" max="6" width="13.7109375" customWidth="1"/>
    <col min="7" max="7" width="11.85546875" customWidth="1"/>
    <col min="8" max="8" width="12.85546875" customWidth="1"/>
    <col min="10" max="10" width="13.42578125" customWidth="1"/>
  </cols>
  <sheetData>
    <row r="3" spans="2:10" x14ac:dyDescent="0.2">
      <c r="E3" s="76" t="s">
        <v>67</v>
      </c>
    </row>
    <row r="5" spans="2:10" ht="60" x14ac:dyDescent="0.25">
      <c r="C5" s="12" t="s">
        <v>9</v>
      </c>
      <c r="D5" s="25" t="s">
        <v>49</v>
      </c>
      <c r="E5" s="25" t="s">
        <v>30</v>
      </c>
      <c r="F5" s="13" t="s">
        <v>25</v>
      </c>
      <c r="G5" s="13" t="s">
        <v>26</v>
      </c>
      <c r="H5" s="13" t="s">
        <v>27</v>
      </c>
      <c r="I5" s="13" t="s">
        <v>28</v>
      </c>
      <c r="J5" s="13" t="s">
        <v>29</v>
      </c>
    </row>
    <row r="6" spans="2:10" x14ac:dyDescent="0.2">
      <c r="C6" s="11" t="s">
        <v>4</v>
      </c>
      <c r="D6" s="16">
        <f>2030287+75000</f>
        <v>2105287</v>
      </c>
      <c r="E6" s="15">
        <v>0.16600000000000001</v>
      </c>
      <c r="F6" s="14">
        <f>+D6*E6</f>
        <v>349477.64199999999</v>
      </c>
      <c r="G6" s="15">
        <f>0.834*0.005</f>
        <v>4.1700000000000001E-3</v>
      </c>
      <c r="H6" s="14">
        <f>+D6*G6</f>
        <v>8779.0467900000003</v>
      </c>
      <c r="I6" s="15">
        <f>0.834*0.995</f>
        <v>0.82982999999999996</v>
      </c>
      <c r="J6" s="14">
        <f t="shared" ref="J6:J13" si="0">+I6*D6</f>
        <v>1747030.31121</v>
      </c>
    </row>
    <row r="7" spans="2:10" x14ac:dyDescent="0.2">
      <c r="C7" s="38" t="s">
        <v>10</v>
      </c>
      <c r="D7" s="39">
        <v>-60263</v>
      </c>
      <c r="E7" s="15">
        <v>6.6400000000000001E-2</v>
      </c>
      <c r="F7" s="14">
        <f>+D7*E7</f>
        <v>-4001.4632000000001</v>
      </c>
      <c r="G7" s="15">
        <v>4.1999999999999997E-3</v>
      </c>
      <c r="H7" s="14">
        <f>+D7*G7</f>
        <v>-253.10459999999998</v>
      </c>
      <c r="I7" s="15">
        <f>(1-E7-G7)</f>
        <v>0.9294</v>
      </c>
      <c r="J7" s="39">
        <f t="shared" si="0"/>
        <v>-56008.432200000003</v>
      </c>
    </row>
    <row r="8" spans="2:10" x14ac:dyDescent="0.2">
      <c r="C8" s="11" t="s">
        <v>5</v>
      </c>
      <c r="D8" s="16">
        <f>40900.48+2045.02</f>
        <v>42945.5</v>
      </c>
      <c r="E8" s="15">
        <v>0.16600000000000001</v>
      </c>
      <c r="F8" s="14">
        <f t="shared" ref="F8:F13" si="1">+D8*E8</f>
        <v>7128.9530000000004</v>
      </c>
      <c r="G8" s="15">
        <f>0.834*0.005</f>
        <v>4.1700000000000001E-3</v>
      </c>
      <c r="H8" s="14">
        <f t="shared" ref="H8:H13" si="2">+D8*G8</f>
        <v>179.08273500000001</v>
      </c>
      <c r="I8" s="15">
        <f>0.834*0.995</f>
        <v>0.82982999999999996</v>
      </c>
      <c r="J8" s="14">
        <f t="shared" si="0"/>
        <v>35637.464264999995</v>
      </c>
    </row>
    <row r="9" spans="2:10" x14ac:dyDescent="0.2">
      <c r="C9" s="11" t="s">
        <v>6</v>
      </c>
      <c r="D9" s="16">
        <v>766068</v>
      </c>
      <c r="E9" s="15">
        <v>9.6000000000000002E-2</v>
      </c>
      <c r="F9" s="14">
        <f t="shared" si="1"/>
        <v>73542.528000000006</v>
      </c>
      <c r="G9" s="15">
        <v>0</v>
      </c>
      <c r="H9" s="14">
        <f t="shared" si="2"/>
        <v>0</v>
      </c>
      <c r="I9" s="15">
        <v>0.90400000000000003</v>
      </c>
      <c r="J9" s="14">
        <f t="shared" si="0"/>
        <v>692525.47200000007</v>
      </c>
    </row>
    <row r="10" spans="2:10" x14ac:dyDescent="0.2">
      <c r="C10" s="11" t="s">
        <v>7</v>
      </c>
      <c r="D10" s="16">
        <f>15321.36+766.07</f>
        <v>16087.43</v>
      </c>
      <c r="E10" s="15">
        <v>9.6000000000000002E-2</v>
      </c>
      <c r="F10" s="14">
        <f t="shared" si="1"/>
        <v>1544.39328</v>
      </c>
      <c r="G10" s="15">
        <v>0</v>
      </c>
      <c r="H10" s="14">
        <f t="shared" si="2"/>
        <v>0</v>
      </c>
      <c r="I10" s="15">
        <v>0.90400000000000003</v>
      </c>
      <c r="J10" s="14">
        <f t="shared" si="0"/>
        <v>14543.03672</v>
      </c>
    </row>
    <row r="11" spans="2:10" x14ac:dyDescent="0.2">
      <c r="C11" s="40" t="s">
        <v>32</v>
      </c>
      <c r="D11" s="39">
        <v>-184062</v>
      </c>
      <c r="E11" s="24">
        <f>0.096*(3/5)</f>
        <v>5.7599999999999998E-2</v>
      </c>
      <c r="F11" s="14">
        <f t="shared" si="1"/>
        <v>-10601.9712</v>
      </c>
      <c r="G11" s="15">
        <v>0</v>
      </c>
      <c r="H11" s="14">
        <f t="shared" si="2"/>
        <v>0</v>
      </c>
      <c r="I11" s="15">
        <f>(1-E11-G11)</f>
        <v>0.94240000000000002</v>
      </c>
      <c r="J11" s="39">
        <f t="shared" si="0"/>
        <v>-173460.0288</v>
      </c>
    </row>
    <row r="12" spans="2:10" x14ac:dyDescent="0.2">
      <c r="B12" t="s">
        <v>131</v>
      </c>
      <c r="C12" s="40" t="s">
        <v>50</v>
      </c>
      <c r="D12" s="39">
        <v>-115599</v>
      </c>
      <c r="E12" s="24">
        <f>0.096*(3/5)</f>
        <v>5.7599999999999998E-2</v>
      </c>
      <c r="F12" s="14">
        <f t="shared" si="1"/>
        <v>-6658.5023999999994</v>
      </c>
      <c r="G12" s="15">
        <v>0</v>
      </c>
      <c r="H12" s="14">
        <f t="shared" si="2"/>
        <v>0</v>
      </c>
      <c r="I12" s="15">
        <f>(1-E12-G12)</f>
        <v>0.94240000000000002</v>
      </c>
      <c r="J12" s="39">
        <f t="shared" si="0"/>
        <v>-108940.4976</v>
      </c>
    </row>
    <row r="13" spans="2:10" x14ac:dyDescent="0.2">
      <c r="C13" s="11" t="s">
        <v>8</v>
      </c>
      <c r="D13" s="16">
        <v>182000</v>
      </c>
      <c r="E13" s="15">
        <v>1.5299999999999999E-2</v>
      </c>
      <c r="F13" s="14">
        <f t="shared" si="1"/>
        <v>2784.6</v>
      </c>
      <c r="G13" s="15">
        <v>0</v>
      </c>
      <c r="H13" s="14">
        <f t="shared" si="2"/>
        <v>0</v>
      </c>
      <c r="I13" s="15">
        <v>0.98470000000000002</v>
      </c>
      <c r="J13" s="14">
        <f t="shared" si="0"/>
        <v>179215.4</v>
      </c>
    </row>
    <row r="14" spans="2:10" ht="13.5" thickBot="1" x14ac:dyDescent="0.25">
      <c r="C14" s="11"/>
      <c r="D14" s="9"/>
      <c r="E14" s="9"/>
      <c r="F14" s="23">
        <f>SUM(F6:F13)</f>
        <v>413216.17947999993</v>
      </c>
      <c r="G14" s="11"/>
      <c r="H14" s="23">
        <f>SUM(H6:H13)</f>
        <v>8705.0249249999997</v>
      </c>
      <c r="I14" s="11"/>
      <c r="J14" s="158">
        <f>SUM(J6:J13)</f>
        <v>2330542.7255950007</v>
      </c>
    </row>
    <row r="15" spans="2:10" ht="13.5" thickTop="1" x14ac:dyDescent="0.2"/>
    <row r="17" spans="3:10" x14ac:dyDescent="0.2">
      <c r="C17" s="9"/>
      <c r="D17" s="9"/>
      <c r="E17" s="76" t="s">
        <v>68</v>
      </c>
      <c r="F17" s="9"/>
      <c r="G17" s="9"/>
      <c r="H17" s="9"/>
      <c r="I17" s="9"/>
      <c r="J17" s="9"/>
    </row>
    <row r="18" spans="3:10" x14ac:dyDescent="0.2">
      <c r="C18" s="9"/>
      <c r="D18" s="9"/>
      <c r="E18" s="9"/>
      <c r="F18" s="9"/>
      <c r="G18" s="9"/>
      <c r="H18" s="9"/>
      <c r="I18" s="9"/>
      <c r="J18" s="9"/>
    </row>
    <row r="19" spans="3:10" ht="60" x14ac:dyDescent="0.25">
      <c r="C19" s="12" t="s">
        <v>9</v>
      </c>
      <c r="D19" s="25" t="s">
        <v>49</v>
      </c>
      <c r="E19" s="25" t="s">
        <v>30</v>
      </c>
      <c r="F19" s="13" t="s">
        <v>25</v>
      </c>
      <c r="G19" s="13" t="s">
        <v>26</v>
      </c>
      <c r="H19" s="13" t="s">
        <v>27</v>
      </c>
      <c r="I19" s="13" t="s">
        <v>28</v>
      </c>
      <c r="J19" s="13" t="s">
        <v>29</v>
      </c>
    </row>
    <row r="20" spans="3:10" x14ac:dyDescent="0.2">
      <c r="C20" s="11" t="s">
        <v>4</v>
      </c>
      <c r="D20" s="16">
        <f>2030287+75000</f>
        <v>2105287</v>
      </c>
      <c r="E20" s="15">
        <v>0.16600000000000001</v>
      </c>
      <c r="F20" s="14">
        <f>+D20*E20</f>
        <v>349477.64199999999</v>
      </c>
      <c r="G20" s="15">
        <f>0.834*0.005</f>
        <v>4.1700000000000001E-3</v>
      </c>
      <c r="H20" s="14">
        <f>+D20*G20</f>
        <v>8779.0467900000003</v>
      </c>
      <c r="I20" s="15">
        <f>0.834*0.995</f>
        <v>0.82982999999999996</v>
      </c>
      <c r="J20" s="14">
        <f t="shared" ref="J20:J27" si="3">+I20*D20</f>
        <v>1747030.31121</v>
      </c>
    </row>
    <row r="21" spans="3:10" x14ac:dyDescent="0.2">
      <c r="C21" s="38" t="s">
        <v>10</v>
      </c>
      <c r="D21" s="39">
        <v>0</v>
      </c>
      <c r="E21" s="15">
        <v>6.6400000000000001E-2</v>
      </c>
      <c r="F21" s="14">
        <f>+D21*E21</f>
        <v>0</v>
      </c>
      <c r="G21" s="15">
        <v>4.1999999999999997E-3</v>
      </c>
      <c r="H21" s="14">
        <f>+D21*G21</f>
        <v>0</v>
      </c>
      <c r="I21" s="15">
        <f>(1-E21-G21)</f>
        <v>0.9294</v>
      </c>
      <c r="J21" s="39">
        <f t="shared" si="3"/>
        <v>0</v>
      </c>
    </row>
    <row r="22" spans="3:10" x14ac:dyDescent="0.2">
      <c r="C22" s="11" t="s">
        <v>5</v>
      </c>
      <c r="D22" s="16">
        <f>40900.48+2045.02</f>
        <v>42945.5</v>
      </c>
      <c r="E22" s="15">
        <v>0.16600000000000001</v>
      </c>
      <c r="F22" s="14">
        <f t="shared" ref="F22:F27" si="4">+D22*E22</f>
        <v>7128.9530000000004</v>
      </c>
      <c r="G22" s="15">
        <f>0.834*0.005</f>
        <v>4.1700000000000001E-3</v>
      </c>
      <c r="H22" s="14">
        <f t="shared" ref="H22:H27" si="5">+D22*G22</f>
        <v>179.08273500000001</v>
      </c>
      <c r="I22" s="15">
        <f>0.834*0.995</f>
        <v>0.82982999999999996</v>
      </c>
      <c r="J22" s="14">
        <f t="shared" si="3"/>
        <v>35637.464264999995</v>
      </c>
    </row>
    <row r="23" spans="3:10" x14ac:dyDescent="0.2">
      <c r="C23" s="11" t="s">
        <v>6</v>
      </c>
      <c r="D23" s="16">
        <v>766068</v>
      </c>
      <c r="E23" s="15">
        <v>9.6000000000000002E-2</v>
      </c>
      <c r="F23" s="14">
        <f t="shared" si="4"/>
        <v>73542.528000000006</v>
      </c>
      <c r="G23" s="15">
        <v>0</v>
      </c>
      <c r="H23" s="14">
        <f t="shared" si="5"/>
        <v>0</v>
      </c>
      <c r="I23" s="15">
        <v>0.90400000000000003</v>
      </c>
      <c r="J23" s="14">
        <f t="shared" si="3"/>
        <v>692525.47200000007</v>
      </c>
    </row>
    <row r="24" spans="3:10" x14ac:dyDescent="0.2">
      <c r="C24" s="11" t="s">
        <v>7</v>
      </c>
      <c r="D24" s="16">
        <f>15321.36+766.07</f>
        <v>16087.43</v>
      </c>
      <c r="E24" s="15">
        <v>9.6000000000000002E-2</v>
      </c>
      <c r="F24" s="14">
        <f t="shared" si="4"/>
        <v>1544.39328</v>
      </c>
      <c r="G24" s="15">
        <v>0</v>
      </c>
      <c r="H24" s="14">
        <f t="shared" si="5"/>
        <v>0</v>
      </c>
      <c r="I24" s="15">
        <v>0.90400000000000003</v>
      </c>
      <c r="J24" s="14">
        <f t="shared" si="3"/>
        <v>14543.03672</v>
      </c>
    </row>
    <row r="25" spans="3:10" x14ac:dyDescent="0.2">
      <c r="C25" s="40" t="s">
        <v>32</v>
      </c>
      <c r="D25" s="39">
        <v>0</v>
      </c>
      <c r="E25" s="24">
        <f>0.096*(3/5)</f>
        <v>5.7599999999999998E-2</v>
      </c>
      <c r="F25" s="14">
        <f t="shared" si="4"/>
        <v>0</v>
      </c>
      <c r="G25" s="15">
        <v>0</v>
      </c>
      <c r="H25" s="14">
        <f t="shared" si="5"/>
        <v>0</v>
      </c>
      <c r="I25" s="15">
        <f>(1-E25-G25)</f>
        <v>0.94240000000000002</v>
      </c>
      <c r="J25" s="39">
        <f t="shared" si="3"/>
        <v>0</v>
      </c>
    </row>
    <row r="26" spans="3:10" x14ac:dyDescent="0.2">
      <c r="C26" s="40" t="s">
        <v>50</v>
      </c>
      <c r="D26" s="39">
        <v>0</v>
      </c>
      <c r="E26" s="24">
        <f>0.096*(3/5)</f>
        <v>5.7599999999999998E-2</v>
      </c>
      <c r="F26" s="14">
        <f t="shared" si="4"/>
        <v>0</v>
      </c>
      <c r="G26" s="15">
        <v>0</v>
      </c>
      <c r="H26" s="14">
        <f t="shared" si="5"/>
        <v>0</v>
      </c>
      <c r="I26" s="15">
        <f>(1-E26-G26)</f>
        <v>0.94240000000000002</v>
      </c>
      <c r="J26" s="39">
        <f t="shared" si="3"/>
        <v>0</v>
      </c>
    </row>
    <row r="27" spans="3:10" x14ac:dyDescent="0.2">
      <c r="C27" s="11" t="s">
        <v>8</v>
      </c>
      <c r="D27" s="16">
        <v>182000</v>
      </c>
      <c r="E27" s="15">
        <v>1.5299999999999999E-2</v>
      </c>
      <c r="F27" s="14">
        <f t="shared" si="4"/>
        <v>2784.6</v>
      </c>
      <c r="G27" s="15">
        <v>0</v>
      </c>
      <c r="H27" s="14">
        <f t="shared" si="5"/>
        <v>0</v>
      </c>
      <c r="I27" s="15">
        <v>0.98470000000000002</v>
      </c>
      <c r="J27" s="14">
        <f t="shared" si="3"/>
        <v>179215.4</v>
      </c>
    </row>
    <row r="28" spans="3:10" ht="13.5" thickBot="1" x14ac:dyDescent="0.25">
      <c r="C28" s="11"/>
      <c r="D28" s="9"/>
      <c r="E28" s="9"/>
      <c r="F28" s="23">
        <f>SUM(F20:F27)</f>
        <v>434478.11627999996</v>
      </c>
      <c r="G28" s="11"/>
      <c r="H28" s="23">
        <f>SUM(H20:H27)</f>
        <v>8958.1295250000003</v>
      </c>
      <c r="I28" s="11"/>
      <c r="J28" s="23">
        <f>SUM(J20:J27)</f>
        <v>2668951.6841950002</v>
      </c>
    </row>
    <row r="29" spans="3:10" ht="13.5" thickTop="1" x14ac:dyDescent="0.2"/>
  </sheetData>
  <pageMargins left="0.7" right="0.7" top="0.75" bottom="0.75" header="0.3" footer="0.3"/>
  <pageSetup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9.140625" defaultRowHeight="12.75" x14ac:dyDescent="0.2"/>
  <cols>
    <col min="1" max="16384" width="9.140625" style="109"/>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4:N52"/>
  <sheetViews>
    <sheetView zoomScale="85" zoomScaleNormal="85" workbookViewId="0">
      <selection activeCell="M24" sqref="M24"/>
    </sheetView>
  </sheetViews>
  <sheetFormatPr defaultColWidth="9.140625" defaultRowHeight="12.75" x14ac:dyDescent="0.2"/>
  <cols>
    <col min="1" max="1" width="9.140625" style="9"/>
    <col min="2" max="2" width="15.28515625" style="9" customWidth="1"/>
    <col min="3" max="3" width="35.85546875" style="9" customWidth="1"/>
    <col min="4" max="4" width="11.28515625" style="9" customWidth="1"/>
    <col min="5" max="5" width="21.85546875" style="9" customWidth="1"/>
    <col min="6" max="8" width="9.140625" style="9"/>
    <col min="9" max="9" width="19" style="9" customWidth="1"/>
    <col min="10" max="10" width="14.140625" style="9" customWidth="1"/>
    <col min="11" max="11" width="9.140625" style="9"/>
    <col min="12" max="12" width="10.140625" style="9" bestFit="1" customWidth="1"/>
    <col min="13" max="13" width="11.140625" style="9" bestFit="1" customWidth="1"/>
    <col min="14" max="14" width="14.140625" style="9" customWidth="1"/>
    <col min="15" max="16384" width="9.140625" style="9"/>
  </cols>
  <sheetData>
    <row r="4" spans="1:14" x14ac:dyDescent="0.2">
      <c r="E4" s="232" t="s">
        <v>179</v>
      </c>
      <c r="F4" s="232"/>
      <c r="G4" s="232"/>
      <c r="H4" s="232"/>
      <c r="I4" s="232"/>
      <c r="J4" s="232"/>
    </row>
    <row r="5" spans="1:14" x14ac:dyDescent="0.2">
      <c r="E5" s="232" t="s">
        <v>128</v>
      </c>
      <c r="F5" s="232"/>
      <c r="G5" s="232"/>
      <c r="H5" s="232"/>
      <c r="I5" s="232"/>
      <c r="J5" s="232"/>
    </row>
    <row r="7" spans="1:14" ht="60" x14ac:dyDescent="0.25">
      <c r="C7" s="87" t="s">
        <v>0</v>
      </c>
      <c r="D7" s="88" t="s">
        <v>150</v>
      </c>
      <c r="E7" s="88" t="s">
        <v>182</v>
      </c>
      <c r="F7" s="88" t="s">
        <v>166</v>
      </c>
      <c r="G7" s="88" t="s">
        <v>2</v>
      </c>
      <c r="H7" s="89" t="s">
        <v>105</v>
      </c>
      <c r="I7" s="88" t="s">
        <v>183</v>
      </c>
      <c r="J7" s="104" t="s">
        <v>184</v>
      </c>
      <c r="K7" s="88" t="s">
        <v>185</v>
      </c>
      <c r="L7" s="88" t="s">
        <v>2</v>
      </c>
      <c r="M7" s="104" t="s">
        <v>186</v>
      </c>
      <c r="N7" s="104" t="s">
        <v>187</v>
      </c>
    </row>
    <row r="8" spans="1:14" ht="15" x14ac:dyDescent="0.25">
      <c r="A8" s="91"/>
      <c r="C8" s="91" t="s">
        <v>4</v>
      </c>
      <c r="D8" s="173">
        <v>698000</v>
      </c>
      <c r="E8" s="92">
        <f>(89/365)*D8</f>
        <v>170197.26027397261</v>
      </c>
      <c r="F8" s="93">
        <v>0.94</v>
      </c>
      <c r="G8" s="94">
        <f t="shared" ref="G8:G21" si="0">+E8*F8</f>
        <v>159985.42465753425</v>
      </c>
      <c r="H8" s="95">
        <f>E8-G8</f>
        <v>10211.835616438359</v>
      </c>
      <c r="I8" s="93">
        <v>0.1</v>
      </c>
      <c r="J8" s="168">
        <f>D8*(1+I8)</f>
        <v>767800.00000000012</v>
      </c>
      <c r="K8" s="93">
        <v>0.94</v>
      </c>
      <c r="L8" s="105">
        <f>J8*K8</f>
        <v>721732.00000000012</v>
      </c>
      <c r="M8" s="105">
        <f>(276/365)*L8</f>
        <v>545748.03287671239</v>
      </c>
      <c r="N8" s="105">
        <f>G8+M8</f>
        <v>705733.45753424661</v>
      </c>
    </row>
    <row r="9" spans="1:14" ht="15" x14ac:dyDescent="0.25">
      <c r="A9" s="91"/>
      <c r="C9" s="91" t="s">
        <v>5</v>
      </c>
      <c r="D9" s="173">
        <v>7906.42</v>
      </c>
      <c r="E9" s="92">
        <f t="shared" ref="E9:E21" si="1">(89/365)*D9</f>
        <v>1927.866794520548</v>
      </c>
      <c r="F9" s="93">
        <v>0.94</v>
      </c>
      <c r="G9" s="94">
        <f t="shared" si="0"/>
        <v>1812.1947868493151</v>
      </c>
      <c r="H9" s="95">
        <f t="shared" ref="H9:H10" si="2">E9-G9</f>
        <v>115.6720076712329</v>
      </c>
      <c r="I9" s="93">
        <v>0.1</v>
      </c>
      <c r="J9" s="168">
        <f>D9*(1+I9)</f>
        <v>8697.0619999999999</v>
      </c>
      <c r="K9" s="93">
        <v>0.94</v>
      </c>
      <c r="L9" s="105">
        <f t="shared" ref="L9:L21" si="3">J9*K9</f>
        <v>8175.2382799999996</v>
      </c>
      <c r="M9" s="105">
        <f t="shared" ref="M9:M21" si="4">(276/365)*L9</f>
        <v>6181.824014465753</v>
      </c>
      <c r="N9" s="105">
        <f t="shared" ref="N9:N21" si="5">G9+M9</f>
        <v>7994.0188013150682</v>
      </c>
    </row>
    <row r="10" spans="1:14" ht="15" x14ac:dyDescent="0.25">
      <c r="A10" s="166"/>
      <c r="C10" s="165" t="s">
        <v>171</v>
      </c>
      <c r="D10" s="173">
        <v>-321504</v>
      </c>
      <c r="E10" s="92">
        <f t="shared" si="1"/>
        <v>-78394.126027397258</v>
      </c>
      <c r="F10" s="93">
        <v>0.94</v>
      </c>
      <c r="G10" s="94">
        <f t="shared" si="0"/>
        <v>-73690.478465753418</v>
      </c>
      <c r="H10" s="95">
        <f t="shared" si="2"/>
        <v>-4703.6475616438402</v>
      </c>
      <c r="I10" s="93">
        <f t="shared" ref="I10" si="6">(J10-D10)/D10</f>
        <v>-0.1944392604757639</v>
      </c>
      <c r="J10" s="167">
        <v>-258991</v>
      </c>
      <c r="K10" s="93">
        <v>0.94</v>
      </c>
      <c r="L10" s="105">
        <f t="shared" si="3"/>
        <v>-243451.53999999998</v>
      </c>
      <c r="M10" s="105">
        <f t="shared" si="4"/>
        <v>-184089.38367123285</v>
      </c>
      <c r="N10" s="105">
        <f t="shared" si="5"/>
        <v>-257779.86213698628</v>
      </c>
    </row>
    <row r="11" spans="1:14" ht="15" x14ac:dyDescent="0.25">
      <c r="A11" s="166"/>
      <c r="C11" s="191" t="s">
        <v>207</v>
      </c>
      <c r="D11" s="173"/>
      <c r="E11" s="92"/>
      <c r="F11" s="93"/>
      <c r="G11" s="94"/>
      <c r="H11" s="95"/>
      <c r="I11" s="93"/>
      <c r="J11" s="167">
        <f>'2020 D O est'!J11*2</f>
        <v>-128601.60000000001</v>
      </c>
      <c r="K11" s="93">
        <v>0.94</v>
      </c>
      <c r="L11" s="105">
        <f>J11*K11</f>
        <v>-120885.504</v>
      </c>
      <c r="M11" s="105">
        <f>L11</f>
        <v>-120885.504</v>
      </c>
      <c r="N11" s="105">
        <f>L11</f>
        <v>-120885.504</v>
      </c>
    </row>
    <row r="12" spans="1:14" ht="15" x14ac:dyDescent="0.25">
      <c r="C12" s="165" t="s">
        <v>161</v>
      </c>
      <c r="D12" s="173">
        <v>-50474.36</v>
      </c>
      <c r="E12" s="92">
        <v>0</v>
      </c>
      <c r="F12" s="93">
        <v>1</v>
      </c>
      <c r="G12" s="94">
        <f t="shared" si="0"/>
        <v>0</v>
      </c>
      <c r="H12" s="95"/>
      <c r="I12" s="93">
        <v>0</v>
      </c>
      <c r="J12" s="168">
        <f t="shared" ref="J12:J13" si="7">D12*(1+I12)</f>
        <v>-50474.36</v>
      </c>
      <c r="K12" s="93">
        <v>1</v>
      </c>
      <c r="L12" s="105">
        <f t="shared" si="3"/>
        <v>-50474.36</v>
      </c>
      <c r="M12" s="105">
        <f t="shared" si="4"/>
        <v>-38166.913315068494</v>
      </c>
      <c r="N12" s="105">
        <f>M12</f>
        <v>-38166.913315068494</v>
      </c>
    </row>
    <row r="13" spans="1:14" ht="15" x14ac:dyDescent="0.25">
      <c r="C13" s="165" t="s">
        <v>162</v>
      </c>
      <c r="D13" s="174">
        <v>-50474.36</v>
      </c>
      <c r="E13" s="92">
        <v>0</v>
      </c>
      <c r="F13" s="93">
        <v>1</v>
      </c>
      <c r="G13" s="94">
        <f t="shared" si="0"/>
        <v>0</v>
      </c>
      <c r="H13" s="95"/>
      <c r="I13" s="169">
        <v>0</v>
      </c>
      <c r="J13" s="168">
        <f t="shared" si="7"/>
        <v>-50474.36</v>
      </c>
      <c r="K13" s="93">
        <v>1</v>
      </c>
      <c r="L13" s="105">
        <f t="shared" si="3"/>
        <v>-50474.36</v>
      </c>
      <c r="M13" s="105">
        <f t="shared" si="4"/>
        <v>-38166.913315068494</v>
      </c>
      <c r="N13" s="105">
        <f>M13</f>
        <v>-38166.913315068494</v>
      </c>
    </row>
    <row r="14" spans="1:14" ht="15" x14ac:dyDescent="0.25">
      <c r="C14" s="91" t="s">
        <v>107</v>
      </c>
      <c r="D14" s="173">
        <v>287177</v>
      </c>
      <c r="E14" s="92">
        <f t="shared" si="1"/>
        <v>70023.980821917808</v>
      </c>
      <c r="F14" s="93">
        <v>1</v>
      </c>
      <c r="G14" s="94">
        <f t="shared" si="0"/>
        <v>70023.980821917808</v>
      </c>
      <c r="H14" s="97"/>
      <c r="I14" s="93">
        <v>0.1</v>
      </c>
      <c r="J14" s="168">
        <f>D14*(1+I14)</f>
        <v>315894.7</v>
      </c>
      <c r="K14" s="93">
        <v>1</v>
      </c>
      <c r="L14" s="105">
        <f t="shared" si="3"/>
        <v>315894.7</v>
      </c>
      <c r="M14" s="105">
        <f t="shared" si="4"/>
        <v>238868.32109589042</v>
      </c>
      <c r="N14" s="105">
        <f t="shared" si="5"/>
        <v>308892.30191780825</v>
      </c>
    </row>
    <row r="15" spans="1:14" ht="15" x14ac:dyDescent="0.25">
      <c r="C15" s="91" t="s">
        <v>108</v>
      </c>
      <c r="D15" s="173">
        <v>6030.72</v>
      </c>
      <c r="E15" s="92">
        <f t="shared" si="1"/>
        <v>1470.5043287671233</v>
      </c>
      <c r="F15" s="93">
        <v>1</v>
      </c>
      <c r="G15" s="94">
        <f t="shared" si="0"/>
        <v>1470.5043287671233</v>
      </c>
      <c r="H15" s="97"/>
      <c r="I15" s="93">
        <v>0.1</v>
      </c>
      <c r="J15" s="168">
        <f t="shared" ref="J15:J21" si="8">D15*(1+I15)</f>
        <v>6633.7920000000004</v>
      </c>
      <c r="K15" s="93">
        <v>1</v>
      </c>
      <c r="L15" s="105">
        <f t="shared" si="3"/>
        <v>6633.7920000000004</v>
      </c>
      <c r="M15" s="105">
        <f t="shared" si="4"/>
        <v>5016.2372383561651</v>
      </c>
      <c r="N15" s="105">
        <f t="shared" si="5"/>
        <v>6486.7415671232884</v>
      </c>
    </row>
    <row r="16" spans="1:14" ht="15" x14ac:dyDescent="0.25">
      <c r="A16" s="91"/>
      <c r="C16" s="166" t="s">
        <v>167</v>
      </c>
      <c r="D16" s="173">
        <v>58130</v>
      </c>
      <c r="E16" s="92">
        <f t="shared" si="1"/>
        <v>14174.164383561643</v>
      </c>
      <c r="F16" s="93">
        <v>1</v>
      </c>
      <c r="G16" s="94">
        <f t="shared" si="0"/>
        <v>14174.164383561643</v>
      </c>
      <c r="H16" s="98"/>
      <c r="I16" s="93">
        <v>0.15</v>
      </c>
      <c r="J16" s="168">
        <f t="shared" si="8"/>
        <v>66849.5</v>
      </c>
      <c r="K16" s="93">
        <v>1</v>
      </c>
      <c r="L16" s="105">
        <f t="shared" si="3"/>
        <v>66849.5</v>
      </c>
      <c r="M16" s="105">
        <f t="shared" si="4"/>
        <v>50549.210958904107</v>
      </c>
      <c r="N16" s="105">
        <f t="shared" si="5"/>
        <v>64723.375342465748</v>
      </c>
    </row>
    <row r="17" spans="3:14" ht="15" x14ac:dyDescent="0.25">
      <c r="C17" s="166" t="s">
        <v>168</v>
      </c>
      <c r="D17" s="173">
        <v>68500</v>
      </c>
      <c r="E17" s="92">
        <f t="shared" si="1"/>
        <v>16702.739726027397</v>
      </c>
      <c r="F17" s="93">
        <v>1</v>
      </c>
      <c r="G17" s="94">
        <f t="shared" si="0"/>
        <v>16702.739726027397</v>
      </c>
      <c r="H17" s="91"/>
      <c r="I17" s="93">
        <v>0.15</v>
      </c>
      <c r="J17" s="168">
        <f t="shared" si="8"/>
        <v>78775</v>
      </c>
      <c r="K17" s="93">
        <v>1</v>
      </c>
      <c r="L17" s="105">
        <f t="shared" si="3"/>
        <v>78775</v>
      </c>
      <c r="M17" s="105">
        <f t="shared" si="4"/>
        <v>59566.849315068495</v>
      </c>
      <c r="N17" s="105">
        <f t="shared" si="5"/>
        <v>76269.589041095896</v>
      </c>
    </row>
    <row r="18" spans="3:14" ht="15" x14ac:dyDescent="0.25">
      <c r="C18" s="166" t="s">
        <v>169</v>
      </c>
      <c r="D18" s="173">
        <v>60074</v>
      </c>
      <c r="E18" s="92">
        <f t="shared" si="1"/>
        <v>14648.180821917807</v>
      </c>
      <c r="F18" s="93">
        <v>1</v>
      </c>
      <c r="G18" s="94">
        <f t="shared" si="0"/>
        <v>14648.180821917807</v>
      </c>
      <c r="H18" s="91"/>
      <c r="I18" s="93">
        <v>0.15</v>
      </c>
      <c r="J18" s="168">
        <f t="shared" si="8"/>
        <v>69085.099999999991</v>
      </c>
      <c r="K18" s="93">
        <v>1</v>
      </c>
      <c r="L18" s="105">
        <f t="shared" si="3"/>
        <v>69085.099999999991</v>
      </c>
      <c r="M18" s="105">
        <f t="shared" si="4"/>
        <v>52239.692054794512</v>
      </c>
      <c r="N18" s="105">
        <f t="shared" si="5"/>
        <v>66887.872876712325</v>
      </c>
    </row>
    <row r="19" spans="3:14" ht="15" x14ac:dyDescent="0.25">
      <c r="C19" s="166" t="s">
        <v>170</v>
      </c>
      <c r="D19" s="173">
        <v>20000</v>
      </c>
      <c r="E19" s="92">
        <f t="shared" si="1"/>
        <v>4876.7123287671229</v>
      </c>
      <c r="F19" s="93">
        <v>1</v>
      </c>
      <c r="G19" s="94">
        <f t="shared" si="0"/>
        <v>4876.7123287671229</v>
      </c>
      <c r="H19" s="91"/>
      <c r="I19" s="93">
        <v>0.15</v>
      </c>
      <c r="J19" s="168">
        <f t="shared" si="8"/>
        <v>23000</v>
      </c>
      <c r="K19" s="93">
        <v>1</v>
      </c>
      <c r="L19" s="105">
        <f t="shared" si="3"/>
        <v>23000</v>
      </c>
      <c r="M19" s="105">
        <f t="shared" si="4"/>
        <v>17391.780821917808</v>
      </c>
      <c r="N19" s="105">
        <f t="shared" si="5"/>
        <v>22268.493150684932</v>
      </c>
    </row>
    <row r="20" spans="3:14" ht="15" x14ac:dyDescent="0.25">
      <c r="C20" s="102" t="s">
        <v>121</v>
      </c>
      <c r="D20" s="173">
        <v>79875</v>
      </c>
      <c r="E20" s="92">
        <f t="shared" si="1"/>
        <v>19476.369863013697</v>
      </c>
      <c r="F20" s="93">
        <v>1</v>
      </c>
      <c r="G20" s="94">
        <f t="shared" si="0"/>
        <v>19476.369863013697</v>
      </c>
      <c r="H20" s="91"/>
      <c r="I20" s="93">
        <v>7.0000000000000007E-2</v>
      </c>
      <c r="J20" s="168">
        <f t="shared" si="8"/>
        <v>85466.25</v>
      </c>
      <c r="K20" s="93">
        <v>1</v>
      </c>
      <c r="L20" s="105">
        <f t="shared" si="3"/>
        <v>85466.25</v>
      </c>
      <c r="M20" s="105">
        <f t="shared" si="4"/>
        <v>64626.534246575342</v>
      </c>
      <c r="N20" s="105">
        <f t="shared" si="5"/>
        <v>84102.904109589042</v>
      </c>
    </row>
    <row r="21" spans="3:14" ht="15" x14ac:dyDescent="0.25">
      <c r="C21" s="91" t="s">
        <v>113</v>
      </c>
      <c r="D21" s="173">
        <v>55380</v>
      </c>
      <c r="E21" s="92">
        <f t="shared" si="1"/>
        <v>13503.616438356165</v>
      </c>
      <c r="F21" s="93">
        <v>1</v>
      </c>
      <c r="G21" s="94">
        <f t="shared" si="0"/>
        <v>13503.616438356165</v>
      </c>
      <c r="H21" s="91"/>
      <c r="I21" s="93">
        <v>7.0000000000000007E-2</v>
      </c>
      <c r="J21" s="168">
        <f t="shared" si="8"/>
        <v>59256.600000000006</v>
      </c>
      <c r="K21" s="93">
        <v>1</v>
      </c>
      <c r="L21" s="105">
        <f t="shared" si="3"/>
        <v>59256.600000000006</v>
      </c>
      <c r="M21" s="105">
        <f t="shared" si="4"/>
        <v>44807.730410958909</v>
      </c>
      <c r="N21" s="105">
        <f t="shared" si="5"/>
        <v>58311.346849315072</v>
      </c>
    </row>
    <row r="22" spans="3:14" ht="15.75" thickBot="1" x14ac:dyDescent="0.3">
      <c r="D22" s="107">
        <f ca="1">SUM(D8:D22)</f>
        <v>7074308313.7604761</v>
      </c>
      <c r="H22" s="91"/>
      <c r="J22" s="108">
        <f>SUM(J8:J21)</f>
        <v>992916.68400000024</v>
      </c>
      <c r="N22" s="204">
        <f>SUM(N8:N21)</f>
        <v>946670.9084232332</v>
      </c>
    </row>
    <row r="23" spans="3:14" ht="15.75" thickTop="1" x14ac:dyDescent="0.25">
      <c r="C23" s="103"/>
      <c r="E23" s="92"/>
      <c r="F23" s="93"/>
      <c r="G23" s="92"/>
      <c r="H23" s="91"/>
    </row>
    <row r="24" spans="3:14" x14ac:dyDescent="0.2">
      <c r="C24" s="22"/>
      <c r="J24" s="170"/>
      <c r="K24" s="171" t="s">
        <v>178</v>
      </c>
    </row>
    <row r="25" spans="3:14" x14ac:dyDescent="0.2">
      <c r="J25" s="172"/>
      <c r="K25" s="171" t="s">
        <v>177</v>
      </c>
    </row>
    <row r="31" spans="3:14" x14ac:dyDescent="0.2">
      <c r="E31" s="232" t="s">
        <v>179</v>
      </c>
      <c r="F31" s="232"/>
      <c r="G31" s="232"/>
      <c r="H31" s="232"/>
      <c r="I31" s="232"/>
      <c r="J31" s="232"/>
    </row>
    <row r="32" spans="3:14" x14ac:dyDescent="0.2">
      <c r="E32" s="232" t="s">
        <v>180</v>
      </c>
      <c r="F32" s="232"/>
      <c r="G32" s="232"/>
      <c r="H32" s="232"/>
      <c r="I32" s="232"/>
      <c r="J32" s="232"/>
    </row>
    <row r="34" spans="3:14" ht="60" x14ac:dyDescent="0.25">
      <c r="C34" s="87" t="s">
        <v>0</v>
      </c>
      <c r="D34" s="88" t="s">
        <v>150</v>
      </c>
      <c r="E34" s="88" t="s">
        <v>182</v>
      </c>
      <c r="F34" s="88" t="s">
        <v>166</v>
      </c>
      <c r="G34" s="88" t="s">
        <v>2</v>
      </c>
      <c r="H34" s="89" t="s">
        <v>105</v>
      </c>
      <c r="I34" s="88" t="s">
        <v>183</v>
      </c>
      <c r="J34" s="104" t="s">
        <v>184</v>
      </c>
      <c r="K34" s="88" t="s">
        <v>185</v>
      </c>
      <c r="L34" s="88" t="s">
        <v>2</v>
      </c>
      <c r="M34" s="104" t="s">
        <v>186</v>
      </c>
      <c r="N34" s="104" t="s">
        <v>187</v>
      </c>
    </row>
    <row r="35" spans="3:14" ht="15" x14ac:dyDescent="0.25">
      <c r="C35" s="91" t="s">
        <v>4</v>
      </c>
      <c r="D35" s="173">
        <v>698000</v>
      </c>
      <c r="E35" s="92">
        <f t="shared" ref="E35:E48" si="9">(89/365)*D35</f>
        <v>170197.26027397261</v>
      </c>
      <c r="F35" s="93">
        <v>0.94</v>
      </c>
      <c r="G35" s="94">
        <f t="shared" ref="G35:G48" si="10">+E35*F35</f>
        <v>159985.42465753425</v>
      </c>
      <c r="H35" s="95">
        <f>E35-G35</f>
        <v>10211.835616438359</v>
      </c>
      <c r="I35" s="93">
        <v>0.1</v>
      </c>
      <c r="J35" s="168">
        <f>D35*(1+I35)</f>
        <v>767800.00000000012</v>
      </c>
      <c r="K35" s="93">
        <v>0.94</v>
      </c>
      <c r="L35" s="105">
        <f>J35*K35</f>
        <v>721732.00000000012</v>
      </c>
      <c r="M35" s="105">
        <f t="shared" ref="M35:M48" si="11">(276/365)*L35</f>
        <v>545748.03287671239</v>
      </c>
      <c r="N35" s="105">
        <f>G35+M35</f>
        <v>705733.45753424661</v>
      </c>
    </row>
    <row r="36" spans="3:14" ht="15" x14ac:dyDescent="0.25">
      <c r="C36" s="91" t="s">
        <v>5</v>
      </c>
      <c r="D36" s="173">
        <v>7906.42</v>
      </c>
      <c r="E36" s="92">
        <f t="shared" si="9"/>
        <v>1927.866794520548</v>
      </c>
      <c r="F36" s="93">
        <v>0.94</v>
      </c>
      <c r="G36" s="94">
        <f t="shared" si="10"/>
        <v>1812.1947868493151</v>
      </c>
      <c r="H36" s="95">
        <f t="shared" ref="H36:H37" si="12">E36-G36</f>
        <v>115.6720076712329</v>
      </c>
      <c r="I36" s="93">
        <v>0.1</v>
      </c>
      <c r="J36" s="168">
        <f>D36*(1+I36)</f>
        <v>8697.0619999999999</v>
      </c>
      <c r="K36" s="93">
        <v>0.94</v>
      </c>
      <c r="L36" s="105">
        <f t="shared" ref="L36:L46" si="13">J36*K36</f>
        <v>8175.2382799999996</v>
      </c>
      <c r="M36" s="105">
        <f t="shared" si="11"/>
        <v>6181.824014465753</v>
      </c>
      <c r="N36" s="105">
        <f t="shared" ref="N36:N46" si="14">G36+M36</f>
        <v>7994.0188013150682</v>
      </c>
    </row>
    <row r="37" spans="3:14" ht="15" x14ac:dyDescent="0.25">
      <c r="C37" s="165" t="s">
        <v>176</v>
      </c>
      <c r="D37" s="173">
        <v>0</v>
      </c>
      <c r="E37" s="92">
        <f t="shared" si="9"/>
        <v>0</v>
      </c>
      <c r="F37" s="93">
        <v>0.94</v>
      </c>
      <c r="G37" s="94">
        <f t="shared" si="10"/>
        <v>0</v>
      </c>
      <c r="H37" s="95">
        <f t="shared" si="12"/>
        <v>0</v>
      </c>
      <c r="I37" s="93" t="e">
        <f t="shared" ref="I37" si="15">(J37-D37)/D37</f>
        <v>#DIV/0!</v>
      </c>
      <c r="J37" s="167">
        <v>0</v>
      </c>
      <c r="K37" s="93">
        <v>0.94</v>
      </c>
      <c r="L37" s="105">
        <f t="shared" si="13"/>
        <v>0</v>
      </c>
      <c r="M37" s="105">
        <f t="shared" si="11"/>
        <v>0</v>
      </c>
      <c r="N37" s="105">
        <f t="shared" si="14"/>
        <v>0</v>
      </c>
    </row>
    <row r="38" spans="3:14" ht="15" x14ac:dyDescent="0.25">
      <c r="C38" s="191" t="s">
        <v>207</v>
      </c>
      <c r="D38" s="173"/>
      <c r="E38" s="92"/>
      <c r="F38" s="93"/>
      <c r="G38" s="94"/>
      <c r="H38" s="95"/>
      <c r="I38" s="93"/>
      <c r="J38" s="167">
        <v>0</v>
      </c>
      <c r="K38" s="93"/>
      <c r="L38" s="105">
        <v>0</v>
      </c>
      <c r="M38" s="105">
        <v>0</v>
      </c>
      <c r="N38" s="105">
        <v>0</v>
      </c>
    </row>
    <row r="39" spans="3:14" ht="15" x14ac:dyDescent="0.25">
      <c r="C39" s="165" t="s">
        <v>161</v>
      </c>
      <c r="D39" s="173">
        <v>0</v>
      </c>
      <c r="E39" s="92">
        <f t="shared" si="9"/>
        <v>0</v>
      </c>
      <c r="F39" s="93">
        <v>1</v>
      </c>
      <c r="G39" s="94">
        <f t="shared" si="10"/>
        <v>0</v>
      </c>
      <c r="H39" s="95"/>
      <c r="I39" s="93">
        <v>0</v>
      </c>
      <c r="J39" s="168">
        <f t="shared" ref="J39:J40" si="16">D39*(1+I39)</f>
        <v>0</v>
      </c>
      <c r="K39" s="93">
        <v>1</v>
      </c>
      <c r="L39" s="105">
        <f t="shared" si="13"/>
        <v>0</v>
      </c>
      <c r="M39" s="105">
        <f t="shared" si="11"/>
        <v>0</v>
      </c>
      <c r="N39" s="105">
        <f>M39</f>
        <v>0</v>
      </c>
    </row>
    <row r="40" spans="3:14" ht="15" x14ac:dyDescent="0.25">
      <c r="C40" s="165" t="s">
        <v>162</v>
      </c>
      <c r="D40" s="174">
        <v>0</v>
      </c>
      <c r="E40" s="92">
        <f t="shared" si="9"/>
        <v>0</v>
      </c>
      <c r="F40" s="93">
        <v>1</v>
      </c>
      <c r="G40" s="94">
        <f t="shared" si="10"/>
        <v>0</v>
      </c>
      <c r="H40" s="95"/>
      <c r="I40" s="169">
        <v>0</v>
      </c>
      <c r="J40" s="168">
        <f t="shared" si="16"/>
        <v>0</v>
      </c>
      <c r="K40" s="93">
        <v>1</v>
      </c>
      <c r="L40" s="105">
        <f t="shared" si="13"/>
        <v>0</v>
      </c>
      <c r="M40" s="105">
        <f t="shared" si="11"/>
        <v>0</v>
      </c>
      <c r="N40" s="105">
        <f>M40</f>
        <v>0</v>
      </c>
    </row>
    <row r="41" spans="3:14" ht="15" x14ac:dyDescent="0.25">
      <c r="C41" s="91" t="s">
        <v>107</v>
      </c>
      <c r="D41" s="173">
        <v>287177</v>
      </c>
      <c r="E41" s="92">
        <f t="shared" si="9"/>
        <v>70023.980821917808</v>
      </c>
      <c r="F41" s="93">
        <v>1</v>
      </c>
      <c r="G41" s="94">
        <f t="shared" si="10"/>
        <v>70023.980821917808</v>
      </c>
      <c r="H41" s="97"/>
      <c r="I41" s="93">
        <v>0.1</v>
      </c>
      <c r="J41" s="168">
        <f>D41*(1+I41)</f>
        <v>315894.7</v>
      </c>
      <c r="K41" s="93">
        <v>1</v>
      </c>
      <c r="L41" s="105">
        <f t="shared" si="13"/>
        <v>315894.7</v>
      </c>
      <c r="M41" s="105">
        <f t="shared" si="11"/>
        <v>238868.32109589042</v>
      </c>
      <c r="N41" s="105">
        <f t="shared" si="14"/>
        <v>308892.30191780825</v>
      </c>
    </row>
    <row r="42" spans="3:14" ht="15" x14ac:dyDescent="0.25">
      <c r="C42" s="91" t="s">
        <v>108</v>
      </c>
      <c r="D42" s="173">
        <v>6030.72</v>
      </c>
      <c r="E42" s="92">
        <f t="shared" si="9"/>
        <v>1470.5043287671233</v>
      </c>
      <c r="F42" s="93">
        <v>1</v>
      </c>
      <c r="G42" s="94">
        <f t="shared" si="10"/>
        <v>1470.5043287671233</v>
      </c>
      <c r="H42" s="98"/>
      <c r="I42" s="93">
        <v>0.1</v>
      </c>
      <c r="J42" s="168">
        <f t="shared" ref="J42:J48" si="17">D42*(1+I42)</f>
        <v>6633.7920000000004</v>
      </c>
      <c r="K42" s="93">
        <v>1</v>
      </c>
      <c r="L42" s="105">
        <f t="shared" si="13"/>
        <v>6633.7920000000004</v>
      </c>
      <c r="M42" s="105">
        <f t="shared" si="11"/>
        <v>5016.2372383561651</v>
      </c>
      <c r="N42" s="105">
        <f t="shared" si="14"/>
        <v>6486.7415671232884</v>
      </c>
    </row>
    <row r="43" spans="3:14" ht="15" x14ac:dyDescent="0.25">
      <c r="C43" s="91" t="s">
        <v>109</v>
      </c>
      <c r="D43" s="173">
        <v>58130</v>
      </c>
      <c r="E43" s="92">
        <f t="shared" si="9"/>
        <v>14174.164383561643</v>
      </c>
      <c r="F43" s="93">
        <v>1</v>
      </c>
      <c r="G43" s="94">
        <f t="shared" si="10"/>
        <v>14174.164383561643</v>
      </c>
      <c r="H43" s="91"/>
      <c r="I43" s="93">
        <v>0.15</v>
      </c>
      <c r="J43" s="168">
        <f t="shared" si="17"/>
        <v>66849.5</v>
      </c>
      <c r="K43" s="93">
        <v>1</v>
      </c>
      <c r="L43" s="105">
        <f t="shared" si="13"/>
        <v>66849.5</v>
      </c>
      <c r="M43" s="105">
        <f t="shared" si="11"/>
        <v>50549.210958904107</v>
      </c>
      <c r="N43" s="105">
        <f t="shared" si="14"/>
        <v>64723.375342465748</v>
      </c>
    </row>
    <row r="44" spans="3:14" ht="15" x14ac:dyDescent="0.25">
      <c r="C44" s="91" t="s">
        <v>110</v>
      </c>
      <c r="D44" s="173">
        <v>68500</v>
      </c>
      <c r="E44" s="92">
        <f t="shared" si="9"/>
        <v>16702.739726027397</v>
      </c>
      <c r="F44" s="93">
        <v>1</v>
      </c>
      <c r="G44" s="94">
        <f t="shared" si="10"/>
        <v>16702.739726027397</v>
      </c>
      <c r="H44" s="91"/>
      <c r="I44" s="93">
        <v>0.15</v>
      </c>
      <c r="J44" s="168">
        <f t="shared" si="17"/>
        <v>78775</v>
      </c>
      <c r="K44" s="93">
        <v>1</v>
      </c>
      <c r="L44" s="105">
        <f t="shared" si="13"/>
        <v>78775</v>
      </c>
      <c r="M44" s="105">
        <f t="shared" si="11"/>
        <v>59566.849315068495</v>
      </c>
      <c r="N44" s="105">
        <f t="shared" si="14"/>
        <v>76269.589041095896</v>
      </c>
    </row>
    <row r="45" spans="3:14" ht="15" x14ac:dyDescent="0.25">
      <c r="C45" s="91" t="s">
        <v>111</v>
      </c>
      <c r="D45" s="173">
        <v>60074</v>
      </c>
      <c r="E45" s="92">
        <f t="shared" si="9"/>
        <v>14648.180821917807</v>
      </c>
      <c r="F45" s="93">
        <v>1</v>
      </c>
      <c r="G45" s="94">
        <f t="shared" si="10"/>
        <v>14648.180821917807</v>
      </c>
      <c r="H45" s="91"/>
      <c r="I45" s="93">
        <v>0.15</v>
      </c>
      <c r="J45" s="168">
        <f t="shared" si="17"/>
        <v>69085.099999999991</v>
      </c>
      <c r="K45" s="93">
        <v>1</v>
      </c>
      <c r="L45" s="105">
        <f t="shared" si="13"/>
        <v>69085.099999999991</v>
      </c>
      <c r="M45" s="105">
        <f t="shared" si="11"/>
        <v>52239.692054794512</v>
      </c>
      <c r="N45" s="105">
        <f t="shared" si="14"/>
        <v>66887.872876712325</v>
      </c>
    </row>
    <row r="46" spans="3:14" ht="15" x14ac:dyDescent="0.25">
      <c r="C46" s="166" t="s">
        <v>170</v>
      </c>
      <c r="D46" s="173">
        <v>20000</v>
      </c>
      <c r="E46" s="92">
        <f t="shared" si="9"/>
        <v>4876.7123287671229</v>
      </c>
      <c r="F46" s="93">
        <v>1</v>
      </c>
      <c r="G46" s="94">
        <f t="shared" si="10"/>
        <v>4876.7123287671229</v>
      </c>
      <c r="I46" s="93">
        <v>0.15</v>
      </c>
      <c r="J46" s="168">
        <f t="shared" si="17"/>
        <v>23000</v>
      </c>
      <c r="K46" s="93">
        <v>1</v>
      </c>
      <c r="L46" s="105">
        <f t="shared" si="13"/>
        <v>23000</v>
      </c>
      <c r="M46" s="105">
        <f t="shared" si="11"/>
        <v>17391.780821917808</v>
      </c>
      <c r="N46" s="105">
        <f t="shared" si="14"/>
        <v>22268.493150684932</v>
      </c>
    </row>
    <row r="47" spans="3:14" ht="15" x14ac:dyDescent="0.25">
      <c r="C47" s="102" t="s">
        <v>121</v>
      </c>
      <c r="D47" s="173">
        <v>79875</v>
      </c>
      <c r="E47" s="92">
        <f t="shared" si="9"/>
        <v>19476.369863013697</v>
      </c>
      <c r="F47" s="93">
        <v>1</v>
      </c>
      <c r="G47" s="94">
        <f t="shared" si="10"/>
        <v>19476.369863013697</v>
      </c>
      <c r="H47" s="91"/>
      <c r="I47" s="93">
        <v>7.0000000000000007E-2</v>
      </c>
      <c r="J47" s="168">
        <f t="shared" si="17"/>
        <v>85466.25</v>
      </c>
      <c r="K47" s="93">
        <v>1</v>
      </c>
      <c r="L47" s="105">
        <f>J47*K47</f>
        <v>85466.25</v>
      </c>
      <c r="M47" s="105">
        <f t="shared" si="11"/>
        <v>64626.534246575342</v>
      </c>
      <c r="N47" s="105">
        <f>G47+M47</f>
        <v>84102.904109589042</v>
      </c>
    </row>
    <row r="48" spans="3:14" ht="15" x14ac:dyDescent="0.25">
      <c r="C48" s="91" t="s">
        <v>113</v>
      </c>
      <c r="D48" s="173">
        <v>55380</v>
      </c>
      <c r="E48" s="92">
        <f t="shared" si="9"/>
        <v>13503.616438356165</v>
      </c>
      <c r="F48" s="93">
        <v>1</v>
      </c>
      <c r="G48" s="94">
        <f t="shared" si="10"/>
        <v>13503.616438356165</v>
      </c>
      <c r="H48" s="91"/>
      <c r="I48" s="93">
        <v>7.0000000000000007E-2</v>
      </c>
      <c r="J48" s="168">
        <f t="shared" si="17"/>
        <v>59256.600000000006</v>
      </c>
      <c r="K48" s="93">
        <v>1</v>
      </c>
      <c r="L48" s="105">
        <f>J48*K48</f>
        <v>59256.600000000006</v>
      </c>
      <c r="M48" s="105">
        <f t="shared" si="11"/>
        <v>44807.730410958909</v>
      </c>
      <c r="N48" s="105">
        <f>G48+M48</f>
        <v>58311.346849315072</v>
      </c>
    </row>
    <row r="49" spans="4:14" ht="15.75" thickBot="1" x14ac:dyDescent="0.3">
      <c r="D49" s="107">
        <f ca="1">SUM(D35:D49)</f>
        <v>10327194257.76017</v>
      </c>
      <c r="H49" s="91"/>
      <c r="N49" s="106">
        <f>SUM(N35:N48)</f>
        <v>1401670.1011903565</v>
      </c>
    </row>
    <row r="50" spans="4:14" ht="13.5" thickTop="1" x14ac:dyDescent="0.2"/>
    <row r="52" spans="4:14" x14ac:dyDescent="0.2">
      <c r="J52" s="170"/>
      <c r="K52" s="171" t="s">
        <v>178</v>
      </c>
    </row>
  </sheetData>
  <mergeCells count="4">
    <mergeCell ref="E4:J4"/>
    <mergeCell ref="E5:J5"/>
    <mergeCell ref="E31:J31"/>
    <mergeCell ref="E32:J32"/>
  </mergeCells>
  <pageMargins left="0.7" right="0.7" top="0.75" bottom="0.75" header="0.3" footer="0.3"/>
  <pageSetup scale="6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C4:P53"/>
  <sheetViews>
    <sheetView zoomScale="85" zoomScaleNormal="85" workbookViewId="0">
      <selection activeCell="M24" sqref="M24"/>
    </sheetView>
  </sheetViews>
  <sheetFormatPr defaultRowHeight="12.75" x14ac:dyDescent="0.2"/>
  <cols>
    <col min="3" max="3" width="35.85546875" customWidth="1"/>
    <col min="4" max="4" width="15.5703125" customWidth="1"/>
    <col min="6" max="6" width="21.85546875" customWidth="1"/>
    <col min="10" max="10" width="19" customWidth="1"/>
    <col min="11" max="11" width="14.140625" customWidth="1"/>
    <col min="13" max="13" width="10.7109375" bestFit="1" customWidth="1"/>
    <col min="14" max="14" width="11.140625" bestFit="1" customWidth="1"/>
    <col min="15" max="15" width="14.140625" customWidth="1"/>
    <col min="18" max="18" width="20.85546875" customWidth="1"/>
  </cols>
  <sheetData>
    <row r="4" spans="3:15" x14ac:dyDescent="0.2">
      <c r="F4" s="232" t="s">
        <v>214</v>
      </c>
      <c r="G4" s="232"/>
      <c r="H4" s="232"/>
      <c r="I4" s="232"/>
      <c r="J4" s="232"/>
      <c r="K4" s="232"/>
    </row>
    <row r="5" spans="3:15" x14ac:dyDescent="0.2">
      <c r="F5" s="232" t="s">
        <v>128</v>
      </c>
      <c r="G5" s="232"/>
      <c r="H5" s="232"/>
      <c r="I5" s="232"/>
      <c r="J5" s="232"/>
      <c r="K5" s="232"/>
    </row>
    <row r="7" spans="3:15" ht="60" x14ac:dyDescent="0.25">
      <c r="C7" s="87" t="s">
        <v>0</v>
      </c>
      <c r="D7" s="88" t="s">
        <v>93</v>
      </c>
      <c r="E7" s="88" t="s">
        <v>120</v>
      </c>
      <c r="F7" s="88" t="s">
        <v>123</v>
      </c>
      <c r="G7" s="88" t="s">
        <v>164</v>
      </c>
      <c r="H7" s="88" t="s">
        <v>2</v>
      </c>
      <c r="I7" s="89" t="s">
        <v>105</v>
      </c>
      <c r="J7" s="88" t="s">
        <v>173</v>
      </c>
      <c r="K7" s="104" t="s">
        <v>125</v>
      </c>
      <c r="L7" s="88" t="s">
        <v>165</v>
      </c>
      <c r="M7" s="88" t="s">
        <v>2</v>
      </c>
      <c r="N7" s="104" t="s">
        <v>126</v>
      </c>
      <c r="O7" s="104" t="s">
        <v>174</v>
      </c>
    </row>
    <row r="8" spans="3:15" ht="15" x14ac:dyDescent="0.25">
      <c r="C8" s="91" t="s">
        <v>4</v>
      </c>
      <c r="D8" s="92">
        <v>665000</v>
      </c>
      <c r="E8" s="92">
        <v>164255</v>
      </c>
      <c r="F8" s="92">
        <v>164255</v>
      </c>
      <c r="G8" s="93">
        <v>0.94</v>
      </c>
      <c r="H8" s="94">
        <f t="shared" ref="H8:H21" si="0">+F8*G8</f>
        <v>154399.69999999998</v>
      </c>
      <c r="I8" s="95">
        <f>F8-H8</f>
        <v>9855.3000000000175</v>
      </c>
      <c r="J8" s="93">
        <f>(K8-D8)/D8</f>
        <v>0</v>
      </c>
      <c r="K8" s="105">
        <v>665000</v>
      </c>
      <c r="L8" s="93">
        <v>0.94</v>
      </c>
      <c r="M8" s="105">
        <f>K8*L8</f>
        <v>625100</v>
      </c>
      <c r="N8" s="105">
        <f>(275/365)*M8</f>
        <v>470965.75342465757</v>
      </c>
      <c r="O8" s="105">
        <f>H8+N8</f>
        <v>625365.45342465758</v>
      </c>
    </row>
    <row r="9" spans="3:15" ht="15" x14ac:dyDescent="0.25">
      <c r="C9" s="91" t="s">
        <v>5</v>
      </c>
      <c r="D9" s="92">
        <v>6584.21</v>
      </c>
      <c r="E9" s="92">
        <f>83.08+1661.54</f>
        <v>1744.62</v>
      </c>
      <c r="F9" s="96">
        <v>1745</v>
      </c>
      <c r="G9" s="93">
        <v>0.94</v>
      </c>
      <c r="H9" s="94">
        <f t="shared" si="0"/>
        <v>1640.3</v>
      </c>
      <c r="I9" s="95">
        <f t="shared" ref="I9:I10" si="1">F9-H9</f>
        <v>104.70000000000005</v>
      </c>
      <c r="J9" s="93">
        <f t="shared" ref="J9:J21" si="2">(K9-D9)/D9</f>
        <v>0.33162976272020478</v>
      </c>
      <c r="K9" s="105">
        <f>417.25+8350.48</f>
        <v>8767.73</v>
      </c>
      <c r="L9" s="93">
        <v>0.94</v>
      </c>
      <c r="M9" s="105">
        <f t="shared" ref="M9:M21" si="3">K9*L9</f>
        <v>8241.6661999999997</v>
      </c>
      <c r="N9" s="105">
        <f t="shared" ref="N9:N21" si="4">(275/365)*M9</f>
        <v>6209.4745342465749</v>
      </c>
      <c r="O9" s="105">
        <f t="shared" ref="O9:O21" si="5">H9+N9</f>
        <v>7849.7745342465751</v>
      </c>
    </row>
    <row r="10" spans="3:15" ht="15" x14ac:dyDescent="0.25">
      <c r="C10" s="91" t="s">
        <v>106</v>
      </c>
      <c r="D10" s="92">
        <v>-328654</v>
      </c>
      <c r="E10" s="92">
        <f>-81178</f>
        <v>-81178</v>
      </c>
      <c r="F10" s="92">
        <f>-81178</f>
        <v>-81178</v>
      </c>
      <c r="G10" s="93">
        <v>0.96399999999999997</v>
      </c>
      <c r="H10" s="94">
        <f t="shared" si="0"/>
        <v>-78255.592000000004</v>
      </c>
      <c r="I10" s="95">
        <f t="shared" si="1"/>
        <v>-2922.4079999999958</v>
      </c>
      <c r="J10" s="93">
        <f t="shared" si="2"/>
        <v>-0.24700140573368953</v>
      </c>
      <c r="K10" s="105">
        <v>-247476</v>
      </c>
      <c r="L10" s="93">
        <v>0.95199999999999996</v>
      </c>
      <c r="M10" s="105">
        <f t="shared" si="3"/>
        <v>-235597.152</v>
      </c>
      <c r="N10" s="105">
        <f t="shared" si="4"/>
        <v>-177504.70356164384</v>
      </c>
      <c r="O10" s="105">
        <f t="shared" si="5"/>
        <v>-255760.29556164384</v>
      </c>
    </row>
    <row r="11" spans="3:15" s="9" customFormat="1" ht="15" x14ac:dyDescent="0.25">
      <c r="C11" s="191" t="s">
        <v>207</v>
      </c>
      <c r="D11" s="92"/>
      <c r="E11" s="92"/>
      <c r="F11" s="92"/>
      <c r="G11" s="93"/>
      <c r="H11" s="94"/>
      <c r="I11" s="95"/>
      <c r="J11" s="93"/>
      <c r="K11" s="105">
        <f>-47119+-2376</f>
        <v>-49495</v>
      </c>
      <c r="L11" s="93">
        <f>M11/K11</f>
        <v>0.95200384685321748</v>
      </c>
      <c r="M11" s="105">
        <v>-47119.430399999997</v>
      </c>
      <c r="N11" s="105">
        <f>M11</f>
        <v>-47119.430399999997</v>
      </c>
      <c r="O11" s="105">
        <f>M11</f>
        <v>-47119.430399999997</v>
      </c>
    </row>
    <row r="12" spans="3:15" s="9" customFormat="1" ht="15" x14ac:dyDescent="0.25">
      <c r="C12" s="191" t="s">
        <v>213</v>
      </c>
      <c r="D12" s="92"/>
      <c r="E12" s="92"/>
      <c r="F12" s="92"/>
      <c r="G12" s="93"/>
      <c r="H12" s="94"/>
      <c r="I12" s="95"/>
      <c r="J12" s="93"/>
      <c r="K12" s="105">
        <v>-16235.6</v>
      </c>
      <c r="L12" s="93">
        <f>M12/K12</f>
        <v>0.95199999999999996</v>
      </c>
      <c r="M12" s="10">
        <v>-15456.2912</v>
      </c>
      <c r="N12" s="105">
        <f>M12</f>
        <v>-15456.2912</v>
      </c>
      <c r="O12" s="105">
        <f>M12</f>
        <v>-15456.2912</v>
      </c>
    </row>
    <row r="13" spans="3:15" s="9" customFormat="1" ht="15" x14ac:dyDescent="0.25">
      <c r="C13" s="165" t="s">
        <v>161</v>
      </c>
      <c r="D13" s="92"/>
      <c r="E13" s="92"/>
      <c r="F13" s="92"/>
      <c r="G13" s="93"/>
      <c r="H13" s="94"/>
      <c r="I13" s="95"/>
      <c r="J13" s="93" t="e">
        <f t="shared" si="2"/>
        <v>#DIV/0!</v>
      </c>
      <c r="K13" s="105">
        <v>0</v>
      </c>
      <c r="L13" s="93">
        <v>1</v>
      </c>
      <c r="M13" s="105">
        <f t="shared" si="3"/>
        <v>0</v>
      </c>
      <c r="N13" s="105">
        <f>M13</f>
        <v>0</v>
      </c>
      <c r="O13" s="105">
        <f>N13</f>
        <v>0</v>
      </c>
    </row>
    <row r="14" spans="3:15" s="9" customFormat="1" ht="15" x14ac:dyDescent="0.25">
      <c r="C14" s="165" t="s">
        <v>162</v>
      </c>
      <c r="D14" s="92"/>
      <c r="E14" s="92"/>
      <c r="F14" s="92"/>
      <c r="G14" s="93"/>
      <c r="H14" s="94"/>
      <c r="I14" s="95"/>
      <c r="J14" s="93" t="e">
        <f t="shared" si="2"/>
        <v>#DIV/0!</v>
      </c>
      <c r="K14" s="105">
        <v>-52793.35</v>
      </c>
      <c r="L14" s="93">
        <v>1</v>
      </c>
      <c r="M14" s="105">
        <f t="shared" si="3"/>
        <v>-52793.35</v>
      </c>
      <c r="N14" s="105">
        <f>M14</f>
        <v>-52793.35</v>
      </c>
      <c r="O14" s="105">
        <f>N14</f>
        <v>-52793.35</v>
      </c>
    </row>
    <row r="15" spans="3:15" ht="15" x14ac:dyDescent="0.25">
      <c r="C15" s="91" t="s">
        <v>107</v>
      </c>
      <c r="D15" s="92">
        <v>263550</v>
      </c>
      <c r="E15" s="92">
        <v>65096</v>
      </c>
      <c r="F15" s="92">
        <v>65096</v>
      </c>
      <c r="G15" s="93">
        <v>1</v>
      </c>
      <c r="H15" s="94">
        <f t="shared" si="0"/>
        <v>65096</v>
      </c>
      <c r="I15" s="97"/>
      <c r="J15" s="93">
        <f t="shared" si="2"/>
        <v>0</v>
      </c>
      <c r="K15" s="105">
        <v>263550</v>
      </c>
      <c r="L15" s="93">
        <v>1</v>
      </c>
      <c r="M15" s="105">
        <f t="shared" si="3"/>
        <v>263550</v>
      </c>
      <c r="N15" s="105">
        <f t="shared" si="4"/>
        <v>198565.0684931507</v>
      </c>
      <c r="O15" s="105">
        <f>H15+N15</f>
        <v>263661.0684931507</v>
      </c>
    </row>
    <row r="16" spans="3:15" ht="15" x14ac:dyDescent="0.25">
      <c r="C16" s="91" t="s">
        <v>108</v>
      </c>
      <c r="D16" s="92">
        <v>5534.55</v>
      </c>
      <c r="E16" s="92">
        <f>65.1+1301.92</f>
        <v>1367.02</v>
      </c>
      <c r="F16" s="96">
        <v>1367</v>
      </c>
      <c r="G16" s="93">
        <v>1</v>
      </c>
      <c r="H16" s="94">
        <f t="shared" si="0"/>
        <v>1367</v>
      </c>
      <c r="I16" s="98"/>
      <c r="J16" s="93">
        <f t="shared" si="2"/>
        <v>0</v>
      </c>
      <c r="K16" s="105">
        <f>263.55+5271</f>
        <v>5534.55</v>
      </c>
      <c r="L16" s="93">
        <v>1</v>
      </c>
      <c r="M16" s="105">
        <f t="shared" si="3"/>
        <v>5534.55</v>
      </c>
      <c r="N16" s="105">
        <f t="shared" si="4"/>
        <v>4169.8664383561645</v>
      </c>
      <c r="O16" s="105">
        <f t="shared" si="5"/>
        <v>5536.8664383561645</v>
      </c>
    </row>
    <row r="17" spans="3:16" ht="15" x14ac:dyDescent="0.25">
      <c r="C17" s="91" t="s">
        <v>109</v>
      </c>
      <c r="D17" s="92">
        <v>80000</v>
      </c>
      <c r="E17" s="92">
        <v>19760</v>
      </c>
      <c r="F17" s="96">
        <v>19760</v>
      </c>
      <c r="G17" s="93">
        <v>1</v>
      </c>
      <c r="H17" s="94">
        <f t="shared" si="0"/>
        <v>19760</v>
      </c>
      <c r="I17" s="91"/>
      <c r="J17" s="93">
        <f t="shared" si="2"/>
        <v>0</v>
      </c>
      <c r="K17" s="105">
        <v>80000</v>
      </c>
      <c r="L17" s="93">
        <v>1</v>
      </c>
      <c r="M17" s="105">
        <f t="shared" si="3"/>
        <v>80000</v>
      </c>
      <c r="N17" s="105">
        <f t="shared" si="4"/>
        <v>60273.972602739726</v>
      </c>
      <c r="O17" s="105">
        <f t="shared" si="5"/>
        <v>80033.972602739726</v>
      </c>
    </row>
    <row r="18" spans="3:16" ht="15" x14ac:dyDescent="0.25">
      <c r="C18" s="91" t="s">
        <v>110</v>
      </c>
      <c r="D18" s="92">
        <v>60000</v>
      </c>
      <c r="E18" s="92">
        <v>14820</v>
      </c>
      <c r="F18" s="96">
        <v>14820</v>
      </c>
      <c r="G18" s="93">
        <v>1</v>
      </c>
      <c r="H18" s="94">
        <f t="shared" si="0"/>
        <v>14820</v>
      </c>
      <c r="I18" s="91"/>
      <c r="J18" s="93">
        <f t="shared" si="2"/>
        <v>0</v>
      </c>
      <c r="K18" s="105">
        <v>60000</v>
      </c>
      <c r="L18" s="93">
        <v>1</v>
      </c>
      <c r="M18" s="105">
        <f t="shared" si="3"/>
        <v>60000</v>
      </c>
      <c r="N18" s="105">
        <f t="shared" si="4"/>
        <v>45205.479452054795</v>
      </c>
      <c r="O18" s="105">
        <f t="shared" si="5"/>
        <v>60025.479452054795</v>
      </c>
    </row>
    <row r="19" spans="3:16" ht="15" x14ac:dyDescent="0.25">
      <c r="C19" s="91" t="s">
        <v>111</v>
      </c>
      <c r="D19" s="92">
        <v>52065</v>
      </c>
      <c r="E19" s="92">
        <v>12844</v>
      </c>
      <c r="F19" s="96">
        <v>12844</v>
      </c>
      <c r="G19" s="93">
        <v>1</v>
      </c>
      <c r="H19" s="94">
        <f t="shared" si="0"/>
        <v>12844</v>
      </c>
      <c r="I19" s="91"/>
      <c r="J19" s="93">
        <f t="shared" si="2"/>
        <v>0</v>
      </c>
      <c r="K19" s="105">
        <v>52065</v>
      </c>
      <c r="L19" s="93">
        <v>1</v>
      </c>
      <c r="M19" s="105">
        <f t="shared" si="3"/>
        <v>52065</v>
      </c>
      <c r="N19" s="105">
        <f t="shared" si="4"/>
        <v>39227.054794520547</v>
      </c>
      <c r="O19" s="105">
        <f t="shared" si="5"/>
        <v>52071.054794520547</v>
      </c>
    </row>
    <row r="20" spans="3:16" ht="15" x14ac:dyDescent="0.25">
      <c r="C20" s="102" t="s">
        <v>121</v>
      </c>
      <c r="D20" s="92">
        <v>75000</v>
      </c>
      <c r="E20" s="92">
        <v>18525</v>
      </c>
      <c r="F20" s="96">
        <v>18525</v>
      </c>
      <c r="G20" s="93">
        <v>1</v>
      </c>
      <c r="H20" s="94">
        <f t="shared" si="0"/>
        <v>18525</v>
      </c>
      <c r="I20" s="91"/>
      <c r="J20" s="93">
        <f t="shared" si="2"/>
        <v>0</v>
      </c>
      <c r="K20" s="105">
        <v>75000</v>
      </c>
      <c r="L20" s="93">
        <v>1</v>
      </c>
      <c r="M20" s="105">
        <f t="shared" si="3"/>
        <v>75000</v>
      </c>
      <c r="N20" s="105">
        <f t="shared" si="4"/>
        <v>56506.849315068495</v>
      </c>
      <c r="O20" s="105">
        <f t="shared" si="5"/>
        <v>75031.849315068495</v>
      </c>
    </row>
    <row r="21" spans="3:16" ht="15" x14ac:dyDescent="0.25">
      <c r="C21" s="91" t="s">
        <v>113</v>
      </c>
      <c r="D21" s="92">
        <v>52000</v>
      </c>
      <c r="E21" s="92">
        <v>12844</v>
      </c>
      <c r="F21" s="96">
        <v>12844</v>
      </c>
      <c r="G21" s="93">
        <v>1</v>
      </c>
      <c r="H21" s="94">
        <f t="shared" si="0"/>
        <v>12844</v>
      </c>
      <c r="I21" s="91"/>
      <c r="J21" s="93">
        <f t="shared" si="2"/>
        <v>0</v>
      </c>
      <c r="K21" s="105">
        <v>52000</v>
      </c>
      <c r="L21" s="93">
        <v>1</v>
      </c>
      <c r="M21" s="105">
        <f t="shared" si="3"/>
        <v>52000</v>
      </c>
      <c r="N21" s="105">
        <f t="shared" si="4"/>
        <v>39178.082191780821</v>
      </c>
      <c r="O21" s="105">
        <f t="shared" si="5"/>
        <v>52022.082191780821</v>
      </c>
    </row>
    <row r="22" spans="3:16" ht="15.75" thickBot="1" x14ac:dyDescent="0.3">
      <c r="C22" s="9"/>
      <c r="D22" s="107">
        <f ca="1">SUM(D8:D22)</f>
        <v>7170245231.7612143</v>
      </c>
      <c r="E22" s="9"/>
      <c r="F22" s="9"/>
      <c r="G22" s="9"/>
      <c r="H22" s="9"/>
      <c r="I22" s="91"/>
      <c r="K22" s="108">
        <f>SUM(K8:K21)</f>
        <v>895917.33000000007</v>
      </c>
      <c r="O22" s="203">
        <f>SUM(O8:O21)</f>
        <v>850468.23408493132</v>
      </c>
    </row>
    <row r="23" spans="3:16" ht="15.75" thickTop="1" x14ac:dyDescent="0.25">
      <c r="C23" s="103"/>
      <c r="E23" s="92"/>
      <c r="F23" s="92"/>
      <c r="G23" s="93"/>
      <c r="H23" s="92"/>
      <c r="I23" s="91"/>
    </row>
    <row r="24" spans="3:16" x14ac:dyDescent="0.2">
      <c r="C24" s="22" t="s">
        <v>122</v>
      </c>
    </row>
    <row r="25" spans="3:16" x14ac:dyDescent="0.2">
      <c r="C25" t="s">
        <v>124</v>
      </c>
    </row>
    <row r="31" spans="3:16" x14ac:dyDescent="0.2">
      <c r="C31" s="9"/>
      <c r="D31" s="9"/>
      <c r="E31" s="9"/>
      <c r="F31" s="232" t="s">
        <v>127</v>
      </c>
      <c r="G31" s="232"/>
      <c r="H31" s="232"/>
      <c r="I31" s="232"/>
      <c r="J31" s="232"/>
      <c r="K31" s="232"/>
      <c r="L31" s="9"/>
      <c r="M31" s="9"/>
      <c r="N31" s="9"/>
      <c r="O31" s="9"/>
      <c r="P31" s="9"/>
    </row>
    <row r="32" spans="3:16" x14ac:dyDescent="0.2">
      <c r="C32" s="9"/>
      <c r="D32" s="9"/>
      <c r="E32" s="9"/>
      <c r="F32" s="232" t="s">
        <v>180</v>
      </c>
      <c r="G32" s="232"/>
      <c r="H32" s="232"/>
      <c r="I32" s="232"/>
      <c r="J32" s="232"/>
      <c r="K32" s="232"/>
      <c r="L32" s="9"/>
      <c r="M32" s="9"/>
      <c r="N32" s="9"/>
      <c r="O32" s="9"/>
      <c r="P32" s="9"/>
    </row>
    <row r="33" spans="3:16" x14ac:dyDescent="0.2">
      <c r="C33" s="9"/>
      <c r="D33" s="9"/>
      <c r="E33" s="9"/>
      <c r="F33" s="9"/>
      <c r="G33" s="9"/>
      <c r="H33" s="9"/>
      <c r="I33" s="9"/>
      <c r="J33" s="9"/>
      <c r="K33" s="9"/>
      <c r="L33" s="9"/>
      <c r="M33" s="9"/>
      <c r="N33" s="9"/>
      <c r="O33" s="9"/>
      <c r="P33" s="9"/>
    </row>
    <row r="34" spans="3:16" ht="60" x14ac:dyDescent="0.25">
      <c r="C34" s="87" t="s">
        <v>0</v>
      </c>
      <c r="D34" s="88" t="s">
        <v>93</v>
      </c>
      <c r="E34" s="88" t="s">
        <v>120</v>
      </c>
      <c r="F34" s="88" t="s">
        <v>123</v>
      </c>
      <c r="G34" s="88" t="s">
        <v>164</v>
      </c>
      <c r="H34" s="88" t="s">
        <v>2</v>
      </c>
      <c r="I34" s="89" t="s">
        <v>105</v>
      </c>
      <c r="J34" s="88" t="s">
        <v>173</v>
      </c>
      <c r="K34" s="104" t="s">
        <v>125</v>
      </c>
      <c r="L34" s="88" t="s">
        <v>165</v>
      </c>
      <c r="M34" s="88" t="s">
        <v>2</v>
      </c>
      <c r="N34" s="104" t="s">
        <v>126</v>
      </c>
      <c r="O34" s="104" t="s">
        <v>174</v>
      </c>
      <c r="P34" s="9"/>
    </row>
    <row r="35" spans="3:16" ht="15" x14ac:dyDescent="0.25">
      <c r="C35" s="91" t="s">
        <v>4</v>
      </c>
      <c r="D35" s="92">
        <v>665000</v>
      </c>
      <c r="E35" s="92">
        <v>164255</v>
      </c>
      <c r="F35" s="92">
        <v>164255</v>
      </c>
      <c r="G35" s="93">
        <v>0.94</v>
      </c>
      <c r="H35" s="94">
        <f t="shared" ref="H35:H48" si="6">+F35*G35</f>
        <v>154399.69999999998</v>
      </c>
      <c r="I35" s="95">
        <f>F35-H35</f>
        <v>9855.3000000000175</v>
      </c>
      <c r="J35" s="93">
        <f>(K35-D35)/D35</f>
        <v>0</v>
      </c>
      <c r="K35" s="105">
        <v>665000</v>
      </c>
      <c r="L35" s="93">
        <v>0.94</v>
      </c>
      <c r="M35" s="105">
        <f>K35*L35</f>
        <v>625100</v>
      </c>
      <c r="N35" s="105">
        <f>(275/365)*M35</f>
        <v>470965.75342465757</v>
      </c>
      <c r="O35" s="105">
        <f>H35+N35</f>
        <v>625365.45342465758</v>
      </c>
      <c r="P35" s="9"/>
    </row>
    <row r="36" spans="3:16" ht="15" x14ac:dyDescent="0.25">
      <c r="C36" s="91" t="s">
        <v>5</v>
      </c>
      <c r="D36" s="92">
        <v>6584.21</v>
      </c>
      <c r="E36" s="92">
        <f>83.08+1661.54</f>
        <v>1744.62</v>
      </c>
      <c r="F36" s="96">
        <v>1745</v>
      </c>
      <c r="G36" s="93">
        <v>0.94</v>
      </c>
      <c r="H36" s="94">
        <f t="shared" si="6"/>
        <v>1640.3</v>
      </c>
      <c r="I36" s="95">
        <f t="shared" ref="I36:I37" si="7">F36-H36</f>
        <v>104.70000000000005</v>
      </c>
      <c r="J36" s="93">
        <f t="shared" ref="J36:J48" si="8">(K36-D36)/D36</f>
        <v>0.33162976272020478</v>
      </c>
      <c r="K36" s="105">
        <v>8767.73</v>
      </c>
      <c r="L36" s="93">
        <v>0.94</v>
      </c>
      <c r="M36" s="105">
        <f t="shared" ref="M36:M48" si="9">K36*L36</f>
        <v>8241.6661999999997</v>
      </c>
      <c r="N36" s="105">
        <f t="shared" ref="N36:N48" si="10">(275/365)*M36</f>
        <v>6209.4745342465749</v>
      </c>
      <c r="O36" s="105">
        <f t="shared" ref="O36:O48" si="11">H36+N36</f>
        <v>7849.7745342465751</v>
      </c>
      <c r="P36" s="9"/>
    </row>
    <row r="37" spans="3:16" ht="15" x14ac:dyDescent="0.25">
      <c r="C37" s="91" t="s">
        <v>106</v>
      </c>
      <c r="D37" s="92">
        <v>0</v>
      </c>
      <c r="E37" s="92">
        <v>0</v>
      </c>
      <c r="F37" s="92">
        <v>0</v>
      </c>
      <c r="G37" s="93">
        <v>0.96399999999999997</v>
      </c>
      <c r="H37" s="94">
        <f t="shared" si="6"/>
        <v>0</v>
      </c>
      <c r="I37" s="95">
        <f t="shared" si="7"/>
        <v>0</v>
      </c>
      <c r="J37" s="93" t="e">
        <f t="shared" si="8"/>
        <v>#DIV/0!</v>
      </c>
      <c r="K37" s="105">
        <v>0</v>
      </c>
      <c r="L37" s="93">
        <v>0.95199999999999996</v>
      </c>
      <c r="M37" s="105">
        <f t="shared" si="9"/>
        <v>0</v>
      </c>
      <c r="N37" s="105">
        <f t="shared" si="10"/>
        <v>0</v>
      </c>
      <c r="O37" s="105">
        <f t="shared" si="11"/>
        <v>0</v>
      </c>
      <c r="P37" s="9"/>
    </row>
    <row r="38" spans="3:16" s="9" customFormat="1" ht="15" x14ac:dyDescent="0.25">
      <c r="C38" s="191" t="s">
        <v>207</v>
      </c>
      <c r="D38" s="92"/>
      <c r="E38" s="92"/>
      <c r="F38" s="92"/>
      <c r="G38" s="93"/>
      <c r="H38" s="94"/>
      <c r="I38" s="95"/>
      <c r="J38" s="93"/>
      <c r="K38" s="105">
        <v>0</v>
      </c>
      <c r="L38" s="93"/>
      <c r="M38" s="105">
        <v>0</v>
      </c>
      <c r="N38" s="105">
        <v>0</v>
      </c>
      <c r="O38" s="105">
        <v>0</v>
      </c>
    </row>
    <row r="39" spans="3:16" s="9" customFormat="1" ht="15" x14ac:dyDescent="0.25">
      <c r="C39" s="191" t="s">
        <v>213</v>
      </c>
      <c r="D39" s="92"/>
      <c r="E39" s="92"/>
      <c r="F39" s="92"/>
      <c r="G39" s="93"/>
      <c r="H39" s="94"/>
      <c r="I39" s="95"/>
      <c r="J39" s="93"/>
      <c r="K39" s="105">
        <v>0</v>
      </c>
      <c r="L39" s="93"/>
      <c r="M39" s="105">
        <v>0</v>
      </c>
      <c r="N39" s="105">
        <v>0</v>
      </c>
      <c r="O39" s="105">
        <v>0</v>
      </c>
    </row>
    <row r="40" spans="3:16" s="9" customFormat="1" ht="15" x14ac:dyDescent="0.25">
      <c r="C40" s="165" t="s">
        <v>161</v>
      </c>
      <c r="D40" s="92"/>
      <c r="E40" s="92"/>
      <c r="F40" s="92"/>
      <c r="G40" s="93"/>
      <c r="H40" s="94"/>
      <c r="I40" s="95"/>
      <c r="J40" s="93" t="e">
        <f t="shared" si="8"/>
        <v>#DIV/0!</v>
      </c>
      <c r="K40" s="105">
        <v>0</v>
      </c>
      <c r="L40" s="93">
        <v>1</v>
      </c>
      <c r="M40" s="105">
        <f t="shared" si="9"/>
        <v>0</v>
      </c>
      <c r="N40" s="105">
        <f>M40</f>
        <v>0</v>
      </c>
      <c r="O40" s="105">
        <f>N40</f>
        <v>0</v>
      </c>
    </row>
    <row r="41" spans="3:16" s="9" customFormat="1" ht="15" x14ac:dyDescent="0.25">
      <c r="C41" s="165" t="s">
        <v>162</v>
      </c>
      <c r="D41" s="92"/>
      <c r="E41" s="92"/>
      <c r="F41" s="92"/>
      <c r="G41" s="93"/>
      <c r="H41" s="94"/>
      <c r="I41" s="95"/>
      <c r="J41" s="93" t="e">
        <f t="shared" si="8"/>
        <v>#DIV/0!</v>
      </c>
      <c r="K41" s="105">
        <v>0</v>
      </c>
      <c r="L41" s="93">
        <v>1</v>
      </c>
      <c r="M41" s="105">
        <f t="shared" si="9"/>
        <v>0</v>
      </c>
      <c r="N41" s="105">
        <f>M41</f>
        <v>0</v>
      </c>
      <c r="O41" s="105">
        <f>N41</f>
        <v>0</v>
      </c>
    </row>
    <row r="42" spans="3:16" ht="15" x14ac:dyDescent="0.25">
      <c r="C42" s="91" t="s">
        <v>107</v>
      </c>
      <c r="D42" s="92">
        <v>263550</v>
      </c>
      <c r="E42" s="92">
        <v>65096</v>
      </c>
      <c r="F42" s="92">
        <v>65096</v>
      </c>
      <c r="G42" s="93">
        <v>1</v>
      </c>
      <c r="H42" s="94">
        <f t="shared" si="6"/>
        <v>65096</v>
      </c>
      <c r="I42" s="97"/>
      <c r="J42" s="93">
        <f t="shared" si="8"/>
        <v>0</v>
      </c>
      <c r="K42" s="105">
        <v>263550</v>
      </c>
      <c r="L42" s="93">
        <v>1</v>
      </c>
      <c r="M42" s="105">
        <f t="shared" si="9"/>
        <v>263550</v>
      </c>
      <c r="N42" s="105">
        <f t="shared" si="10"/>
        <v>198565.0684931507</v>
      </c>
      <c r="O42" s="105">
        <f t="shared" si="11"/>
        <v>263661.0684931507</v>
      </c>
      <c r="P42" s="9"/>
    </row>
    <row r="43" spans="3:16" ht="15" x14ac:dyDescent="0.25">
      <c r="C43" s="91" t="s">
        <v>108</v>
      </c>
      <c r="D43" s="92">
        <v>5534.55</v>
      </c>
      <c r="E43" s="92">
        <f>65.1+1301.92</f>
        <v>1367.02</v>
      </c>
      <c r="F43" s="96">
        <v>1367</v>
      </c>
      <c r="G43" s="93">
        <v>1</v>
      </c>
      <c r="H43" s="94">
        <f t="shared" si="6"/>
        <v>1367</v>
      </c>
      <c r="I43" s="98"/>
      <c r="J43" s="93">
        <f t="shared" si="8"/>
        <v>0</v>
      </c>
      <c r="K43" s="105">
        <v>5534.55</v>
      </c>
      <c r="L43" s="93">
        <v>1</v>
      </c>
      <c r="M43" s="105">
        <f t="shared" si="9"/>
        <v>5534.55</v>
      </c>
      <c r="N43" s="105">
        <f t="shared" si="10"/>
        <v>4169.8664383561645</v>
      </c>
      <c r="O43" s="105">
        <f t="shared" si="11"/>
        <v>5536.8664383561645</v>
      </c>
      <c r="P43" s="9"/>
    </row>
    <row r="44" spans="3:16" ht="15" x14ac:dyDescent="0.25">
      <c r="C44" s="91" t="s">
        <v>109</v>
      </c>
      <c r="D44" s="92">
        <v>80000</v>
      </c>
      <c r="E44" s="92">
        <v>19760</v>
      </c>
      <c r="F44" s="96">
        <v>19760</v>
      </c>
      <c r="G44" s="93">
        <v>1</v>
      </c>
      <c r="H44" s="94">
        <f t="shared" si="6"/>
        <v>19760</v>
      </c>
      <c r="I44" s="91"/>
      <c r="J44" s="93">
        <f t="shared" si="8"/>
        <v>0</v>
      </c>
      <c r="K44" s="105">
        <v>80000</v>
      </c>
      <c r="L44" s="93">
        <v>1</v>
      </c>
      <c r="M44" s="105">
        <f t="shared" si="9"/>
        <v>80000</v>
      </c>
      <c r="N44" s="105">
        <f t="shared" si="10"/>
        <v>60273.972602739726</v>
      </c>
      <c r="O44" s="105">
        <f t="shared" si="11"/>
        <v>80033.972602739726</v>
      </c>
      <c r="P44" s="9"/>
    </row>
    <row r="45" spans="3:16" ht="15" x14ac:dyDescent="0.25">
      <c r="C45" s="91" t="s">
        <v>110</v>
      </c>
      <c r="D45" s="92">
        <v>60000</v>
      </c>
      <c r="E45" s="92">
        <v>14820</v>
      </c>
      <c r="F45" s="96">
        <v>14820</v>
      </c>
      <c r="G45" s="93">
        <v>1</v>
      </c>
      <c r="H45" s="94">
        <f t="shared" si="6"/>
        <v>14820</v>
      </c>
      <c r="I45" s="91"/>
      <c r="J45" s="93">
        <f t="shared" si="8"/>
        <v>0</v>
      </c>
      <c r="K45" s="105">
        <v>60000</v>
      </c>
      <c r="L45" s="93">
        <v>1</v>
      </c>
      <c r="M45" s="105">
        <f t="shared" si="9"/>
        <v>60000</v>
      </c>
      <c r="N45" s="105">
        <f t="shared" si="10"/>
        <v>45205.479452054795</v>
      </c>
      <c r="O45" s="105">
        <f t="shared" si="11"/>
        <v>60025.479452054795</v>
      </c>
      <c r="P45" s="9"/>
    </row>
    <row r="46" spans="3:16" ht="15" x14ac:dyDescent="0.25">
      <c r="C46" s="91" t="s">
        <v>111</v>
      </c>
      <c r="D46" s="92">
        <v>52065</v>
      </c>
      <c r="E46" s="92">
        <v>12844</v>
      </c>
      <c r="F46" s="96">
        <v>12844</v>
      </c>
      <c r="G46" s="93">
        <v>1</v>
      </c>
      <c r="H46" s="94">
        <f t="shared" si="6"/>
        <v>12844</v>
      </c>
      <c r="I46" s="91"/>
      <c r="J46" s="93">
        <f t="shared" si="8"/>
        <v>0</v>
      </c>
      <c r="K46" s="105">
        <v>52065</v>
      </c>
      <c r="L46" s="93">
        <v>1</v>
      </c>
      <c r="M46" s="105">
        <f t="shared" si="9"/>
        <v>52065</v>
      </c>
      <c r="N46" s="105">
        <f t="shared" si="10"/>
        <v>39227.054794520547</v>
      </c>
      <c r="O46" s="105">
        <f t="shared" si="11"/>
        <v>52071.054794520547</v>
      </c>
      <c r="P46" s="9"/>
    </row>
    <row r="47" spans="3:16" ht="15" x14ac:dyDescent="0.25">
      <c r="C47" s="102" t="s">
        <v>121</v>
      </c>
      <c r="D47" s="92">
        <v>75000</v>
      </c>
      <c r="E47" s="92">
        <v>18525</v>
      </c>
      <c r="F47" s="96">
        <v>18525</v>
      </c>
      <c r="G47" s="93">
        <v>1</v>
      </c>
      <c r="H47" s="94">
        <f t="shared" si="6"/>
        <v>18525</v>
      </c>
      <c r="I47" s="91"/>
      <c r="J47" s="93">
        <f t="shared" si="8"/>
        <v>0</v>
      </c>
      <c r="K47" s="105">
        <v>75000</v>
      </c>
      <c r="L47" s="93">
        <v>1</v>
      </c>
      <c r="M47" s="105">
        <f t="shared" si="9"/>
        <v>75000</v>
      </c>
      <c r="N47" s="105">
        <f t="shared" si="10"/>
        <v>56506.849315068495</v>
      </c>
      <c r="O47" s="105">
        <f t="shared" si="11"/>
        <v>75031.849315068495</v>
      </c>
      <c r="P47" s="9"/>
    </row>
    <row r="48" spans="3:16" ht="15" x14ac:dyDescent="0.25">
      <c r="C48" s="91" t="s">
        <v>113</v>
      </c>
      <c r="D48" s="92">
        <v>52000</v>
      </c>
      <c r="E48" s="92">
        <v>12844</v>
      </c>
      <c r="F48" s="96">
        <v>12844</v>
      </c>
      <c r="G48" s="93">
        <v>1</v>
      </c>
      <c r="H48" s="94">
        <f t="shared" si="6"/>
        <v>12844</v>
      </c>
      <c r="I48" s="91"/>
      <c r="J48" s="93">
        <f t="shared" si="8"/>
        <v>0</v>
      </c>
      <c r="K48" s="105">
        <v>52000</v>
      </c>
      <c r="L48" s="93">
        <v>1</v>
      </c>
      <c r="M48" s="105">
        <f t="shared" si="9"/>
        <v>52000</v>
      </c>
      <c r="N48" s="105">
        <f t="shared" si="10"/>
        <v>39178.082191780821</v>
      </c>
      <c r="O48" s="105">
        <f t="shared" si="11"/>
        <v>52022.082191780821</v>
      </c>
      <c r="P48" s="9"/>
    </row>
    <row r="49" spans="3:16" ht="15.75" thickBot="1" x14ac:dyDescent="0.3">
      <c r="C49" s="9"/>
      <c r="D49" s="107">
        <f ca="1">SUM(D35:D49)</f>
        <v>9700881031.7613564</v>
      </c>
      <c r="E49" s="9"/>
      <c r="F49" s="9"/>
      <c r="G49" s="9"/>
      <c r="H49" s="9"/>
      <c r="I49" s="91"/>
      <c r="J49" s="9"/>
      <c r="K49" s="9"/>
      <c r="L49" s="9"/>
      <c r="M49" s="9"/>
      <c r="N49" s="9"/>
      <c r="O49" s="106">
        <f>SUM(O35:O48)</f>
        <v>1221597.6012465754</v>
      </c>
      <c r="P49" s="9"/>
    </row>
    <row r="50" spans="3:16" ht="15.75" thickTop="1" x14ac:dyDescent="0.25">
      <c r="C50" s="103"/>
      <c r="D50" s="9"/>
      <c r="E50" s="92"/>
      <c r="F50" s="92"/>
      <c r="G50" s="93"/>
      <c r="H50" s="92"/>
      <c r="I50" s="91"/>
      <c r="J50" s="9"/>
      <c r="K50" s="9"/>
      <c r="L50" s="9"/>
      <c r="M50" s="9"/>
      <c r="N50" s="9"/>
      <c r="O50" s="9"/>
      <c r="P50" s="9"/>
    </row>
    <row r="51" spans="3:16" x14ac:dyDescent="0.2">
      <c r="C51" s="22"/>
      <c r="D51" s="9"/>
      <c r="E51" s="9"/>
      <c r="F51" s="9"/>
      <c r="G51" s="9"/>
      <c r="H51" s="9"/>
      <c r="I51" s="9"/>
      <c r="J51" s="9"/>
      <c r="K51" s="9"/>
      <c r="L51" s="9"/>
      <c r="M51" s="9"/>
      <c r="N51" s="9"/>
      <c r="O51" s="9"/>
      <c r="P51" s="9"/>
    </row>
    <row r="52" spans="3:16" x14ac:dyDescent="0.2">
      <c r="C52" s="9"/>
      <c r="D52" s="9"/>
      <c r="E52" s="9"/>
      <c r="F52" s="9"/>
      <c r="G52" s="9"/>
      <c r="H52" s="9"/>
      <c r="I52" s="9"/>
      <c r="J52" s="9"/>
      <c r="K52" s="9"/>
      <c r="L52" s="9"/>
      <c r="M52" s="9"/>
      <c r="N52" s="9"/>
      <c r="O52" s="9"/>
      <c r="P52" s="9"/>
    </row>
    <row r="53" spans="3:16" x14ac:dyDescent="0.2">
      <c r="C53" s="9"/>
      <c r="D53" s="9"/>
      <c r="E53" s="9"/>
      <c r="F53" s="9"/>
      <c r="G53" s="9"/>
      <c r="H53" s="9"/>
      <c r="I53" s="9"/>
      <c r="J53" s="9"/>
      <c r="K53" s="9"/>
      <c r="L53" s="9"/>
      <c r="M53" s="9"/>
      <c r="N53" s="9"/>
      <c r="O53" s="9"/>
      <c r="P53" s="9"/>
    </row>
  </sheetData>
  <mergeCells count="4">
    <mergeCell ref="F4:K4"/>
    <mergeCell ref="F5:K5"/>
    <mergeCell ref="F31:K31"/>
    <mergeCell ref="F32:K32"/>
  </mergeCells>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4:N52"/>
  <sheetViews>
    <sheetView zoomScale="85" zoomScaleNormal="85" workbookViewId="0">
      <selection activeCell="M24" sqref="M24"/>
    </sheetView>
  </sheetViews>
  <sheetFormatPr defaultColWidth="9.140625" defaultRowHeight="12.75" x14ac:dyDescent="0.2"/>
  <cols>
    <col min="1" max="1" width="9.140625" style="9"/>
    <col min="2" max="2" width="15.28515625" style="9" customWidth="1"/>
    <col min="3" max="3" width="35.85546875" style="9" customWidth="1"/>
    <col min="4" max="4" width="11.28515625" style="9" customWidth="1"/>
    <col min="5" max="5" width="21.85546875" style="9" customWidth="1"/>
    <col min="6" max="8" width="9.140625" style="9"/>
    <col min="9" max="9" width="19" style="9" customWidth="1"/>
    <col min="10" max="10" width="14.140625" style="9" customWidth="1"/>
    <col min="11" max="11" width="9.140625" style="9"/>
    <col min="12" max="12" width="10.140625" style="9" bestFit="1" customWidth="1"/>
    <col min="13" max="13" width="11.140625" style="9" bestFit="1" customWidth="1"/>
    <col min="14" max="14" width="14.140625" style="9" customWidth="1"/>
    <col min="15" max="16384" width="9.140625" style="9"/>
  </cols>
  <sheetData>
    <row r="4" spans="1:14" x14ac:dyDescent="0.2">
      <c r="E4" s="232" t="s">
        <v>163</v>
      </c>
      <c r="F4" s="232"/>
      <c r="G4" s="232"/>
      <c r="H4" s="232"/>
      <c r="I4" s="232"/>
      <c r="J4" s="232"/>
    </row>
    <row r="5" spans="1:14" x14ac:dyDescent="0.2">
      <c r="E5" s="232" t="s">
        <v>128</v>
      </c>
      <c r="F5" s="232"/>
      <c r="G5" s="232"/>
      <c r="H5" s="232"/>
      <c r="I5" s="232"/>
      <c r="J5" s="232"/>
    </row>
    <row r="7" spans="1:14" ht="60" x14ac:dyDescent="0.25">
      <c r="C7" s="87" t="s">
        <v>0</v>
      </c>
      <c r="D7" s="88" t="s">
        <v>98</v>
      </c>
      <c r="E7" s="88" t="s">
        <v>172</v>
      </c>
      <c r="F7" s="88" t="s">
        <v>165</v>
      </c>
      <c r="G7" s="88" t="s">
        <v>2</v>
      </c>
      <c r="H7" s="89" t="s">
        <v>105</v>
      </c>
      <c r="I7" s="88" t="s">
        <v>129</v>
      </c>
      <c r="J7" s="104" t="s">
        <v>160</v>
      </c>
      <c r="K7" s="88" t="s">
        <v>166</v>
      </c>
      <c r="L7" s="88" t="s">
        <v>2</v>
      </c>
      <c r="M7" s="104" t="s">
        <v>130</v>
      </c>
      <c r="N7" s="104" t="s">
        <v>175</v>
      </c>
    </row>
    <row r="8" spans="1:14" ht="15" x14ac:dyDescent="0.25">
      <c r="A8" s="91"/>
      <c r="C8" s="91" t="s">
        <v>4</v>
      </c>
      <c r="D8" s="92">
        <v>665000</v>
      </c>
      <c r="E8" s="92">
        <f>(90/365)*D8</f>
        <v>163972.60273972602</v>
      </c>
      <c r="F8" s="93">
        <v>0.94</v>
      </c>
      <c r="G8" s="94">
        <f t="shared" ref="G8:G21" si="0">+E8*F8</f>
        <v>154134.24657534246</v>
      </c>
      <c r="H8" s="95">
        <f>E8-G8</f>
        <v>9838.3561643835565</v>
      </c>
      <c r="I8" s="93">
        <f>(J8-D8)/D8</f>
        <v>4.9624060150375938E-2</v>
      </c>
      <c r="J8" s="167">
        <v>698000</v>
      </c>
      <c r="K8" s="93">
        <v>0.94</v>
      </c>
      <c r="L8" s="105">
        <f>J8*K8</f>
        <v>656120</v>
      </c>
      <c r="M8" s="105">
        <f>(275/365)*L8</f>
        <v>494336.98630136985</v>
      </c>
      <c r="N8" s="105">
        <f>G8+M8</f>
        <v>648471.23287671234</v>
      </c>
    </row>
    <row r="9" spans="1:14" ht="15" x14ac:dyDescent="0.25">
      <c r="A9" s="91"/>
      <c r="C9" s="91" t="s">
        <v>5</v>
      </c>
      <c r="D9" s="92">
        <v>8767.73</v>
      </c>
      <c r="E9" s="92">
        <f t="shared" ref="E9:E21" si="1">(90/365)*D9</f>
        <v>2161.90602739726</v>
      </c>
      <c r="F9" s="93">
        <v>0.94</v>
      </c>
      <c r="G9" s="94">
        <f t="shared" si="0"/>
        <v>2032.1916657534243</v>
      </c>
      <c r="H9" s="95">
        <f t="shared" ref="H9:H10" si="2">E9-G9</f>
        <v>129.71436164383567</v>
      </c>
      <c r="I9" s="93">
        <f t="shared" ref="I9:I21" si="3">(J9-D9)/D9</f>
        <v>-9.8236373610957398E-2</v>
      </c>
      <c r="J9" s="167">
        <v>7906.42</v>
      </c>
      <c r="K9" s="93">
        <v>0.94</v>
      </c>
      <c r="L9" s="105">
        <f t="shared" ref="L9:L21" si="4">J9*K9</f>
        <v>7432.0347999999994</v>
      </c>
      <c r="M9" s="105">
        <f t="shared" ref="M9:M21" si="5">(275/365)*L9</f>
        <v>5599.4782739726024</v>
      </c>
      <c r="N9" s="105">
        <f t="shared" ref="N9:N21" si="6">G9+M9</f>
        <v>7631.6699397260272</v>
      </c>
    </row>
    <row r="10" spans="1:14" ht="15" x14ac:dyDescent="0.25">
      <c r="A10" s="166"/>
      <c r="C10" s="165" t="s">
        <v>171</v>
      </c>
      <c r="D10" s="92">
        <v>-247476</v>
      </c>
      <c r="E10" s="92">
        <f t="shared" si="1"/>
        <v>-61021.479452054788</v>
      </c>
      <c r="F10" s="93">
        <v>0.95199999999999996</v>
      </c>
      <c r="G10" s="94">
        <f t="shared" si="0"/>
        <v>-58092.448438356158</v>
      </c>
      <c r="H10" s="95">
        <f t="shared" si="2"/>
        <v>-2929.03101369863</v>
      </c>
      <c r="I10" s="93">
        <f t="shared" si="3"/>
        <v>0.2991320370460166</v>
      </c>
      <c r="J10" s="167">
        <v>-321504</v>
      </c>
      <c r="K10" s="93">
        <v>0.94</v>
      </c>
      <c r="L10" s="105">
        <f t="shared" si="4"/>
        <v>-302213.76000000001</v>
      </c>
      <c r="M10" s="105">
        <f t="shared" si="5"/>
        <v>-227695.298630137</v>
      </c>
      <c r="N10" s="105">
        <f t="shared" si="6"/>
        <v>-285787.74706849316</v>
      </c>
    </row>
    <row r="11" spans="1:14" ht="15" x14ac:dyDescent="0.25">
      <c r="A11" s="166"/>
      <c r="C11" s="191" t="s">
        <v>207</v>
      </c>
      <c r="D11" s="92"/>
      <c r="E11" s="92"/>
      <c r="F11" s="93"/>
      <c r="G11" s="94"/>
      <c r="H11" s="95"/>
      <c r="I11" s="93"/>
      <c r="J11" s="167">
        <v>-64300.800000000003</v>
      </c>
      <c r="K11" s="93">
        <f>L11/J11</f>
        <v>0.95199999999999996</v>
      </c>
      <c r="L11" s="105">
        <v>-61214.361599999997</v>
      </c>
      <c r="M11" s="105">
        <f>L11</f>
        <v>-61214.361599999997</v>
      </c>
      <c r="N11" s="105">
        <f>L11</f>
        <v>-61214.361599999997</v>
      </c>
    </row>
    <row r="12" spans="1:14" ht="15" x14ac:dyDescent="0.25">
      <c r="C12" s="165" t="s">
        <v>161</v>
      </c>
      <c r="D12" s="92">
        <v>0</v>
      </c>
      <c r="E12" s="92">
        <f t="shared" si="1"/>
        <v>0</v>
      </c>
      <c r="F12" s="93">
        <v>1</v>
      </c>
      <c r="G12" s="94">
        <f t="shared" si="0"/>
        <v>0</v>
      </c>
      <c r="H12" s="95"/>
      <c r="I12" s="93" t="e">
        <f t="shared" si="3"/>
        <v>#DIV/0!</v>
      </c>
      <c r="J12" s="167">
        <v>-50474.36</v>
      </c>
      <c r="K12" s="93">
        <v>1</v>
      </c>
      <c r="L12" s="105">
        <f t="shared" si="4"/>
        <v>-50474.36</v>
      </c>
      <c r="M12" s="105">
        <f t="shared" si="5"/>
        <v>-38028.627397260272</v>
      </c>
      <c r="N12" s="105">
        <f>M12</f>
        <v>-38028.627397260272</v>
      </c>
    </row>
    <row r="13" spans="1:14" ht="15" x14ac:dyDescent="0.25">
      <c r="C13" s="165" t="s">
        <v>162</v>
      </c>
      <c r="D13" s="92">
        <v>-52793.35</v>
      </c>
      <c r="E13" s="92">
        <v>0</v>
      </c>
      <c r="F13" s="93">
        <v>1</v>
      </c>
      <c r="G13" s="94">
        <f t="shared" si="0"/>
        <v>0</v>
      </c>
      <c r="H13" s="95"/>
      <c r="I13" s="169">
        <f t="shared" si="3"/>
        <v>-4.392579747259831E-2</v>
      </c>
      <c r="J13" s="168">
        <v>-50474.36</v>
      </c>
      <c r="K13" s="93">
        <v>1</v>
      </c>
      <c r="L13" s="105">
        <f t="shared" si="4"/>
        <v>-50474.36</v>
      </c>
      <c r="M13" s="105">
        <f t="shared" si="5"/>
        <v>-38028.627397260272</v>
      </c>
      <c r="N13" s="105">
        <f>M13</f>
        <v>-38028.627397260272</v>
      </c>
    </row>
    <row r="14" spans="1:14" ht="15" x14ac:dyDescent="0.25">
      <c r="C14" s="91" t="s">
        <v>107</v>
      </c>
      <c r="D14" s="92">
        <v>263550</v>
      </c>
      <c r="E14" s="92">
        <f t="shared" si="1"/>
        <v>64984.931506849309</v>
      </c>
      <c r="F14" s="93">
        <v>1</v>
      </c>
      <c r="G14" s="94">
        <f t="shared" si="0"/>
        <v>64984.931506849309</v>
      </c>
      <c r="H14" s="97"/>
      <c r="I14" s="93">
        <f t="shared" si="3"/>
        <v>8.9649022955795868E-2</v>
      </c>
      <c r="J14" s="167">
        <v>287177</v>
      </c>
      <c r="K14" s="93">
        <v>1</v>
      </c>
      <c r="L14" s="105">
        <f t="shared" ref="L14" si="7">J14*K14</f>
        <v>287177</v>
      </c>
      <c r="M14" s="105">
        <f t="shared" si="5"/>
        <v>216366.23287671234</v>
      </c>
      <c r="N14" s="105">
        <f t="shared" si="6"/>
        <v>281351.16438356164</v>
      </c>
    </row>
    <row r="15" spans="1:14" ht="15" x14ac:dyDescent="0.25">
      <c r="C15" s="91" t="s">
        <v>108</v>
      </c>
      <c r="D15" s="92">
        <v>5534.55</v>
      </c>
      <c r="E15" s="92">
        <f t="shared" si="1"/>
        <v>1364.6835616438357</v>
      </c>
      <c r="F15" s="93">
        <v>1</v>
      </c>
      <c r="G15" s="94">
        <f t="shared" si="0"/>
        <v>1364.6835616438357</v>
      </c>
      <c r="H15" s="97"/>
      <c r="I15" s="93">
        <f t="shared" si="3"/>
        <v>8.9649565005284995E-2</v>
      </c>
      <c r="J15" s="167">
        <v>6030.72</v>
      </c>
      <c r="K15" s="93">
        <v>1</v>
      </c>
      <c r="L15" s="105">
        <f t="shared" ref="L15" si="8">J15*K15</f>
        <v>6030.72</v>
      </c>
      <c r="M15" s="105">
        <f t="shared" si="5"/>
        <v>4543.6931506849314</v>
      </c>
      <c r="N15" s="105">
        <f t="shared" si="6"/>
        <v>5908.3767123287671</v>
      </c>
    </row>
    <row r="16" spans="1:14" ht="15" x14ac:dyDescent="0.25">
      <c r="A16" s="91"/>
      <c r="C16" s="166" t="s">
        <v>167</v>
      </c>
      <c r="D16" s="92">
        <v>80000</v>
      </c>
      <c r="E16" s="92">
        <f t="shared" si="1"/>
        <v>19726.027397260274</v>
      </c>
      <c r="F16" s="93">
        <v>1</v>
      </c>
      <c r="G16" s="94">
        <f t="shared" si="0"/>
        <v>19726.027397260274</v>
      </c>
      <c r="H16" s="98"/>
      <c r="I16" s="93">
        <f t="shared" si="3"/>
        <v>-0.27337499999999998</v>
      </c>
      <c r="J16" s="167">
        <v>58130</v>
      </c>
      <c r="K16" s="93">
        <v>1</v>
      </c>
      <c r="L16" s="105">
        <f t="shared" si="4"/>
        <v>58130</v>
      </c>
      <c r="M16" s="105">
        <f t="shared" si="5"/>
        <v>43796.575342465752</v>
      </c>
      <c r="N16" s="105">
        <f t="shared" si="6"/>
        <v>63522.602739726026</v>
      </c>
    </row>
    <row r="17" spans="3:14" ht="15" x14ac:dyDescent="0.25">
      <c r="C17" s="166" t="s">
        <v>168</v>
      </c>
      <c r="D17" s="92">
        <v>60000</v>
      </c>
      <c r="E17" s="92">
        <f t="shared" si="1"/>
        <v>14794.520547945205</v>
      </c>
      <c r="F17" s="93">
        <v>1</v>
      </c>
      <c r="G17" s="94">
        <f t="shared" si="0"/>
        <v>14794.520547945205</v>
      </c>
      <c r="H17" s="91"/>
      <c r="I17" s="93">
        <f t="shared" si="3"/>
        <v>0.14166666666666666</v>
      </c>
      <c r="J17" s="167">
        <v>68500</v>
      </c>
      <c r="K17" s="93">
        <v>1</v>
      </c>
      <c r="L17" s="105">
        <f t="shared" si="4"/>
        <v>68500</v>
      </c>
      <c r="M17" s="105">
        <f t="shared" si="5"/>
        <v>51609.589041095889</v>
      </c>
      <c r="N17" s="105">
        <f t="shared" si="6"/>
        <v>66404.109589041094</v>
      </c>
    </row>
    <row r="18" spans="3:14" ht="15" x14ac:dyDescent="0.25">
      <c r="C18" s="166" t="s">
        <v>169</v>
      </c>
      <c r="D18" s="92">
        <v>52065</v>
      </c>
      <c r="E18" s="92">
        <f t="shared" si="1"/>
        <v>12837.945205479451</v>
      </c>
      <c r="F18" s="93">
        <v>1</v>
      </c>
      <c r="G18" s="94">
        <f t="shared" si="0"/>
        <v>12837.945205479451</v>
      </c>
      <c r="H18" s="91"/>
      <c r="I18" s="93">
        <f t="shared" si="3"/>
        <v>0.15382694708537406</v>
      </c>
      <c r="J18" s="167">
        <v>60074</v>
      </c>
      <c r="K18" s="93">
        <v>1</v>
      </c>
      <c r="L18" s="105">
        <f t="shared" si="4"/>
        <v>60074</v>
      </c>
      <c r="M18" s="105">
        <f t="shared" si="5"/>
        <v>45261.232876712333</v>
      </c>
      <c r="N18" s="105">
        <f t="shared" si="6"/>
        <v>58099.178082191786</v>
      </c>
    </row>
    <row r="19" spans="3:14" ht="15" x14ac:dyDescent="0.25">
      <c r="C19" s="166" t="s">
        <v>170</v>
      </c>
      <c r="D19" s="92">
        <v>0</v>
      </c>
      <c r="E19" s="92">
        <f t="shared" si="1"/>
        <v>0</v>
      </c>
      <c r="F19" s="93">
        <v>1</v>
      </c>
      <c r="G19" s="94">
        <f t="shared" si="0"/>
        <v>0</v>
      </c>
      <c r="H19" s="91"/>
      <c r="I19" s="93" t="e">
        <f t="shared" si="3"/>
        <v>#DIV/0!</v>
      </c>
      <c r="J19" s="167">
        <v>20000</v>
      </c>
      <c r="K19" s="93">
        <v>1</v>
      </c>
      <c r="L19" s="105">
        <f t="shared" si="4"/>
        <v>20000</v>
      </c>
      <c r="M19" s="105">
        <f t="shared" si="5"/>
        <v>15068.493150684932</v>
      </c>
      <c r="N19" s="105">
        <f t="shared" si="6"/>
        <v>15068.493150684932</v>
      </c>
    </row>
    <row r="20" spans="3:14" ht="15" x14ac:dyDescent="0.25">
      <c r="C20" s="102" t="s">
        <v>121</v>
      </c>
      <c r="D20" s="92">
        <v>75000</v>
      </c>
      <c r="E20" s="92">
        <f t="shared" si="1"/>
        <v>18493.150684931505</v>
      </c>
      <c r="F20" s="93">
        <v>1</v>
      </c>
      <c r="G20" s="94">
        <f t="shared" si="0"/>
        <v>18493.150684931505</v>
      </c>
      <c r="H20" s="91"/>
      <c r="I20" s="93">
        <f t="shared" si="3"/>
        <v>6.5000000000000002E-2</v>
      </c>
      <c r="J20" s="167">
        <v>79875</v>
      </c>
      <c r="K20" s="93">
        <v>1</v>
      </c>
      <c r="L20" s="105">
        <f t="shared" si="4"/>
        <v>79875</v>
      </c>
      <c r="M20" s="105">
        <f t="shared" si="5"/>
        <v>60179.794520547948</v>
      </c>
      <c r="N20" s="105">
        <f t="shared" si="6"/>
        <v>78672.945205479453</v>
      </c>
    </row>
    <row r="21" spans="3:14" ht="15" x14ac:dyDescent="0.25">
      <c r="C21" s="91" t="s">
        <v>113</v>
      </c>
      <c r="D21" s="92">
        <v>52000</v>
      </c>
      <c r="E21" s="92">
        <f t="shared" si="1"/>
        <v>12821.917808219177</v>
      </c>
      <c r="F21" s="93">
        <v>1</v>
      </c>
      <c r="G21" s="94">
        <f t="shared" si="0"/>
        <v>12821.917808219177</v>
      </c>
      <c r="H21" s="91"/>
      <c r="I21" s="93">
        <f t="shared" si="3"/>
        <v>6.5000000000000002E-2</v>
      </c>
      <c r="J21" s="167">
        <v>55380</v>
      </c>
      <c r="K21" s="93">
        <v>1</v>
      </c>
      <c r="L21" s="105">
        <f t="shared" si="4"/>
        <v>55380</v>
      </c>
      <c r="M21" s="105">
        <f t="shared" si="5"/>
        <v>41724.657534246573</v>
      </c>
      <c r="N21" s="105">
        <f t="shared" si="6"/>
        <v>54546.575342465752</v>
      </c>
    </row>
    <row r="22" spans="3:14" ht="15.75" thickBot="1" x14ac:dyDescent="0.3">
      <c r="D22" s="107">
        <f ca="1">SUM(D8:D22)</f>
        <v>7405620140.7606525</v>
      </c>
      <c r="H22" s="91"/>
      <c r="J22" s="108">
        <f>SUM(J8:J21)</f>
        <v>854319.62000000011</v>
      </c>
      <c r="N22" s="175">
        <f>SUM(N8:N21)</f>
        <v>856616.98455890419</v>
      </c>
    </row>
    <row r="23" spans="3:14" ht="15.75" thickTop="1" x14ac:dyDescent="0.25">
      <c r="C23" s="103"/>
      <c r="E23" s="92"/>
      <c r="F23" s="93"/>
      <c r="G23" s="92"/>
      <c r="H23" s="91"/>
    </row>
    <row r="24" spans="3:14" x14ac:dyDescent="0.2">
      <c r="C24" s="22"/>
      <c r="J24" s="170"/>
      <c r="K24" s="171" t="s">
        <v>178</v>
      </c>
    </row>
    <row r="25" spans="3:14" x14ac:dyDescent="0.2">
      <c r="J25" s="172"/>
      <c r="K25" s="171" t="s">
        <v>188</v>
      </c>
    </row>
    <row r="31" spans="3:14" x14ac:dyDescent="0.2">
      <c r="E31" s="232" t="s">
        <v>163</v>
      </c>
      <c r="F31" s="232"/>
      <c r="G31" s="232"/>
      <c r="H31" s="232"/>
      <c r="I31" s="232"/>
      <c r="J31" s="232"/>
    </row>
    <row r="32" spans="3:14" x14ac:dyDescent="0.2">
      <c r="E32" s="232" t="s">
        <v>180</v>
      </c>
      <c r="F32" s="232"/>
      <c r="G32" s="232"/>
      <c r="H32" s="232"/>
      <c r="I32" s="232"/>
      <c r="J32" s="232"/>
    </row>
    <row r="34" spans="3:14" ht="60" x14ac:dyDescent="0.25">
      <c r="C34" s="87" t="s">
        <v>0</v>
      </c>
      <c r="D34" s="88" t="s">
        <v>98</v>
      </c>
      <c r="E34" s="88" t="s">
        <v>172</v>
      </c>
      <c r="F34" s="88" t="s">
        <v>165</v>
      </c>
      <c r="G34" s="88" t="s">
        <v>2</v>
      </c>
      <c r="H34" s="89" t="s">
        <v>105</v>
      </c>
      <c r="I34" s="88" t="s">
        <v>129</v>
      </c>
      <c r="J34" s="104" t="s">
        <v>160</v>
      </c>
      <c r="K34" s="88" t="s">
        <v>166</v>
      </c>
      <c r="L34" s="88" t="s">
        <v>2</v>
      </c>
      <c r="M34" s="104" t="s">
        <v>130</v>
      </c>
      <c r="N34" s="104" t="s">
        <v>175</v>
      </c>
    </row>
    <row r="35" spans="3:14" ht="15" x14ac:dyDescent="0.25">
      <c r="C35" s="91" t="s">
        <v>4</v>
      </c>
      <c r="D35" s="92">
        <v>665000</v>
      </c>
      <c r="E35" s="92">
        <f t="shared" ref="E35:E48" si="9">(90/365)*D35</f>
        <v>163972.60273972602</v>
      </c>
      <c r="F35" s="93">
        <v>0.94</v>
      </c>
      <c r="G35" s="94">
        <f t="shared" ref="G35:G48" si="10">+E35*F35</f>
        <v>154134.24657534246</v>
      </c>
      <c r="H35" s="95">
        <f>E35-G35</f>
        <v>9838.3561643835565</v>
      </c>
      <c r="I35" s="93">
        <f>(J35-D35)/D35</f>
        <v>4.9624060150375938E-2</v>
      </c>
      <c r="J35" s="167">
        <v>698000</v>
      </c>
      <c r="K35" s="93">
        <v>0.94</v>
      </c>
      <c r="L35" s="105">
        <f>J35*K35</f>
        <v>656120</v>
      </c>
      <c r="M35" s="105">
        <f t="shared" ref="M35:M48" si="11">(275/365)*L35</f>
        <v>494336.98630136985</v>
      </c>
      <c r="N35" s="105">
        <f>G35+M35</f>
        <v>648471.23287671234</v>
      </c>
    </row>
    <row r="36" spans="3:14" ht="15" x14ac:dyDescent="0.25">
      <c r="C36" s="91" t="s">
        <v>5</v>
      </c>
      <c r="D36" s="92">
        <v>8767.73</v>
      </c>
      <c r="E36" s="92">
        <f t="shared" si="9"/>
        <v>2161.90602739726</v>
      </c>
      <c r="F36" s="93">
        <v>0.94</v>
      </c>
      <c r="G36" s="94">
        <f t="shared" si="10"/>
        <v>2032.1916657534243</v>
      </c>
      <c r="H36" s="95">
        <f t="shared" ref="H36:H37" si="12">E36-G36</f>
        <v>129.71436164383567</v>
      </c>
      <c r="I36" s="93">
        <f t="shared" ref="I36:I48" si="13">(J36-D36)/D36</f>
        <v>-9.8236373610957398E-2</v>
      </c>
      <c r="J36" s="167">
        <v>7906.42</v>
      </c>
      <c r="K36" s="93">
        <v>0.94</v>
      </c>
      <c r="L36" s="105">
        <f t="shared" ref="L36:L45" si="14">J36*K36</f>
        <v>7432.0347999999994</v>
      </c>
      <c r="M36" s="105">
        <f t="shared" si="11"/>
        <v>5599.4782739726024</v>
      </c>
      <c r="N36" s="105">
        <f t="shared" ref="N36:N45" si="15">G36+M36</f>
        <v>7631.6699397260272</v>
      </c>
    </row>
    <row r="37" spans="3:14" ht="15" x14ac:dyDescent="0.25">
      <c r="C37" s="165" t="s">
        <v>176</v>
      </c>
      <c r="D37" s="92">
        <v>0</v>
      </c>
      <c r="E37" s="92">
        <f t="shared" si="9"/>
        <v>0</v>
      </c>
      <c r="F37" s="93">
        <v>0.95199999999999996</v>
      </c>
      <c r="G37" s="94">
        <f t="shared" si="10"/>
        <v>0</v>
      </c>
      <c r="H37" s="95">
        <f t="shared" si="12"/>
        <v>0</v>
      </c>
      <c r="I37" s="93" t="e">
        <f t="shared" si="13"/>
        <v>#DIV/0!</v>
      </c>
      <c r="J37" s="167">
        <v>0</v>
      </c>
      <c r="K37" s="93">
        <v>0.94</v>
      </c>
      <c r="L37" s="105">
        <f t="shared" si="14"/>
        <v>0</v>
      </c>
      <c r="M37" s="105">
        <f t="shared" si="11"/>
        <v>0</v>
      </c>
      <c r="N37" s="105">
        <f t="shared" si="15"/>
        <v>0</v>
      </c>
    </row>
    <row r="38" spans="3:14" ht="15" x14ac:dyDescent="0.25">
      <c r="C38" s="191" t="s">
        <v>207</v>
      </c>
      <c r="D38" s="92"/>
      <c r="E38" s="92"/>
      <c r="F38" s="93"/>
      <c r="G38" s="94"/>
      <c r="H38" s="95"/>
      <c r="I38" s="93"/>
      <c r="J38" s="167">
        <v>0</v>
      </c>
      <c r="K38" s="93"/>
      <c r="L38" s="105">
        <v>0</v>
      </c>
      <c r="M38" s="105">
        <v>0</v>
      </c>
      <c r="N38" s="105">
        <v>0</v>
      </c>
    </row>
    <row r="39" spans="3:14" ht="15" x14ac:dyDescent="0.25">
      <c r="C39" s="165" t="s">
        <v>161</v>
      </c>
      <c r="D39" s="92">
        <v>0</v>
      </c>
      <c r="E39" s="92">
        <f t="shared" si="9"/>
        <v>0</v>
      </c>
      <c r="F39" s="93">
        <v>1</v>
      </c>
      <c r="G39" s="94">
        <f t="shared" si="10"/>
        <v>0</v>
      </c>
      <c r="H39" s="95"/>
      <c r="I39" s="93" t="e">
        <f t="shared" si="13"/>
        <v>#DIV/0!</v>
      </c>
      <c r="J39" s="167">
        <v>0</v>
      </c>
      <c r="K39" s="93">
        <v>1</v>
      </c>
      <c r="L39" s="105">
        <f t="shared" si="14"/>
        <v>0</v>
      </c>
      <c r="M39" s="105">
        <f t="shared" si="11"/>
        <v>0</v>
      </c>
      <c r="N39" s="105">
        <f>M39</f>
        <v>0</v>
      </c>
    </row>
    <row r="40" spans="3:14" ht="15" x14ac:dyDescent="0.25">
      <c r="C40" s="165" t="s">
        <v>162</v>
      </c>
      <c r="D40" s="92">
        <v>0</v>
      </c>
      <c r="E40" s="92">
        <f t="shared" si="9"/>
        <v>0</v>
      </c>
      <c r="F40" s="93">
        <v>1</v>
      </c>
      <c r="G40" s="94">
        <f t="shared" si="10"/>
        <v>0</v>
      </c>
      <c r="H40" s="95"/>
      <c r="I40" s="169" t="e">
        <f t="shared" si="13"/>
        <v>#DIV/0!</v>
      </c>
      <c r="J40" s="167">
        <v>0</v>
      </c>
      <c r="K40" s="93">
        <v>1</v>
      </c>
      <c r="L40" s="105">
        <f t="shared" si="14"/>
        <v>0</v>
      </c>
      <c r="M40" s="105">
        <f t="shared" si="11"/>
        <v>0</v>
      </c>
      <c r="N40" s="105">
        <f>M40</f>
        <v>0</v>
      </c>
    </row>
    <row r="41" spans="3:14" ht="15" x14ac:dyDescent="0.25">
      <c r="C41" s="91" t="s">
        <v>107</v>
      </c>
      <c r="D41" s="92">
        <v>263550</v>
      </c>
      <c r="E41" s="92">
        <f t="shared" si="9"/>
        <v>64984.931506849309</v>
      </c>
      <c r="F41" s="93">
        <v>1</v>
      </c>
      <c r="G41" s="94">
        <f t="shared" si="10"/>
        <v>64984.931506849309</v>
      </c>
      <c r="H41" s="97"/>
      <c r="I41" s="93">
        <f t="shared" si="13"/>
        <v>8.9649022955795868E-2</v>
      </c>
      <c r="J41" s="167">
        <v>287177</v>
      </c>
      <c r="K41" s="93">
        <v>1</v>
      </c>
      <c r="L41" s="105">
        <f t="shared" si="14"/>
        <v>287177</v>
      </c>
      <c r="M41" s="105">
        <f t="shared" si="11"/>
        <v>216366.23287671234</v>
      </c>
      <c r="N41" s="105">
        <f t="shared" si="15"/>
        <v>281351.16438356164</v>
      </c>
    </row>
    <row r="42" spans="3:14" ht="15" x14ac:dyDescent="0.25">
      <c r="C42" s="91" t="s">
        <v>108</v>
      </c>
      <c r="D42" s="92">
        <v>5534.55</v>
      </c>
      <c r="E42" s="92">
        <f t="shared" si="9"/>
        <v>1364.6835616438357</v>
      </c>
      <c r="F42" s="93">
        <v>1</v>
      </c>
      <c r="G42" s="94">
        <f t="shared" si="10"/>
        <v>1364.6835616438357</v>
      </c>
      <c r="H42" s="98"/>
      <c r="I42" s="93">
        <f t="shared" si="13"/>
        <v>8.9649565005284995E-2</v>
      </c>
      <c r="J42" s="167">
        <v>6030.72</v>
      </c>
      <c r="K42" s="93">
        <v>1</v>
      </c>
      <c r="L42" s="105">
        <f t="shared" si="14"/>
        <v>6030.72</v>
      </c>
      <c r="M42" s="105">
        <f t="shared" si="11"/>
        <v>4543.6931506849314</v>
      </c>
      <c r="N42" s="105">
        <f t="shared" si="15"/>
        <v>5908.3767123287671</v>
      </c>
    </row>
    <row r="43" spans="3:14" ht="15" x14ac:dyDescent="0.25">
      <c r="C43" s="91" t="s">
        <v>109</v>
      </c>
      <c r="D43" s="92">
        <v>80000</v>
      </c>
      <c r="E43" s="92">
        <f t="shared" si="9"/>
        <v>19726.027397260274</v>
      </c>
      <c r="F43" s="93">
        <v>1</v>
      </c>
      <c r="G43" s="94">
        <f t="shared" si="10"/>
        <v>19726.027397260274</v>
      </c>
      <c r="H43" s="91"/>
      <c r="I43" s="93">
        <f t="shared" si="13"/>
        <v>-0.27337499999999998</v>
      </c>
      <c r="J43" s="167">
        <v>58130</v>
      </c>
      <c r="K43" s="93">
        <v>1</v>
      </c>
      <c r="L43" s="105">
        <f t="shared" si="14"/>
        <v>58130</v>
      </c>
      <c r="M43" s="105">
        <f t="shared" si="11"/>
        <v>43796.575342465752</v>
      </c>
      <c r="N43" s="105">
        <f t="shared" si="15"/>
        <v>63522.602739726026</v>
      </c>
    </row>
    <row r="44" spans="3:14" ht="15" x14ac:dyDescent="0.25">
      <c r="C44" s="91" t="s">
        <v>110</v>
      </c>
      <c r="D44" s="92">
        <v>60000</v>
      </c>
      <c r="E44" s="92">
        <f t="shared" si="9"/>
        <v>14794.520547945205</v>
      </c>
      <c r="F44" s="93">
        <v>1</v>
      </c>
      <c r="G44" s="94">
        <f t="shared" si="10"/>
        <v>14794.520547945205</v>
      </c>
      <c r="H44" s="91"/>
      <c r="I44" s="93">
        <f t="shared" si="13"/>
        <v>0.14166666666666666</v>
      </c>
      <c r="J44" s="167">
        <v>68500</v>
      </c>
      <c r="K44" s="93">
        <v>1</v>
      </c>
      <c r="L44" s="105">
        <f t="shared" si="14"/>
        <v>68500</v>
      </c>
      <c r="M44" s="105">
        <f t="shared" si="11"/>
        <v>51609.589041095889</v>
      </c>
      <c r="N44" s="105">
        <f t="shared" si="15"/>
        <v>66404.109589041094</v>
      </c>
    </row>
    <row r="45" spans="3:14" ht="15" x14ac:dyDescent="0.25">
      <c r="C45" s="91" t="s">
        <v>111</v>
      </c>
      <c r="D45" s="92">
        <v>52065</v>
      </c>
      <c r="E45" s="92">
        <f t="shared" si="9"/>
        <v>12837.945205479451</v>
      </c>
      <c r="F45" s="93">
        <v>1</v>
      </c>
      <c r="G45" s="94">
        <f t="shared" si="10"/>
        <v>12837.945205479451</v>
      </c>
      <c r="H45" s="91"/>
      <c r="I45" s="93">
        <f t="shared" si="13"/>
        <v>0.15382694708537406</v>
      </c>
      <c r="J45" s="167">
        <v>60074</v>
      </c>
      <c r="K45" s="93">
        <v>1</v>
      </c>
      <c r="L45" s="105">
        <f t="shared" si="14"/>
        <v>60074</v>
      </c>
      <c r="M45" s="105">
        <f t="shared" si="11"/>
        <v>45261.232876712333</v>
      </c>
      <c r="N45" s="105">
        <f t="shared" si="15"/>
        <v>58099.178082191786</v>
      </c>
    </row>
    <row r="46" spans="3:14" ht="15" x14ac:dyDescent="0.25">
      <c r="C46" s="166" t="s">
        <v>170</v>
      </c>
      <c r="D46" s="9">
        <v>0</v>
      </c>
      <c r="E46" s="92">
        <f t="shared" si="9"/>
        <v>0</v>
      </c>
      <c r="F46" s="93">
        <v>1</v>
      </c>
      <c r="G46" s="94">
        <f t="shared" si="10"/>
        <v>0</v>
      </c>
      <c r="I46" s="93" t="e">
        <f t="shared" si="13"/>
        <v>#DIV/0!</v>
      </c>
      <c r="J46" s="167">
        <v>20000</v>
      </c>
      <c r="K46" s="93">
        <v>1</v>
      </c>
      <c r="L46" s="105">
        <f t="shared" ref="L46" si="16">J46*K46</f>
        <v>20000</v>
      </c>
      <c r="M46" s="105">
        <f t="shared" si="11"/>
        <v>15068.493150684932</v>
      </c>
      <c r="N46" s="105">
        <f t="shared" ref="N46" si="17">G46+M46</f>
        <v>15068.493150684932</v>
      </c>
    </row>
    <row r="47" spans="3:14" ht="15" x14ac:dyDescent="0.25">
      <c r="C47" s="102" t="s">
        <v>121</v>
      </c>
      <c r="D47" s="92">
        <v>75000</v>
      </c>
      <c r="E47" s="92">
        <f t="shared" si="9"/>
        <v>18493.150684931505</v>
      </c>
      <c r="F47" s="93">
        <v>1</v>
      </c>
      <c r="G47" s="94">
        <f t="shared" si="10"/>
        <v>18493.150684931505</v>
      </c>
      <c r="H47" s="91"/>
      <c r="I47" s="93">
        <f t="shared" si="13"/>
        <v>6.5000000000000002E-2</v>
      </c>
      <c r="J47" s="167">
        <v>79875</v>
      </c>
      <c r="K47" s="93">
        <v>1</v>
      </c>
      <c r="L47" s="105">
        <f>J47*K47</f>
        <v>79875</v>
      </c>
      <c r="M47" s="105">
        <f t="shared" si="11"/>
        <v>60179.794520547948</v>
      </c>
      <c r="N47" s="105">
        <f>G47+M47</f>
        <v>78672.945205479453</v>
      </c>
    </row>
    <row r="48" spans="3:14" ht="15" x14ac:dyDescent="0.25">
      <c r="C48" s="91" t="s">
        <v>113</v>
      </c>
      <c r="D48" s="92">
        <v>52000</v>
      </c>
      <c r="E48" s="92">
        <f t="shared" si="9"/>
        <v>12821.917808219177</v>
      </c>
      <c r="F48" s="93">
        <v>1</v>
      </c>
      <c r="G48" s="94">
        <f t="shared" si="10"/>
        <v>12821.917808219177</v>
      </c>
      <c r="H48" s="91"/>
      <c r="I48" s="93">
        <f t="shared" si="13"/>
        <v>6.5000000000000002E-2</v>
      </c>
      <c r="J48" s="167">
        <v>55380</v>
      </c>
      <c r="K48" s="93">
        <v>1</v>
      </c>
      <c r="L48" s="105">
        <f>J48*K48</f>
        <v>55380</v>
      </c>
      <c r="M48" s="105">
        <f t="shared" si="11"/>
        <v>41724.657534246573</v>
      </c>
      <c r="N48" s="105">
        <f>G48+M48</f>
        <v>54546.575342465752</v>
      </c>
    </row>
    <row r="49" spans="4:14" ht="15.75" thickBot="1" x14ac:dyDescent="0.3">
      <c r="D49" s="107">
        <f ca="1">SUM(D35:D49)</f>
        <v>9717694135.7600193</v>
      </c>
      <c r="H49" s="91"/>
      <c r="N49" s="106">
        <f>SUM(N35:N48)</f>
        <v>1279676.3480219177</v>
      </c>
    </row>
    <row r="50" spans="4:14" ht="13.5" thickTop="1" x14ac:dyDescent="0.2"/>
    <row r="52" spans="4:14" x14ac:dyDescent="0.2">
      <c r="J52" s="170"/>
      <c r="K52" s="171" t="s">
        <v>178</v>
      </c>
    </row>
  </sheetData>
  <mergeCells count="4">
    <mergeCell ref="E31:J31"/>
    <mergeCell ref="E32:J32"/>
    <mergeCell ref="E4:J4"/>
    <mergeCell ref="E5:J5"/>
  </mergeCells>
  <pageMargins left="0.7" right="0.7" top="0.75" bottom="0.75" header="0.3" footer="0.3"/>
  <pageSetup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H41"/>
  <sheetViews>
    <sheetView topLeftCell="A2" zoomScale="85" zoomScaleNormal="85" workbookViewId="0">
      <selection activeCell="M24" sqref="M24"/>
    </sheetView>
  </sheetViews>
  <sheetFormatPr defaultRowHeight="12.75" x14ac:dyDescent="0.2"/>
  <cols>
    <col min="1" max="1" width="36" bestFit="1" customWidth="1"/>
    <col min="2" max="2" width="25.140625" customWidth="1"/>
    <col min="3" max="3" width="17.85546875" customWidth="1"/>
    <col min="4" max="4" width="17.7109375" customWidth="1"/>
    <col min="6" max="6" width="10.140625" bestFit="1" customWidth="1"/>
    <col min="8" max="8" width="14.7109375" customWidth="1"/>
  </cols>
  <sheetData>
    <row r="1" spans="1:8" s="9" customFormat="1" x14ac:dyDescent="0.2">
      <c r="C1" s="244" t="s">
        <v>101</v>
      </c>
      <c r="D1" s="244"/>
    </row>
    <row r="2" spans="1:8" x14ac:dyDescent="0.2">
      <c r="A2" s="9"/>
      <c r="B2" s="9"/>
      <c r="C2" s="245" t="s">
        <v>115</v>
      </c>
      <c r="D2" s="245"/>
      <c r="E2" s="9"/>
      <c r="F2" s="9"/>
      <c r="G2" s="9"/>
      <c r="H2" s="9"/>
    </row>
    <row r="3" spans="1:8" ht="60" x14ac:dyDescent="0.25">
      <c r="A3" s="87" t="s">
        <v>0</v>
      </c>
      <c r="B3" s="88" t="s">
        <v>48</v>
      </c>
      <c r="C3" s="88" t="s">
        <v>102</v>
      </c>
      <c r="D3" s="88" t="s">
        <v>103</v>
      </c>
      <c r="E3" s="88" t="s">
        <v>104</v>
      </c>
      <c r="F3" s="88" t="s">
        <v>2</v>
      </c>
      <c r="G3" s="89" t="s">
        <v>105</v>
      </c>
      <c r="H3" s="90" t="s">
        <v>3</v>
      </c>
    </row>
    <row r="4" spans="1:8" ht="15" x14ac:dyDescent="0.25">
      <c r="A4" s="91" t="s">
        <v>4</v>
      </c>
      <c r="B4" s="92">
        <v>615000</v>
      </c>
      <c r="C4" s="93">
        <f>(D4-B4)/B4</f>
        <v>8.1300813008130079E-2</v>
      </c>
      <c r="D4" s="92">
        <v>665000</v>
      </c>
      <c r="E4" s="93">
        <v>0.94</v>
      </c>
      <c r="F4" s="94">
        <f t="shared" ref="F4:F13" si="0">+D4*E4</f>
        <v>625100</v>
      </c>
      <c r="G4" s="95">
        <f>D4-F4</f>
        <v>39900</v>
      </c>
      <c r="H4" s="9"/>
    </row>
    <row r="5" spans="1:8" ht="15" x14ac:dyDescent="0.25">
      <c r="A5" s="91" t="s">
        <v>5</v>
      </c>
      <c r="B5" s="92">
        <v>6584.21</v>
      </c>
      <c r="C5" s="93">
        <f t="shared" ref="C5:C13" si="1">(D5-B5)/B5</f>
        <v>5.9030620226268614E-2</v>
      </c>
      <c r="D5" s="96">
        <f>332.04+6640.84</f>
        <v>6972.88</v>
      </c>
      <c r="E5" s="93">
        <v>0.94</v>
      </c>
      <c r="F5" s="94">
        <f t="shared" si="0"/>
        <v>6554.5072</v>
      </c>
      <c r="G5" s="95">
        <f t="shared" ref="G5:G6" si="2">D5-F5</f>
        <v>418.3728000000001</v>
      </c>
      <c r="H5" s="9"/>
    </row>
    <row r="6" spans="1:8" ht="15" x14ac:dyDescent="0.25">
      <c r="A6" s="91" t="s">
        <v>106</v>
      </c>
      <c r="B6" s="92">
        <v>-301466</v>
      </c>
      <c r="C6" s="93">
        <f t="shared" si="1"/>
        <v>0.10446285816642673</v>
      </c>
      <c r="D6" s="92">
        <v>-332958</v>
      </c>
      <c r="E6" s="93">
        <v>0.96399999999999997</v>
      </c>
      <c r="F6" s="94">
        <f t="shared" si="0"/>
        <v>-320971.51199999999</v>
      </c>
      <c r="G6" s="95">
        <f t="shared" si="2"/>
        <v>-11986.488000000012</v>
      </c>
      <c r="H6" s="9"/>
    </row>
    <row r="7" spans="1:8" ht="15" x14ac:dyDescent="0.25">
      <c r="A7" s="91" t="s">
        <v>107</v>
      </c>
      <c r="B7" s="92">
        <v>263550</v>
      </c>
      <c r="C7" s="93">
        <f t="shared" si="1"/>
        <v>0</v>
      </c>
      <c r="D7" s="92">
        <v>263550</v>
      </c>
      <c r="E7" s="93">
        <v>1</v>
      </c>
      <c r="F7" s="94">
        <f t="shared" si="0"/>
        <v>263550</v>
      </c>
      <c r="G7" s="97"/>
      <c r="H7" s="9"/>
    </row>
    <row r="8" spans="1:8" ht="15" x14ac:dyDescent="0.25">
      <c r="A8" s="91" t="s">
        <v>108</v>
      </c>
      <c r="B8" s="92">
        <v>5534.55</v>
      </c>
      <c r="C8" s="93">
        <f t="shared" si="1"/>
        <v>0</v>
      </c>
      <c r="D8" s="96">
        <f>263.55+5271</f>
        <v>5534.55</v>
      </c>
      <c r="E8" s="93">
        <v>1</v>
      </c>
      <c r="F8" s="94">
        <f t="shared" si="0"/>
        <v>5534.55</v>
      </c>
      <c r="G8" s="98"/>
      <c r="H8" s="9"/>
    </row>
    <row r="9" spans="1:8" ht="15" x14ac:dyDescent="0.25">
      <c r="A9" s="91" t="s">
        <v>109</v>
      </c>
      <c r="B9" s="92">
        <v>80000</v>
      </c>
      <c r="C9" s="93">
        <f t="shared" si="1"/>
        <v>0</v>
      </c>
      <c r="D9" s="92">
        <v>80000</v>
      </c>
      <c r="E9" s="93">
        <v>1</v>
      </c>
      <c r="F9" s="94">
        <f t="shared" si="0"/>
        <v>80000</v>
      </c>
      <c r="G9" s="91"/>
      <c r="H9" s="9"/>
    </row>
    <row r="10" spans="1:8" ht="15" x14ac:dyDescent="0.25">
      <c r="A10" s="91" t="s">
        <v>110</v>
      </c>
      <c r="B10" s="92">
        <v>60000</v>
      </c>
      <c r="C10" s="93">
        <f t="shared" si="1"/>
        <v>0</v>
      </c>
      <c r="D10" s="92">
        <v>60000</v>
      </c>
      <c r="E10" s="93">
        <v>1</v>
      </c>
      <c r="F10" s="94">
        <f t="shared" si="0"/>
        <v>60000</v>
      </c>
      <c r="G10" s="91"/>
      <c r="H10" s="9"/>
    </row>
    <row r="11" spans="1:8" ht="15" x14ac:dyDescent="0.25">
      <c r="A11" s="91" t="s">
        <v>111</v>
      </c>
      <c r="B11" s="92">
        <v>52065</v>
      </c>
      <c r="C11" s="93">
        <f t="shared" si="1"/>
        <v>0</v>
      </c>
      <c r="D11" s="92">
        <v>52065</v>
      </c>
      <c r="E11" s="93">
        <v>1</v>
      </c>
      <c r="F11" s="94">
        <f t="shared" si="0"/>
        <v>52065</v>
      </c>
      <c r="G11" s="91"/>
      <c r="H11" s="9"/>
    </row>
    <row r="12" spans="1:8" ht="15" x14ac:dyDescent="0.25">
      <c r="A12" s="91" t="s">
        <v>112</v>
      </c>
      <c r="B12" s="92">
        <v>75000</v>
      </c>
      <c r="C12" s="93">
        <f t="shared" si="1"/>
        <v>0</v>
      </c>
      <c r="D12" s="92">
        <v>75000</v>
      </c>
      <c r="E12" s="93">
        <v>1</v>
      </c>
      <c r="F12" s="94">
        <f t="shared" si="0"/>
        <v>75000</v>
      </c>
      <c r="G12" s="91"/>
      <c r="H12" s="9"/>
    </row>
    <row r="13" spans="1:8" ht="15" x14ac:dyDescent="0.25">
      <c r="A13" s="91" t="s">
        <v>113</v>
      </c>
      <c r="B13" s="92">
        <v>52000</v>
      </c>
      <c r="C13" s="93">
        <f t="shared" si="1"/>
        <v>0</v>
      </c>
      <c r="D13" s="92">
        <v>52000</v>
      </c>
      <c r="E13" s="93">
        <v>1</v>
      </c>
      <c r="F13" s="94">
        <f t="shared" si="0"/>
        <v>52000</v>
      </c>
      <c r="G13" s="91"/>
      <c r="H13" s="9"/>
    </row>
    <row r="14" spans="1:8" ht="15" x14ac:dyDescent="0.25">
      <c r="A14" s="9"/>
      <c r="B14" s="9"/>
      <c r="C14" s="9"/>
      <c r="D14" s="9"/>
      <c r="E14" s="9"/>
      <c r="F14" s="9"/>
      <c r="G14" s="91"/>
      <c r="H14" s="9"/>
    </row>
    <row r="15" spans="1:8" ht="15" x14ac:dyDescent="0.25">
      <c r="A15" s="91"/>
      <c r="B15" s="92">
        <f>SUM(B4:B14)</f>
        <v>908267.76</v>
      </c>
      <c r="C15" s="93"/>
      <c r="D15" s="92"/>
      <c r="E15" s="93"/>
      <c r="F15" s="92"/>
      <c r="G15" s="91"/>
      <c r="H15" s="9"/>
    </row>
    <row r="16" spans="1:8" ht="15" x14ac:dyDescent="0.25">
      <c r="A16" s="91"/>
      <c r="B16" s="91"/>
      <c r="C16" s="91"/>
      <c r="D16" s="99">
        <f>SUM(D4:D15)</f>
        <v>927164.43</v>
      </c>
      <c r="E16" s="92"/>
      <c r="F16" s="92"/>
      <c r="G16" s="91"/>
      <c r="H16" s="9"/>
    </row>
    <row r="17" spans="1:8" ht="15" x14ac:dyDescent="0.25">
      <c r="A17" s="91"/>
      <c r="B17" s="91"/>
      <c r="C17" s="91"/>
      <c r="D17" s="99"/>
      <c r="E17" s="92"/>
      <c r="F17" s="92"/>
      <c r="G17" s="91"/>
      <c r="H17" s="9"/>
    </row>
    <row r="18" spans="1:8" ht="15.75" thickBot="1" x14ac:dyDescent="0.3">
      <c r="A18" s="91"/>
      <c r="B18" s="90" t="s">
        <v>114</v>
      </c>
      <c r="C18" s="90"/>
      <c r="D18" s="90"/>
      <c r="E18" s="91"/>
      <c r="F18" s="159">
        <f>SUM(F4:F13)</f>
        <v>898832.54520000005</v>
      </c>
      <c r="G18" s="9"/>
      <c r="H18" s="10">
        <f>G4+G5+G6</f>
        <v>28331.884799999985</v>
      </c>
    </row>
    <row r="19" spans="1:8" ht="13.5" thickTop="1" x14ac:dyDescent="0.2"/>
    <row r="23" spans="1:8" x14ac:dyDescent="0.2">
      <c r="A23" s="9"/>
      <c r="B23" s="9"/>
      <c r="C23" s="244" t="s">
        <v>101</v>
      </c>
      <c r="D23" s="244"/>
      <c r="E23" s="9"/>
      <c r="F23" s="9"/>
      <c r="G23" s="9"/>
      <c r="H23" s="9"/>
    </row>
    <row r="24" spans="1:8" x14ac:dyDescent="0.2">
      <c r="A24" s="9"/>
      <c r="B24" s="9"/>
      <c r="C24" s="246" t="s">
        <v>181</v>
      </c>
      <c r="D24" s="245"/>
      <c r="E24" s="9"/>
      <c r="F24" s="9"/>
      <c r="G24" s="9"/>
      <c r="H24" s="9"/>
    </row>
    <row r="25" spans="1:8" ht="60" x14ac:dyDescent="0.25">
      <c r="A25" s="87" t="s">
        <v>0</v>
      </c>
      <c r="B25" s="88" t="s">
        <v>48</v>
      </c>
      <c r="C25" s="88" t="s">
        <v>116</v>
      </c>
      <c r="D25" s="88" t="s">
        <v>117</v>
      </c>
      <c r="E25" s="88" t="s">
        <v>104</v>
      </c>
      <c r="F25" s="88" t="s">
        <v>2</v>
      </c>
      <c r="G25" s="89" t="s">
        <v>105</v>
      </c>
      <c r="H25" s="90" t="s">
        <v>3</v>
      </c>
    </row>
    <row r="26" spans="1:8" ht="15" x14ac:dyDescent="0.25">
      <c r="A26" s="91" t="s">
        <v>4</v>
      </c>
      <c r="B26" s="92">
        <v>615000</v>
      </c>
      <c r="C26" s="93">
        <f>(D26-B26)/B26</f>
        <v>8.1300813008130079E-2</v>
      </c>
      <c r="D26" s="92">
        <v>665000</v>
      </c>
      <c r="E26" s="93">
        <v>0.94</v>
      </c>
      <c r="F26" s="94">
        <f t="shared" ref="F26:F35" si="3">+D26*E26</f>
        <v>625100</v>
      </c>
      <c r="G26" s="95">
        <f>D26-F26</f>
        <v>39900</v>
      </c>
      <c r="H26" s="9"/>
    </row>
    <row r="27" spans="1:8" ht="15" x14ac:dyDescent="0.25">
      <c r="A27" s="91" t="s">
        <v>5</v>
      </c>
      <c r="B27" s="92">
        <v>6584.21</v>
      </c>
      <c r="C27" s="93">
        <f t="shared" ref="C27:C35" si="4">(D27-B27)/B27</f>
        <v>5.9030620226268614E-2</v>
      </c>
      <c r="D27" s="96">
        <f>332.04+6640.84</f>
        <v>6972.88</v>
      </c>
      <c r="E27" s="93">
        <v>0.94</v>
      </c>
      <c r="F27" s="94">
        <f t="shared" si="3"/>
        <v>6554.5072</v>
      </c>
      <c r="G27" s="95">
        <f t="shared" ref="G27:G28" si="5">D27-F27</f>
        <v>418.3728000000001</v>
      </c>
      <c r="H27" s="9"/>
    </row>
    <row r="28" spans="1:8" ht="15" x14ac:dyDescent="0.25">
      <c r="A28" s="91" t="s">
        <v>106</v>
      </c>
      <c r="B28" s="92">
        <v>-301466</v>
      </c>
      <c r="C28" s="93">
        <v>-1</v>
      </c>
      <c r="D28" s="92">
        <v>0</v>
      </c>
      <c r="E28" s="93">
        <v>0.96399999999999997</v>
      </c>
      <c r="F28" s="94">
        <f t="shared" si="3"/>
        <v>0</v>
      </c>
      <c r="G28" s="95">
        <f t="shared" si="5"/>
        <v>0</v>
      </c>
      <c r="H28" s="9"/>
    </row>
    <row r="29" spans="1:8" ht="15" x14ac:dyDescent="0.25">
      <c r="A29" s="91" t="s">
        <v>107</v>
      </c>
      <c r="B29" s="92">
        <v>263550</v>
      </c>
      <c r="C29" s="93">
        <f t="shared" si="4"/>
        <v>0</v>
      </c>
      <c r="D29" s="92">
        <v>263550</v>
      </c>
      <c r="E29" s="93">
        <v>1</v>
      </c>
      <c r="F29" s="94">
        <f t="shared" si="3"/>
        <v>263550</v>
      </c>
      <c r="G29" s="97"/>
      <c r="H29" s="9"/>
    </row>
    <row r="30" spans="1:8" ht="15" x14ac:dyDescent="0.25">
      <c r="A30" s="91" t="s">
        <v>108</v>
      </c>
      <c r="B30" s="92">
        <v>5534.55</v>
      </c>
      <c r="C30" s="93">
        <f t="shared" si="4"/>
        <v>0</v>
      </c>
      <c r="D30" s="96">
        <f>263.55+5271</f>
        <v>5534.55</v>
      </c>
      <c r="E30" s="93">
        <v>1</v>
      </c>
      <c r="F30" s="94">
        <f t="shared" si="3"/>
        <v>5534.55</v>
      </c>
      <c r="G30" s="98"/>
      <c r="H30" s="9"/>
    </row>
    <row r="31" spans="1:8" ht="15" x14ac:dyDescent="0.25">
      <c r="A31" s="91" t="s">
        <v>109</v>
      </c>
      <c r="B31" s="92">
        <v>80000</v>
      </c>
      <c r="C31" s="93">
        <f t="shared" si="4"/>
        <v>0</v>
      </c>
      <c r="D31" s="92">
        <v>80000</v>
      </c>
      <c r="E31" s="93">
        <v>1</v>
      </c>
      <c r="F31" s="94">
        <f t="shared" si="3"/>
        <v>80000</v>
      </c>
      <c r="G31" s="91"/>
      <c r="H31" s="9"/>
    </row>
    <row r="32" spans="1:8" ht="15" x14ac:dyDescent="0.25">
      <c r="A32" s="91" t="s">
        <v>110</v>
      </c>
      <c r="B32" s="92">
        <v>60000</v>
      </c>
      <c r="C32" s="93">
        <f t="shared" si="4"/>
        <v>0</v>
      </c>
      <c r="D32" s="92">
        <v>60000</v>
      </c>
      <c r="E32" s="93">
        <v>1</v>
      </c>
      <c r="F32" s="94">
        <f t="shared" si="3"/>
        <v>60000</v>
      </c>
      <c r="G32" s="91"/>
      <c r="H32" s="9"/>
    </row>
    <row r="33" spans="1:8" ht="15" x14ac:dyDescent="0.25">
      <c r="A33" s="91" t="s">
        <v>111</v>
      </c>
      <c r="B33" s="92">
        <v>52065</v>
      </c>
      <c r="C33" s="93">
        <f t="shared" si="4"/>
        <v>0</v>
      </c>
      <c r="D33" s="92">
        <v>52065</v>
      </c>
      <c r="E33" s="93">
        <v>1</v>
      </c>
      <c r="F33" s="94">
        <f t="shared" si="3"/>
        <v>52065</v>
      </c>
      <c r="G33" s="91"/>
      <c r="H33" s="9"/>
    </row>
    <row r="34" spans="1:8" ht="15" x14ac:dyDescent="0.25">
      <c r="A34" s="91" t="s">
        <v>112</v>
      </c>
      <c r="B34" s="92">
        <v>75000</v>
      </c>
      <c r="C34" s="93">
        <f t="shared" si="4"/>
        <v>0</v>
      </c>
      <c r="D34" s="92">
        <v>75000</v>
      </c>
      <c r="E34" s="93">
        <v>1</v>
      </c>
      <c r="F34" s="94">
        <f t="shared" si="3"/>
        <v>75000</v>
      </c>
      <c r="G34" s="91"/>
      <c r="H34" s="9"/>
    </row>
    <row r="35" spans="1:8" ht="15" x14ac:dyDescent="0.25">
      <c r="A35" s="91" t="s">
        <v>113</v>
      </c>
      <c r="B35" s="92">
        <v>52000</v>
      </c>
      <c r="C35" s="93">
        <f t="shared" si="4"/>
        <v>0</v>
      </c>
      <c r="D35" s="92">
        <v>52000</v>
      </c>
      <c r="E35" s="93">
        <v>1</v>
      </c>
      <c r="F35" s="94">
        <f t="shared" si="3"/>
        <v>52000</v>
      </c>
      <c r="G35" s="91"/>
      <c r="H35" s="9"/>
    </row>
    <row r="36" spans="1:8" ht="15" x14ac:dyDescent="0.25">
      <c r="A36" s="9"/>
      <c r="B36" s="9"/>
      <c r="C36" s="9"/>
      <c r="D36" s="9"/>
      <c r="E36" s="9"/>
      <c r="F36" s="9"/>
      <c r="G36" s="91"/>
      <c r="H36" s="9"/>
    </row>
    <row r="37" spans="1:8" ht="15" x14ac:dyDescent="0.25">
      <c r="A37" s="91"/>
      <c r="B37" s="92">
        <f>SUM(B26:B36)</f>
        <v>908267.76</v>
      </c>
      <c r="C37" s="93"/>
      <c r="D37" s="92"/>
      <c r="E37" s="93"/>
      <c r="F37" s="92"/>
      <c r="G37" s="91"/>
      <c r="H37" s="9"/>
    </row>
    <row r="38" spans="1:8" ht="15" x14ac:dyDescent="0.25">
      <c r="A38" s="91"/>
      <c r="B38" s="91"/>
      <c r="C38" s="91"/>
      <c r="D38" s="99">
        <f>SUM(D26:D37)</f>
        <v>1260122.4300000002</v>
      </c>
      <c r="E38" s="92"/>
      <c r="F38" s="92"/>
      <c r="G38" s="91"/>
      <c r="H38" s="9"/>
    </row>
    <row r="39" spans="1:8" ht="15" x14ac:dyDescent="0.25">
      <c r="A39" s="91"/>
      <c r="B39" s="91"/>
      <c r="C39" s="91"/>
      <c r="D39" s="99"/>
      <c r="E39" s="92"/>
      <c r="F39" s="92"/>
      <c r="G39" s="91"/>
      <c r="H39" s="9"/>
    </row>
    <row r="40" spans="1:8" ht="15.75" thickBot="1" x14ac:dyDescent="0.3">
      <c r="A40" s="91"/>
      <c r="B40" s="90" t="s">
        <v>114</v>
      </c>
      <c r="C40" s="90"/>
      <c r="D40" s="90"/>
      <c r="E40" s="91"/>
      <c r="F40" s="100">
        <f>SUM(F26:F35)</f>
        <v>1219804.0572000002</v>
      </c>
      <c r="G40" s="9"/>
      <c r="H40" s="10">
        <f>G26+G27+G28</f>
        <v>40318.372799999997</v>
      </c>
    </row>
    <row r="41" spans="1:8" ht="13.5" thickTop="1" x14ac:dyDescent="0.2"/>
  </sheetData>
  <mergeCells count="4">
    <mergeCell ref="C1:D1"/>
    <mergeCell ref="C2:D2"/>
    <mergeCell ref="C23:D23"/>
    <mergeCell ref="C24:D24"/>
  </mergeCells>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5"/>
  <sheetViews>
    <sheetView zoomScaleNormal="100" workbookViewId="0">
      <selection activeCell="H22" sqref="H22"/>
    </sheetView>
  </sheetViews>
  <sheetFormatPr defaultColWidth="9.140625" defaultRowHeight="12" x14ac:dyDescent="0.2"/>
  <cols>
    <col min="1" max="1" width="29.7109375" style="47" customWidth="1"/>
    <col min="2" max="2" width="12.7109375" style="47" customWidth="1"/>
    <col min="3" max="7" width="11.140625" style="47" customWidth="1"/>
    <col min="8" max="8" width="11" style="47" bestFit="1" customWidth="1"/>
    <col min="9" max="9" width="11.42578125" style="47" customWidth="1"/>
    <col min="10" max="10" width="11.140625" style="47" customWidth="1"/>
    <col min="11" max="11" width="4.5703125" style="46" hidden="1" customWidth="1"/>
    <col min="12" max="12" width="9.140625" style="46" bestFit="1" customWidth="1"/>
    <col min="13" max="13" width="14" style="46" customWidth="1"/>
    <col min="14" max="14" width="9.28515625" style="46" customWidth="1"/>
    <col min="15" max="15" width="12.5703125" style="46" customWidth="1"/>
    <col min="16" max="16" width="13.85546875" style="46" bestFit="1" customWidth="1"/>
    <col min="17" max="17" width="13.85546875" style="46" customWidth="1"/>
    <col min="18" max="18" width="12.140625" style="46" customWidth="1"/>
    <col min="19" max="19" width="13.140625" style="46" customWidth="1"/>
    <col min="20" max="20" width="13" style="46" customWidth="1"/>
    <col min="21" max="21" width="12.85546875" style="46" customWidth="1"/>
    <col min="22" max="23" width="9.140625" style="46"/>
    <col min="24" max="16384" width="9.140625" style="47"/>
  </cols>
  <sheetData>
    <row r="1" spans="1:23" s="42" customFormat="1" ht="15" customHeight="1" x14ac:dyDescent="0.25">
      <c r="A1" s="218" t="s">
        <v>51</v>
      </c>
      <c r="B1" s="218"/>
      <c r="C1" s="218"/>
      <c r="D1" s="218"/>
      <c r="E1" s="218"/>
      <c r="F1" s="218"/>
      <c r="G1" s="218"/>
      <c r="H1" s="218"/>
      <c r="I1" s="218"/>
      <c r="J1" s="218"/>
      <c r="K1" s="218"/>
      <c r="L1" s="218"/>
      <c r="M1" s="41"/>
      <c r="N1" s="41"/>
      <c r="O1" s="41"/>
      <c r="P1" s="41"/>
      <c r="Q1" s="41"/>
      <c r="R1" s="41"/>
      <c r="S1" s="41"/>
      <c r="T1" s="41"/>
    </row>
    <row r="2" spans="1:23" s="42" customFormat="1" ht="15" customHeight="1" x14ac:dyDescent="0.25">
      <c r="A2" s="218" t="s">
        <v>52</v>
      </c>
      <c r="B2" s="218"/>
      <c r="C2" s="218"/>
      <c r="D2" s="218"/>
      <c r="E2" s="218"/>
      <c r="F2" s="218"/>
      <c r="G2" s="218"/>
      <c r="H2" s="218"/>
      <c r="I2" s="218"/>
      <c r="J2" s="218"/>
      <c r="K2" s="218"/>
      <c r="L2" s="218"/>
      <c r="M2" s="41"/>
      <c r="N2" s="41"/>
      <c r="O2" s="41"/>
      <c r="P2" s="41"/>
      <c r="Q2" s="41"/>
      <c r="R2" s="41"/>
      <c r="S2" s="41"/>
      <c r="T2" s="41"/>
    </row>
    <row r="3" spans="1:23" s="42" customFormat="1" ht="15" customHeight="1" x14ac:dyDescent="0.25">
      <c r="A3" s="218" t="s">
        <v>158</v>
      </c>
      <c r="B3" s="218"/>
      <c r="C3" s="218"/>
      <c r="D3" s="218"/>
      <c r="E3" s="218"/>
      <c r="F3" s="218"/>
      <c r="G3" s="218"/>
      <c r="H3" s="218"/>
      <c r="I3" s="218"/>
      <c r="J3" s="218"/>
      <c r="K3" s="218"/>
      <c r="L3" s="218"/>
      <c r="M3" s="41"/>
      <c r="N3" s="41"/>
      <c r="O3" s="41"/>
      <c r="P3" s="41"/>
      <c r="Q3" s="41"/>
      <c r="R3" s="41"/>
      <c r="S3" s="41"/>
      <c r="T3" s="41"/>
    </row>
    <row r="4" spans="1:23" s="42" customFormat="1" ht="15" customHeight="1" x14ac:dyDescent="0.25">
      <c r="A4" s="218" t="s">
        <v>215</v>
      </c>
      <c r="B4" s="218"/>
      <c r="C4" s="218"/>
      <c r="D4" s="218"/>
      <c r="E4" s="218"/>
      <c r="F4" s="218"/>
      <c r="G4" s="218"/>
      <c r="H4" s="218"/>
      <c r="I4" s="218"/>
      <c r="J4" s="218"/>
      <c r="K4" s="218"/>
      <c r="L4" s="218"/>
      <c r="M4" s="41"/>
      <c r="N4" s="41"/>
      <c r="O4" s="41"/>
      <c r="P4" s="41"/>
      <c r="Q4" s="41"/>
      <c r="R4" s="41"/>
      <c r="S4" s="41"/>
      <c r="T4" s="41"/>
    </row>
    <row r="5" spans="1:23" ht="24.75" customHeight="1" thickBot="1" x14ac:dyDescent="0.3">
      <c r="A5" s="43"/>
      <c r="B5" s="230"/>
      <c r="C5" s="230"/>
      <c r="D5" s="230"/>
      <c r="E5" s="230"/>
      <c r="F5" s="230"/>
      <c r="G5" s="230"/>
      <c r="H5" s="44"/>
      <c r="I5" s="44"/>
      <c r="J5" s="44"/>
      <c r="K5" s="45"/>
    </row>
    <row r="6" spans="1:23" ht="13.5" customHeight="1" thickBot="1" x14ac:dyDescent="0.25">
      <c r="A6" s="228" t="s">
        <v>53</v>
      </c>
      <c r="B6" s="229"/>
      <c r="C6" s="229"/>
      <c r="D6" s="229"/>
      <c r="E6" s="229"/>
      <c r="F6" s="229"/>
      <c r="G6" s="229"/>
      <c r="H6" s="229"/>
      <c r="I6" s="229"/>
      <c r="J6" s="229"/>
      <c r="K6" s="229"/>
    </row>
    <row r="7" spans="1:23" s="43" customFormat="1" x14ac:dyDescent="0.2">
      <c r="B7" s="48" t="s">
        <v>54</v>
      </c>
      <c r="C7" s="48"/>
      <c r="D7" s="48">
        <v>44088</v>
      </c>
      <c r="E7" s="49" t="s">
        <v>54</v>
      </c>
      <c r="F7" s="49"/>
      <c r="G7" s="48">
        <v>44088</v>
      </c>
      <c r="H7" s="48" t="s">
        <v>54</v>
      </c>
      <c r="I7" s="48"/>
      <c r="J7" s="48">
        <v>44088</v>
      </c>
      <c r="K7" s="50"/>
      <c r="L7" s="51"/>
      <c r="M7" s="51"/>
      <c r="N7" s="51"/>
      <c r="O7" s="51"/>
      <c r="P7" s="51"/>
      <c r="Q7" s="51"/>
      <c r="R7" s="51"/>
      <c r="S7" s="51"/>
      <c r="T7" s="51"/>
      <c r="U7" s="51"/>
      <c r="V7" s="51"/>
      <c r="W7" s="51"/>
    </row>
    <row r="8" spans="1:23" s="43" customFormat="1" ht="29.25" customHeight="1" x14ac:dyDescent="0.2">
      <c r="A8" s="51"/>
      <c r="B8" s="221">
        <v>43830</v>
      </c>
      <c r="C8" s="222"/>
      <c r="D8" s="223"/>
      <c r="E8" s="224" t="s">
        <v>147</v>
      </c>
      <c r="F8" s="225"/>
      <c r="G8" s="226"/>
      <c r="H8" s="227" t="s">
        <v>159</v>
      </c>
      <c r="I8" s="222"/>
      <c r="J8" s="223"/>
      <c r="K8" s="52"/>
      <c r="L8" s="53"/>
      <c r="M8" s="53"/>
      <c r="N8" s="53"/>
      <c r="O8" s="54"/>
      <c r="P8" s="54"/>
      <c r="Q8" s="55"/>
      <c r="R8" s="54"/>
      <c r="S8" s="55"/>
      <c r="T8" s="54"/>
      <c r="U8" s="55"/>
      <c r="V8" s="53"/>
      <c r="W8" s="53"/>
    </row>
    <row r="9" spans="1:23" ht="24" x14ac:dyDescent="0.2">
      <c r="A9" s="101" t="s">
        <v>119</v>
      </c>
      <c r="B9" s="194" t="s">
        <v>118</v>
      </c>
      <c r="C9" s="73" t="s">
        <v>66</v>
      </c>
      <c r="D9" s="57" t="s">
        <v>55</v>
      </c>
      <c r="E9" s="74" t="s">
        <v>65</v>
      </c>
      <c r="F9" s="74" t="s">
        <v>66</v>
      </c>
      <c r="G9" s="56" t="s">
        <v>55</v>
      </c>
      <c r="H9" s="194" t="s">
        <v>65</v>
      </c>
      <c r="I9" s="73" t="s">
        <v>66</v>
      </c>
      <c r="J9" s="57" t="s">
        <v>55</v>
      </c>
      <c r="K9" s="45"/>
      <c r="L9" s="58"/>
      <c r="M9" s="59"/>
      <c r="N9" s="59"/>
      <c r="O9" s="58"/>
      <c r="P9" s="58"/>
      <c r="Q9" s="58"/>
      <c r="R9" s="60"/>
      <c r="S9" s="60"/>
      <c r="T9" s="60"/>
      <c r="U9" s="60"/>
      <c r="V9" s="55"/>
      <c r="W9" s="55"/>
    </row>
    <row r="10" spans="1:23" x14ac:dyDescent="0.2">
      <c r="B10" s="61"/>
      <c r="C10" s="61"/>
      <c r="D10" s="61"/>
      <c r="E10" s="44"/>
      <c r="F10" s="44"/>
      <c r="G10" s="44"/>
      <c r="H10" s="61"/>
      <c r="I10" s="61"/>
      <c r="J10" s="61"/>
      <c r="K10" s="45"/>
    </row>
    <row r="11" spans="1:23" x14ac:dyDescent="0.2">
      <c r="A11" s="51" t="s">
        <v>56</v>
      </c>
      <c r="B11" s="198">
        <f>'2019 GL Actual'!L20</f>
        <v>2259774.263012202</v>
      </c>
      <c r="C11" s="63">
        <f>'2019 GL Actual'!L40</f>
        <v>2704244.2794103003</v>
      </c>
      <c r="D11" s="64" t="s">
        <v>60</v>
      </c>
      <c r="E11" s="62">
        <f>'2020 GL Est'!M20</f>
        <v>2612998.1942256908</v>
      </c>
      <c r="F11" s="62">
        <f>'2020 GL Est'!M40</f>
        <v>2981117.1661600005</v>
      </c>
      <c r="G11" s="65" t="s">
        <v>57</v>
      </c>
      <c r="H11" s="198">
        <f>'2021 GL Est'!M20+5624411</f>
        <v>8642423.5125482976</v>
      </c>
      <c r="I11" s="63">
        <f>'2021 GL Est'!M40+5624411</f>
        <v>9046649.4467500448</v>
      </c>
      <c r="J11" s="64" t="s">
        <v>57</v>
      </c>
      <c r="K11" s="66" t="e">
        <f>+#REF!/#REF!</f>
        <v>#REF!</v>
      </c>
      <c r="L11" s="46" t="s">
        <v>58</v>
      </c>
      <c r="N11" s="67">
        <f>(H11-E11)/E11</f>
        <v>2.3074739705701575</v>
      </c>
      <c r="O11" s="68"/>
      <c r="P11" s="68"/>
      <c r="Q11" s="69"/>
      <c r="R11" s="68"/>
      <c r="S11" s="69"/>
      <c r="T11" s="68"/>
      <c r="U11" s="69"/>
    </row>
    <row r="12" spans="1:23" x14ac:dyDescent="0.2">
      <c r="B12" s="61"/>
      <c r="C12" s="61"/>
      <c r="D12" s="61"/>
      <c r="E12" s="44"/>
      <c r="F12" s="44"/>
      <c r="G12" s="44"/>
      <c r="H12" s="61"/>
      <c r="I12" s="61"/>
      <c r="J12" s="61"/>
      <c r="K12" s="45"/>
    </row>
    <row r="13" spans="1:23" x14ac:dyDescent="0.2">
      <c r="A13" s="51" t="s">
        <v>59</v>
      </c>
      <c r="B13" s="198">
        <f>'2019 D O actual'!O22</f>
        <v>850468.23408493132</v>
      </c>
      <c r="C13" s="63">
        <f>'2019 D O actual'!O49</f>
        <v>1221597.6012465754</v>
      </c>
      <c r="D13" s="64" t="s">
        <v>60</v>
      </c>
      <c r="E13" s="62">
        <f>'2020 D O est'!N22</f>
        <v>856616.98455890419</v>
      </c>
      <c r="F13" s="62">
        <f>'2020 D O est'!N49</f>
        <v>1279676.3480219177</v>
      </c>
      <c r="G13" s="65" t="s">
        <v>57</v>
      </c>
      <c r="H13" s="198">
        <f>'2021 D O est'!N22</f>
        <v>946670.9084232332</v>
      </c>
      <c r="I13" s="63">
        <f>'2021 D O est'!N49</f>
        <v>1401670.1011903565</v>
      </c>
      <c r="J13" s="64" t="s">
        <v>57</v>
      </c>
      <c r="K13" s="66" t="e">
        <f>+#REF!/#REF!</f>
        <v>#REF!</v>
      </c>
      <c r="L13" s="46" t="s">
        <v>58</v>
      </c>
      <c r="N13" s="67">
        <f>(H13-E13)/E13</f>
        <v>0.10512740873413835</v>
      </c>
      <c r="O13" s="68"/>
      <c r="P13" s="68"/>
      <c r="Q13" s="69"/>
      <c r="R13" s="68"/>
      <c r="S13" s="69"/>
      <c r="T13" s="68"/>
      <c r="U13" s="69"/>
    </row>
    <row r="14" spans="1:23" x14ac:dyDescent="0.2">
      <c r="B14" s="61"/>
      <c r="C14" s="61"/>
      <c r="D14" s="61"/>
      <c r="E14" s="44"/>
      <c r="F14" s="44"/>
      <c r="G14" s="44"/>
      <c r="H14" s="61"/>
      <c r="I14" s="61"/>
      <c r="J14" s="61"/>
      <c r="K14" s="45"/>
    </row>
    <row r="15" spans="1:23" x14ac:dyDescent="0.2">
      <c r="A15" s="51" t="s">
        <v>61</v>
      </c>
      <c r="B15" s="196">
        <f>'Prop worksheet for calndr yr'!H10</f>
        <v>1480696.3230794058</v>
      </c>
      <c r="C15" s="70">
        <f>'Prop worksheet for calndr yr'!H30</f>
        <v>1503776.7046876403</v>
      </c>
      <c r="D15" s="64" t="s">
        <v>60</v>
      </c>
      <c r="E15" s="62">
        <f>'Prop worksheet for calndr yr'!H13</f>
        <v>1747310.9206855567</v>
      </c>
      <c r="F15" s="62">
        <f>'Prop worksheet for calndr yr'!H33</f>
        <v>1796768.4206855567</v>
      </c>
      <c r="G15" s="65" t="s">
        <v>57</v>
      </c>
      <c r="H15" s="198">
        <f>'Prop worksheet for calndr yr'!H16</f>
        <v>2285650.6593249999</v>
      </c>
      <c r="I15" s="63">
        <f>'Prop worksheet for calndr yr'!H36</f>
        <v>2335798.9593249997</v>
      </c>
      <c r="J15" s="64" t="s">
        <v>57</v>
      </c>
      <c r="K15" s="66" t="e">
        <f>+#REF!/#REF!</f>
        <v>#REF!</v>
      </c>
      <c r="L15" s="46" t="s">
        <v>62</v>
      </c>
      <c r="N15" s="67">
        <f>(H15-E15)/E15</f>
        <v>0.30809613347361547</v>
      </c>
      <c r="O15" s="68"/>
      <c r="P15" s="68"/>
      <c r="Q15" s="69"/>
      <c r="R15" s="68"/>
      <c r="S15" s="69"/>
      <c r="T15" s="68"/>
      <c r="U15" s="69"/>
    </row>
    <row r="16" spans="1:23" x14ac:dyDescent="0.2">
      <c r="A16" s="46"/>
      <c r="B16" s="61"/>
      <c r="C16" s="61"/>
      <c r="D16" s="61"/>
      <c r="E16" s="44"/>
      <c r="F16" s="44"/>
      <c r="G16" s="44"/>
      <c r="H16" s="61"/>
      <c r="I16" s="61"/>
      <c r="J16" s="61"/>
      <c r="K16" s="45"/>
    </row>
    <row r="17" spans="1:14" x14ac:dyDescent="0.2">
      <c r="A17" s="46"/>
      <c r="B17" s="61"/>
      <c r="C17" s="61"/>
      <c r="D17" s="61"/>
      <c r="E17" s="44"/>
      <c r="F17" s="44"/>
      <c r="G17" s="44"/>
      <c r="H17" s="61"/>
      <c r="I17" s="61"/>
      <c r="J17" s="61"/>
      <c r="K17" s="45"/>
    </row>
    <row r="18" spans="1:14" x14ac:dyDescent="0.2">
      <c r="A18" s="43" t="s">
        <v>63</v>
      </c>
      <c r="B18" s="71">
        <f>SUM(B11:B15)</f>
        <v>4590938.820176539</v>
      </c>
      <c r="C18" s="71">
        <f>SUM(C11:C15)</f>
        <v>5429618.5853445157</v>
      </c>
      <c r="D18" s="61"/>
      <c r="E18" s="71">
        <f>SUM(E11:E15)</f>
        <v>5216926.0994701516</v>
      </c>
      <c r="F18" s="71">
        <f>SUM(F11:F15)</f>
        <v>6057561.9348674752</v>
      </c>
      <c r="G18" s="44"/>
      <c r="H18" s="71">
        <f>SUM(H11:H15)</f>
        <v>11874745.080296531</v>
      </c>
      <c r="I18" s="71">
        <f>SUM(I11:I15)</f>
        <v>12784118.5072654</v>
      </c>
      <c r="J18" s="61"/>
      <c r="K18" s="45"/>
    </row>
    <row r="19" spans="1:14" x14ac:dyDescent="0.2">
      <c r="A19" s="46"/>
      <c r="B19" s="72" t="s">
        <v>219</v>
      </c>
      <c r="C19" s="72"/>
      <c r="D19" s="44"/>
      <c r="E19" s="72" t="s">
        <v>219</v>
      </c>
      <c r="F19" s="72"/>
      <c r="G19" s="44"/>
      <c r="H19" s="72" t="s">
        <v>219</v>
      </c>
      <c r="I19" s="72"/>
      <c r="J19" s="44"/>
      <c r="K19" s="45"/>
    </row>
    <row r="20" spans="1:14" x14ac:dyDescent="0.2">
      <c r="A20" s="46"/>
      <c r="B20" s="72"/>
      <c r="C20" s="72"/>
      <c r="D20" s="44"/>
      <c r="E20" s="72"/>
      <c r="F20" s="72"/>
      <c r="G20" s="44"/>
      <c r="H20" s="72"/>
      <c r="I20" s="72"/>
      <c r="J20" s="44"/>
      <c r="K20" s="45"/>
    </row>
    <row r="21" spans="1:14" x14ac:dyDescent="0.2">
      <c r="A21" s="46" t="s">
        <v>145</v>
      </c>
      <c r="B21" s="152">
        <v>58340</v>
      </c>
      <c r="C21" s="152" t="s">
        <v>225</v>
      </c>
      <c r="D21" s="152"/>
      <c r="E21" s="152">
        <f>E13*0.1</f>
        <v>85661.698455890422</v>
      </c>
      <c r="F21" s="152"/>
      <c r="G21" s="152"/>
      <c r="H21" s="152">
        <f>H13*0.1</f>
        <v>94667.09084232332</v>
      </c>
      <c r="I21" s="151"/>
      <c r="J21" s="44"/>
      <c r="K21" s="45"/>
    </row>
    <row r="22" spans="1:14" x14ac:dyDescent="0.2">
      <c r="A22" s="51" t="s">
        <v>146</v>
      </c>
      <c r="B22" s="193">
        <f>B18-B21</f>
        <v>4532598.820176539</v>
      </c>
      <c r="C22" s="151"/>
      <c r="D22" s="151"/>
      <c r="E22" s="151">
        <f t="shared" ref="E22:H22" si="0">E18-E21</f>
        <v>5131264.4010142609</v>
      </c>
      <c r="F22" s="151"/>
      <c r="G22" s="151"/>
      <c r="H22" s="193">
        <f t="shared" si="0"/>
        <v>11780077.989454208</v>
      </c>
      <c r="I22" s="151"/>
      <c r="J22" s="44"/>
      <c r="K22" s="45"/>
    </row>
    <row r="23" spans="1:14" x14ac:dyDescent="0.2">
      <c r="A23" s="46"/>
      <c r="B23" s="44"/>
      <c r="C23" s="44"/>
      <c r="D23" s="44"/>
      <c r="E23" s="44"/>
      <c r="F23" s="44"/>
      <c r="G23" s="44"/>
      <c r="H23" s="44"/>
      <c r="I23" s="44"/>
      <c r="J23" s="44"/>
      <c r="K23" s="45"/>
    </row>
    <row r="24" spans="1:14" x14ac:dyDescent="0.2">
      <c r="A24" s="43" t="s">
        <v>64</v>
      </c>
    </row>
    <row r="26" spans="1:14" ht="42.75" customHeight="1" x14ac:dyDescent="0.2">
      <c r="A26" s="220" t="s">
        <v>189</v>
      </c>
      <c r="B26" s="220"/>
      <c r="C26" s="220"/>
      <c r="D26" s="220"/>
      <c r="E26" s="220"/>
      <c r="F26" s="220"/>
      <c r="G26" s="220"/>
      <c r="H26" s="154"/>
      <c r="I26" s="154"/>
    </row>
    <row r="29" spans="1:14" x14ac:dyDescent="0.2">
      <c r="B29" s="213"/>
      <c r="C29" s="213"/>
      <c r="D29" s="213"/>
      <c r="E29" s="213"/>
      <c r="F29" s="213"/>
      <c r="G29" s="213"/>
      <c r="H29" s="213"/>
      <c r="I29" s="213"/>
      <c r="J29" s="213"/>
      <c r="K29" s="214"/>
      <c r="L29" s="214"/>
      <c r="M29" s="214"/>
      <c r="N29" s="214"/>
    </row>
    <row r="30" spans="1:14" x14ac:dyDescent="0.2">
      <c r="B30" s="213"/>
      <c r="C30" s="213"/>
      <c r="D30" s="213"/>
      <c r="E30" s="213"/>
      <c r="F30" s="213"/>
      <c r="G30" s="213"/>
      <c r="H30" s="213"/>
      <c r="I30" s="213"/>
      <c r="J30" s="213"/>
      <c r="K30" s="214"/>
      <c r="L30" s="214"/>
      <c r="M30" s="214"/>
      <c r="N30" s="214"/>
    </row>
    <row r="31" spans="1:14" x14ac:dyDescent="0.2">
      <c r="B31" s="213"/>
      <c r="C31" s="213"/>
      <c r="D31" s="213"/>
      <c r="E31" s="213"/>
      <c r="F31" s="213"/>
      <c r="G31" s="213"/>
      <c r="H31" s="213"/>
      <c r="I31" s="213"/>
      <c r="J31" s="213"/>
      <c r="K31" s="214"/>
      <c r="L31" s="214"/>
      <c r="M31" s="214"/>
      <c r="N31" s="214"/>
    </row>
    <row r="32" spans="1:14" x14ac:dyDescent="0.2">
      <c r="B32" s="215"/>
      <c r="C32" s="213"/>
      <c r="D32" s="213"/>
      <c r="E32" s="213"/>
      <c r="F32" s="213"/>
      <c r="G32" s="213"/>
      <c r="H32" s="213"/>
      <c r="I32" s="213"/>
      <c r="J32" s="213"/>
      <c r="K32" s="214"/>
      <c r="L32" s="214"/>
      <c r="M32" s="214"/>
      <c r="N32" s="214"/>
    </row>
    <row r="33" spans="2:14" x14ac:dyDescent="0.2">
      <c r="B33" s="216"/>
      <c r="C33" s="213"/>
      <c r="D33" s="213"/>
      <c r="E33" s="213"/>
      <c r="F33" s="213"/>
      <c r="G33" s="213"/>
      <c r="H33" s="213"/>
      <c r="I33" s="213"/>
      <c r="J33" s="217"/>
      <c r="K33" s="214"/>
      <c r="L33" s="214"/>
      <c r="M33" s="214"/>
      <c r="N33" s="214"/>
    </row>
    <row r="34" spans="2:14" x14ac:dyDescent="0.2">
      <c r="B34" s="213"/>
      <c r="C34" s="213"/>
      <c r="D34" s="213"/>
      <c r="E34" s="217"/>
      <c r="F34" s="213"/>
      <c r="G34" s="213"/>
      <c r="H34" s="213"/>
      <c r="I34" s="213"/>
      <c r="J34" s="213"/>
      <c r="K34" s="214"/>
      <c r="L34" s="214"/>
      <c r="M34" s="214"/>
      <c r="N34" s="214"/>
    </row>
    <row r="35" spans="2:14" x14ac:dyDescent="0.2">
      <c r="B35" s="213"/>
      <c r="C35" s="213"/>
      <c r="D35" s="213"/>
      <c r="E35" s="213"/>
      <c r="F35" s="213"/>
      <c r="G35" s="213"/>
      <c r="H35" s="213"/>
      <c r="I35" s="213"/>
      <c r="J35" s="213"/>
      <c r="K35" s="214"/>
      <c r="L35" s="214"/>
      <c r="M35" s="214"/>
      <c r="N35" s="214"/>
    </row>
    <row r="36" spans="2:14" x14ac:dyDescent="0.2">
      <c r="B36" s="213"/>
      <c r="C36" s="213"/>
      <c r="D36" s="213"/>
      <c r="E36" s="217"/>
      <c r="F36" s="213"/>
      <c r="G36" s="217"/>
      <c r="H36" s="213"/>
      <c r="I36" s="213"/>
      <c r="J36" s="213"/>
      <c r="K36" s="214"/>
      <c r="L36" s="214"/>
      <c r="M36" s="214"/>
      <c r="N36" s="214"/>
    </row>
    <row r="37" spans="2:14" x14ac:dyDescent="0.2">
      <c r="B37" s="213"/>
      <c r="C37" s="213"/>
      <c r="D37" s="213"/>
      <c r="E37" s="213"/>
      <c r="F37" s="213"/>
      <c r="G37" s="213"/>
      <c r="H37" s="213"/>
      <c r="I37" s="213"/>
      <c r="J37" s="213"/>
      <c r="K37" s="214"/>
      <c r="L37" s="214"/>
      <c r="M37" s="214"/>
      <c r="N37" s="214"/>
    </row>
    <row r="38" spans="2:14" x14ac:dyDescent="0.2">
      <c r="B38" s="213"/>
      <c r="C38" s="213"/>
      <c r="D38" s="213"/>
      <c r="E38" s="213"/>
      <c r="F38" s="213"/>
      <c r="G38" s="213"/>
      <c r="H38" s="213"/>
      <c r="I38" s="213"/>
      <c r="J38" s="213"/>
      <c r="K38" s="214"/>
      <c r="L38" s="214"/>
      <c r="M38" s="214"/>
      <c r="N38" s="214"/>
    </row>
    <row r="39" spans="2:14" x14ac:dyDescent="0.2">
      <c r="B39" s="213"/>
      <c r="C39" s="213"/>
      <c r="D39" s="213"/>
      <c r="E39" s="213"/>
      <c r="F39" s="213"/>
      <c r="G39" s="213"/>
      <c r="H39" s="213"/>
      <c r="I39" s="213"/>
      <c r="J39" s="213"/>
      <c r="K39" s="214"/>
      <c r="L39" s="214"/>
      <c r="M39" s="214"/>
      <c r="N39" s="214"/>
    </row>
    <row r="40" spans="2:14" x14ac:dyDescent="0.2">
      <c r="B40" s="213"/>
      <c r="C40" s="213"/>
      <c r="D40" s="213"/>
      <c r="E40" s="213"/>
      <c r="F40" s="213"/>
      <c r="G40" s="213"/>
      <c r="H40" s="213"/>
      <c r="I40" s="213"/>
      <c r="J40" s="213"/>
      <c r="K40" s="214"/>
      <c r="L40" s="214"/>
      <c r="M40" s="214"/>
      <c r="N40" s="214"/>
    </row>
    <row r="41" spans="2:14" x14ac:dyDescent="0.2">
      <c r="B41" s="213"/>
      <c r="C41" s="213"/>
      <c r="D41" s="213"/>
      <c r="E41" s="213"/>
      <c r="F41" s="213"/>
      <c r="G41" s="213"/>
      <c r="H41" s="213"/>
      <c r="I41" s="213"/>
      <c r="J41" s="213"/>
      <c r="K41" s="214"/>
      <c r="L41" s="214"/>
      <c r="M41" s="214"/>
      <c r="N41" s="214"/>
    </row>
    <row r="42" spans="2:14" x14ac:dyDescent="0.2">
      <c r="B42" s="213"/>
      <c r="C42" s="213"/>
      <c r="D42" s="213"/>
      <c r="E42" s="213"/>
      <c r="F42" s="213"/>
      <c r="G42" s="213"/>
      <c r="H42" s="213"/>
      <c r="I42" s="213"/>
      <c r="J42" s="213"/>
      <c r="K42" s="214"/>
      <c r="L42" s="214"/>
      <c r="M42" s="214"/>
      <c r="N42" s="214"/>
    </row>
    <row r="43" spans="2:14" x14ac:dyDescent="0.2">
      <c r="B43" s="213"/>
      <c r="C43" s="213"/>
      <c r="D43" s="213"/>
      <c r="E43" s="213"/>
      <c r="F43" s="213"/>
      <c r="G43" s="213"/>
      <c r="H43" s="213"/>
      <c r="I43" s="213"/>
      <c r="J43" s="213"/>
      <c r="K43" s="214"/>
      <c r="L43" s="214"/>
      <c r="M43" s="214"/>
      <c r="N43" s="214"/>
    </row>
    <row r="44" spans="2:14" x14ac:dyDescent="0.2">
      <c r="B44" s="213"/>
      <c r="C44" s="213"/>
      <c r="D44" s="213"/>
      <c r="E44" s="213"/>
      <c r="F44" s="213"/>
      <c r="G44" s="213"/>
      <c r="H44" s="213"/>
      <c r="I44" s="213"/>
      <c r="J44" s="213"/>
      <c r="K44" s="214"/>
      <c r="L44" s="214"/>
      <c r="M44" s="214"/>
      <c r="N44" s="214"/>
    </row>
    <row r="45" spans="2:14" x14ac:dyDescent="0.2">
      <c r="B45" s="213"/>
      <c r="C45" s="213"/>
      <c r="D45" s="213"/>
      <c r="E45" s="213"/>
      <c r="F45" s="213"/>
      <c r="G45" s="213"/>
      <c r="H45" s="213"/>
      <c r="I45" s="213"/>
      <c r="J45" s="213"/>
      <c r="K45" s="214"/>
      <c r="L45" s="214"/>
      <c r="M45" s="214"/>
      <c r="N45" s="214"/>
    </row>
  </sheetData>
  <mergeCells count="10">
    <mergeCell ref="A26:G26"/>
    <mergeCell ref="B8:D8"/>
    <mergeCell ref="E8:G8"/>
    <mergeCell ref="H8:J8"/>
    <mergeCell ref="A1:L1"/>
    <mergeCell ref="A2:L2"/>
    <mergeCell ref="A3:L3"/>
    <mergeCell ref="A4:L4"/>
    <mergeCell ref="A6:K6"/>
    <mergeCell ref="B5:G5"/>
  </mergeCells>
  <pageMargins left="0.7" right="0.7" top="0.75" bottom="0.75" header="0.3" footer="0.3"/>
  <pageSetup scale="76" orientation="landscape" r:id="rId1"/>
  <headerFooter>
    <oddHeader>&amp;RAdjustment No.         .
Workpaper Ref. &amp;A</oddHeader>
    <oddFooter>&amp;L&amp;F
&amp;P of &amp;N&amp;RPrep by: ____________
          Date:  &amp;D           Mgr. Review:__________</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H36"/>
  <sheetViews>
    <sheetView topLeftCell="D1" zoomScale="85" zoomScaleNormal="85" workbookViewId="0">
      <selection activeCell="M24" sqref="M24"/>
    </sheetView>
  </sheetViews>
  <sheetFormatPr defaultRowHeight="12.75" x14ac:dyDescent="0.2"/>
  <cols>
    <col min="1" max="3" width="9.140625" hidden="1" customWidth="1"/>
    <col min="4" max="4" width="13.5703125" customWidth="1"/>
    <col min="5" max="6" width="14" customWidth="1"/>
    <col min="7" max="7" width="15.85546875" customWidth="1"/>
    <col min="8" max="8" width="21.7109375" customWidth="1"/>
  </cols>
  <sheetData>
    <row r="2" spans="4:8" x14ac:dyDescent="0.2">
      <c r="D2" s="231" t="s">
        <v>69</v>
      </c>
      <c r="E2" s="231"/>
      <c r="F2" s="231"/>
      <c r="G2" s="231"/>
      <c r="H2" s="231"/>
    </row>
    <row r="6" spans="4:8" ht="38.25" x14ac:dyDescent="0.2">
      <c r="D6" s="33" t="s">
        <v>39</v>
      </c>
      <c r="E6" s="19" t="s">
        <v>87</v>
      </c>
      <c r="F6" s="33" t="s">
        <v>46</v>
      </c>
      <c r="G6" s="19" t="s">
        <v>88</v>
      </c>
      <c r="H6" s="19" t="s">
        <v>42</v>
      </c>
    </row>
    <row r="7" spans="4:8" x14ac:dyDescent="0.2">
      <c r="D7" s="179">
        <f>'Prop 12 2018 Invoice'!D29</f>
        <v>1478121.6520602966</v>
      </c>
      <c r="E7" s="32">
        <f>D7*(1/12)</f>
        <v>123176.80433835805</v>
      </c>
      <c r="F7" s="32">
        <f>'Prop 12 2017 Invoice'!D29</f>
        <v>1349990.9559104722</v>
      </c>
      <c r="G7" s="32">
        <f>F7*(11/12)</f>
        <v>1237491.7095845994</v>
      </c>
      <c r="H7" s="180">
        <f>E7+G7</f>
        <v>1360668.5139229575</v>
      </c>
    </row>
    <row r="8" spans="4:8" x14ac:dyDescent="0.2">
      <c r="D8" s="10"/>
    </row>
    <row r="9" spans="4:8" ht="38.25" x14ac:dyDescent="0.2">
      <c r="D9" s="34" t="s">
        <v>39</v>
      </c>
      <c r="E9" s="19" t="s">
        <v>90</v>
      </c>
      <c r="F9" s="33" t="s">
        <v>86</v>
      </c>
      <c r="G9" s="19" t="s">
        <v>89</v>
      </c>
      <c r="H9" s="19" t="s">
        <v>75</v>
      </c>
    </row>
    <row r="10" spans="4:8" x14ac:dyDescent="0.2">
      <c r="D10" s="179">
        <f>D7</f>
        <v>1478121.6520602966</v>
      </c>
      <c r="E10" s="32">
        <f>(D10*(11/12))-'Prop 12 2018 Invoice'!D26</f>
        <v>1354444.279782234</v>
      </c>
      <c r="F10" s="179">
        <f>'Prop 12 2019 Invoice'!D23</f>
        <v>1752944.7995660622</v>
      </c>
      <c r="G10" s="32">
        <f>((F10*(1/12)))+'Prop 12 2019 Invoice'!D25</f>
        <v>126252.04329717183</v>
      </c>
      <c r="H10" s="195">
        <f>E10+G10</f>
        <v>1480696.3230794058</v>
      </c>
    </row>
    <row r="11" spans="4:8" x14ac:dyDescent="0.2">
      <c r="D11" s="10"/>
    </row>
    <row r="12" spans="4:8" ht="38.25" x14ac:dyDescent="0.2">
      <c r="D12" s="33" t="s">
        <v>86</v>
      </c>
      <c r="E12" s="19" t="s">
        <v>91</v>
      </c>
      <c r="F12" s="33" t="s">
        <v>85</v>
      </c>
      <c r="G12" s="19" t="s">
        <v>92</v>
      </c>
      <c r="H12" s="19" t="s">
        <v>76</v>
      </c>
    </row>
    <row r="13" spans="4:8" x14ac:dyDescent="0.2">
      <c r="D13" s="179">
        <f>'Prop 12 2019 Invoice'!D23</f>
        <v>1752944.7995660622</v>
      </c>
      <c r="E13" s="32">
        <f>((D13*(11/12)))+'Prop 12 2019 Invoice'!D27+'Prop 12 2019 Invoice'!D26</f>
        <v>1581791.5162688901</v>
      </c>
      <c r="F13" s="179">
        <f>'Est Prop 12 2020'!E8</f>
        <v>2278828.253</v>
      </c>
      <c r="G13" s="32">
        <f>(F13*(1/12))+'Est Prop 12 2020'!G8</f>
        <v>165519.40441666666</v>
      </c>
      <c r="H13" s="180">
        <f>E13+G13</f>
        <v>1747310.9206855567</v>
      </c>
    </row>
    <row r="15" spans="4:8" ht="38.25" x14ac:dyDescent="0.2">
      <c r="D15" s="33" t="s">
        <v>85</v>
      </c>
      <c r="E15" s="19" t="s">
        <v>198</v>
      </c>
      <c r="F15" s="33" t="s">
        <v>197</v>
      </c>
      <c r="G15" s="19" t="s">
        <v>199</v>
      </c>
      <c r="H15" s="19" t="s">
        <v>200</v>
      </c>
    </row>
    <row r="16" spans="4:8" s="9" customFormat="1" x14ac:dyDescent="0.2">
      <c r="D16" s="179">
        <f>'Est Prop 12 2020'!E8</f>
        <v>2278828.253</v>
      </c>
      <c r="E16" s="179">
        <f>((D16*(11/12)))+'Est Prop 12 2020'!H8+'Est Prop 12 2020'!I8</f>
        <v>2063160.5485833334</v>
      </c>
      <c r="F16" s="179">
        <f>'Est Prop 12 2021'!E8</f>
        <v>2962476.7289</v>
      </c>
      <c r="G16" s="32">
        <f>(F16*(1/12))+'Est Prop 12 2021'!G8</f>
        <v>222490.11074166663</v>
      </c>
      <c r="H16" s="197">
        <f>E16+G16</f>
        <v>2285650.6593249999</v>
      </c>
    </row>
    <row r="17" spans="4:8" s="9" customFormat="1" x14ac:dyDescent="0.2"/>
    <row r="18" spans="4:8" s="9" customFormat="1" x14ac:dyDescent="0.2"/>
    <row r="19" spans="4:8" s="9" customFormat="1" x14ac:dyDescent="0.2"/>
    <row r="20" spans="4:8" s="9" customFormat="1" x14ac:dyDescent="0.2"/>
    <row r="22" spans="4:8" x14ac:dyDescent="0.2">
      <c r="D22" s="232" t="s">
        <v>70</v>
      </c>
      <c r="E22" s="232"/>
      <c r="F22" s="232"/>
      <c r="G22" s="232"/>
      <c r="H22" s="232"/>
    </row>
    <row r="23" spans="4:8" x14ac:dyDescent="0.2">
      <c r="D23" s="9"/>
      <c r="E23" s="9"/>
      <c r="F23" s="9"/>
      <c r="G23" s="9"/>
      <c r="H23" s="9"/>
    </row>
    <row r="24" spans="4:8" x14ac:dyDescent="0.2">
      <c r="D24" s="9"/>
      <c r="E24" s="9"/>
      <c r="F24" s="9"/>
      <c r="G24" s="9"/>
      <c r="H24" s="9"/>
    </row>
    <row r="25" spans="4:8" x14ac:dyDescent="0.2">
      <c r="D25" s="9"/>
      <c r="E25" s="9"/>
      <c r="F25" s="9"/>
      <c r="G25" s="9"/>
      <c r="H25" s="9"/>
    </row>
    <row r="26" spans="4:8" ht="25.5" x14ac:dyDescent="0.2">
      <c r="D26" s="33" t="s">
        <v>39</v>
      </c>
      <c r="E26" s="33" t="s">
        <v>40</v>
      </c>
      <c r="F26" s="33" t="s">
        <v>47</v>
      </c>
      <c r="G26" s="33" t="s">
        <v>41</v>
      </c>
      <c r="H26" s="19" t="s">
        <v>42</v>
      </c>
    </row>
    <row r="27" spans="4:8" x14ac:dyDescent="0.2">
      <c r="D27" s="32">
        <f>'Prop 12 2018 Invoice'!D62</f>
        <v>1481125.059698693</v>
      </c>
      <c r="E27" s="32">
        <f>D27*(1/12)</f>
        <v>123427.08830822441</v>
      </c>
      <c r="F27" s="32">
        <f>'Prop 12 2017 Invoice'!D60</f>
        <v>1350998.8843234384</v>
      </c>
      <c r="G27" s="32">
        <f>F27*(11/12)</f>
        <v>1238415.6439631518</v>
      </c>
      <c r="H27" s="32">
        <f>E27+G27</f>
        <v>1361842.7322713763</v>
      </c>
    </row>
    <row r="28" spans="4:8" x14ac:dyDescent="0.2">
      <c r="D28" s="10"/>
      <c r="E28" s="9"/>
      <c r="F28" s="9"/>
      <c r="G28" s="9"/>
      <c r="H28" s="9"/>
    </row>
    <row r="29" spans="4:8" ht="38.25" x14ac:dyDescent="0.2">
      <c r="D29" s="34" t="s">
        <v>39</v>
      </c>
      <c r="E29" s="19" t="s">
        <v>90</v>
      </c>
      <c r="F29" s="33" t="s">
        <v>86</v>
      </c>
      <c r="G29" s="19" t="s">
        <v>89</v>
      </c>
      <c r="H29" s="19" t="s">
        <v>75</v>
      </c>
    </row>
    <row r="30" spans="4:8" x14ac:dyDescent="0.2">
      <c r="D30" s="32">
        <f>'Prop 12 2018 Invoice'!D62</f>
        <v>1481125.059698693</v>
      </c>
      <c r="E30" s="32">
        <f>D30*(11/12)</f>
        <v>1357697.9713904685</v>
      </c>
      <c r="F30" s="32">
        <f>'Prop 12 2019 Invoice'!D23</f>
        <v>1752944.7995660622</v>
      </c>
      <c r="G30" s="32">
        <f>F30*(1/12)</f>
        <v>146078.73329717183</v>
      </c>
      <c r="H30" s="32">
        <f>E30+G30</f>
        <v>1503776.7046876403</v>
      </c>
    </row>
    <row r="31" spans="4:8" x14ac:dyDescent="0.2">
      <c r="D31" s="10"/>
      <c r="E31" s="9"/>
      <c r="F31" s="9"/>
      <c r="G31" s="9"/>
      <c r="H31" s="9"/>
    </row>
    <row r="32" spans="4:8" ht="38.25" x14ac:dyDescent="0.2">
      <c r="D32" s="33" t="s">
        <v>86</v>
      </c>
      <c r="E32" s="19" t="s">
        <v>91</v>
      </c>
      <c r="F32" s="33" t="s">
        <v>85</v>
      </c>
      <c r="G32" s="19" t="s">
        <v>92</v>
      </c>
      <c r="H32" s="19" t="s">
        <v>76</v>
      </c>
    </row>
    <row r="33" spans="4:8" x14ac:dyDescent="0.2">
      <c r="D33" s="32">
        <f>'Prop 12 2019 Invoice'!D23</f>
        <v>1752944.7995660622</v>
      </c>
      <c r="E33" s="32">
        <f>D33*(11/12)</f>
        <v>1606866.0662688902</v>
      </c>
      <c r="F33" s="155">
        <f>'Est Prop 12 2020'!E8</f>
        <v>2278828.253</v>
      </c>
      <c r="G33" s="32">
        <f>F33*(1/12)</f>
        <v>189902.35441666667</v>
      </c>
      <c r="H33" s="182">
        <f>E33+G33</f>
        <v>1796768.4206855567</v>
      </c>
    </row>
    <row r="34" spans="4:8" x14ac:dyDescent="0.2">
      <c r="D34" s="9"/>
      <c r="E34" s="9"/>
      <c r="F34" s="9"/>
      <c r="G34" s="9"/>
      <c r="H34" s="9"/>
    </row>
    <row r="35" spans="4:8" ht="38.25" x14ac:dyDescent="0.2">
      <c r="D35" s="33" t="s">
        <v>85</v>
      </c>
      <c r="E35" s="19" t="s">
        <v>198</v>
      </c>
      <c r="F35" s="33" t="s">
        <v>197</v>
      </c>
      <c r="G35" s="19" t="s">
        <v>199</v>
      </c>
      <c r="H35" s="19" t="s">
        <v>200</v>
      </c>
    </row>
    <row r="36" spans="4:8" x14ac:dyDescent="0.2">
      <c r="D36" s="179">
        <f>'Est Prop 12 2020'!E8</f>
        <v>2278828.253</v>
      </c>
      <c r="E36" s="32">
        <f>((D36*(11/12)))+'Prop 12 2019 Invoice'!D50</f>
        <v>2088925.8985833332</v>
      </c>
      <c r="F36" s="155">
        <f>'Est Prop 12 2021'!E8</f>
        <v>2962476.7289</v>
      </c>
      <c r="G36" s="32">
        <f>(F36*(1/12))+'Est Prop 12 2020'!G31</f>
        <v>246873.06074166665</v>
      </c>
      <c r="H36" s="182">
        <f>E36+G36</f>
        <v>2335798.9593249997</v>
      </c>
    </row>
  </sheetData>
  <mergeCells count="2">
    <mergeCell ref="D2:H2"/>
    <mergeCell ref="D22:H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6:I12"/>
  <sheetViews>
    <sheetView zoomScale="85" zoomScaleNormal="85" workbookViewId="0">
      <selection activeCell="M24" sqref="M24"/>
    </sheetView>
  </sheetViews>
  <sheetFormatPr defaultColWidth="9.140625" defaultRowHeight="12.75" x14ac:dyDescent="0.2"/>
  <cols>
    <col min="1" max="1" width="12.7109375" style="9" bestFit="1" customWidth="1"/>
    <col min="2" max="2" width="20.85546875" style="9" customWidth="1"/>
    <col min="3" max="4" width="9.140625" style="9"/>
    <col min="5" max="5" width="12.7109375" style="9" bestFit="1" customWidth="1"/>
    <col min="6" max="6" width="9.140625" style="9"/>
    <col min="7" max="7" width="12" style="9" bestFit="1" customWidth="1"/>
    <col min="8" max="16384" width="9.140625" style="9"/>
  </cols>
  <sheetData>
    <row r="6" spans="1:9" ht="63.75" x14ac:dyDescent="0.2">
      <c r="B6" s="75" t="s">
        <v>203</v>
      </c>
      <c r="C6" s="78" t="s">
        <v>79</v>
      </c>
      <c r="D6" s="78" t="s">
        <v>211</v>
      </c>
      <c r="E6" s="78" t="s">
        <v>204</v>
      </c>
      <c r="F6" s="78" t="s">
        <v>202</v>
      </c>
      <c r="G6" s="78" t="s">
        <v>201</v>
      </c>
      <c r="I6" s="78"/>
    </row>
    <row r="7" spans="1:9" x14ac:dyDescent="0.2">
      <c r="A7" s="9" t="s">
        <v>77</v>
      </c>
      <c r="B7" s="156">
        <f>'Est Prop 12 2020'!E7</f>
        <v>5712.1350000000002</v>
      </c>
      <c r="C7" s="79">
        <f>B7/B10</f>
        <v>2.0660028502729236E-3</v>
      </c>
      <c r="D7" s="9">
        <v>0.3</v>
      </c>
      <c r="E7" s="156">
        <f>B7*(1+D7)</f>
        <v>7425.7755000000006</v>
      </c>
      <c r="F7" s="9">
        <f>E7/E10</f>
        <v>2.07989915966689E-3</v>
      </c>
      <c r="G7" s="80"/>
    </row>
    <row r="8" spans="1:9" x14ac:dyDescent="0.2">
      <c r="A8" s="9" t="s">
        <v>51</v>
      </c>
      <c r="B8" s="156">
        <f>'Est Prop 12 2020'!E8</f>
        <v>2278828.253</v>
      </c>
      <c r="C8" s="79">
        <f>B8/B10</f>
        <v>0.82422170799192729</v>
      </c>
      <c r="D8" s="9">
        <v>0.3</v>
      </c>
      <c r="E8" s="200">
        <f>B8*(1+D8)</f>
        <v>2962476.7289</v>
      </c>
      <c r="F8" s="9">
        <f>E8/E10</f>
        <v>0.82976557249432414</v>
      </c>
      <c r="G8" s="181">
        <f>'Prop 12 2019 Invoice'!D27</f>
        <v>-24382.95</v>
      </c>
    </row>
    <row r="9" spans="1:9" x14ac:dyDescent="0.2">
      <c r="A9" s="9" t="s">
        <v>78</v>
      </c>
      <c r="B9" s="156">
        <f>'Est Prop 12 2020'!E9</f>
        <v>480283.96799999999</v>
      </c>
      <c r="C9" s="79">
        <f>B9/B10</f>
        <v>0.17371228915779996</v>
      </c>
      <c r="D9" s="9">
        <v>0.25</v>
      </c>
      <c r="E9" s="156">
        <f>B9*(1+D9)</f>
        <v>600354.96</v>
      </c>
      <c r="F9" s="9">
        <f>E9/E10</f>
        <v>0.168154528346009</v>
      </c>
      <c r="G9" s="80"/>
    </row>
    <row r="10" spans="1:9" x14ac:dyDescent="0.2">
      <c r="B10" s="183">
        <f>SUM(B7:B9)</f>
        <v>2764824.3559999997</v>
      </c>
      <c r="E10" s="183">
        <f>SUM(E7:E9)</f>
        <v>3570257.4643999999</v>
      </c>
    </row>
    <row r="12" spans="1:9" x14ac:dyDescent="0.2">
      <c r="C12" s="79">
        <f>(E10-B10)/B10</f>
        <v>0.29131438554211014</v>
      </c>
      <c r="D12" s="75" t="s">
        <v>205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60"/>
  <sheetViews>
    <sheetView view="pageBreakPreview" topLeftCell="A13" zoomScale="85" zoomScaleNormal="100" zoomScaleSheetLayoutView="85" workbookViewId="0">
      <selection activeCell="M24" sqref="M24"/>
    </sheetView>
  </sheetViews>
  <sheetFormatPr defaultColWidth="9.140625" defaultRowHeight="15" x14ac:dyDescent="0.25"/>
  <cols>
    <col min="1" max="1" width="32.7109375" style="1" bestFit="1" customWidth="1"/>
    <col min="2" max="2" width="12.7109375" style="1" bestFit="1" customWidth="1"/>
    <col min="3" max="3" width="38.42578125" style="1" customWidth="1"/>
    <col min="4" max="4" width="40" style="1" customWidth="1"/>
    <col min="5" max="6" width="9.140625" style="1"/>
    <col min="7" max="7" width="11.42578125" style="1" customWidth="1"/>
    <col min="8" max="8" width="18.42578125" style="1" bestFit="1" customWidth="1"/>
    <col min="9" max="16384" width="9.140625" style="1"/>
  </cols>
  <sheetData>
    <row r="1" spans="1:8" hidden="1" x14ac:dyDescent="0.25"/>
    <row r="2" spans="1:8" hidden="1" x14ac:dyDescent="0.25"/>
    <row r="3" spans="1:8" hidden="1" x14ac:dyDescent="0.25"/>
    <row r="4" spans="1:8" x14ac:dyDescent="0.25">
      <c r="B4" s="2" t="s">
        <v>190</v>
      </c>
    </row>
    <row r="5" spans="1:8" x14ac:dyDescent="0.25">
      <c r="C5" s="2" t="s">
        <v>73</v>
      </c>
    </row>
    <row r="7" spans="1:8" x14ac:dyDescent="0.25">
      <c r="A7" s="3" t="s">
        <v>0</v>
      </c>
      <c r="B7" s="3" t="s">
        <v>1</v>
      </c>
      <c r="C7" s="2" t="s">
        <v>191</v>
      </c>
    </row>
    <row r="8" spans="1:8" x14ac:dyDescent="0.25">
      <c r="A8" s="1" t="s">
        <v>15</v>
      </c>
      <c r="B8" s="4">
        <v>445000</v>
      </c>
      <c r="C8" s="4">
        <f>B8*0.81246075</f>
        <v>361545.03375</v>
      </c>
      <c r="H8" s="28"/>
    </row>
    <row r="9" spans="1:8" x14ac:dyDescent="0.25">
      <c r="A9" s="1" t="s">
        <v>11</v>
      </c>
      <c r="B9" s="4">
        <v>156695</v>
      </c>
      <c r="C9" s="4">
        <f>B9*0.81246075</f>
        <v>127308.53722124999</v>
      </c>
    </row>
    <row r="10" spans="1:8" x14ac:dyDescent="0.25">
      <c r="A10" s="1" t="s">
        <v>12</v>
      </c>
      <c r="B10" s="4">
        <f>3133.9+156.7</f>
        <v>3290.6</v>
      </c>
      <c r="C10" s="4">
        <f t="shared" ref="C10:C22" si="0">B10*0.81246075</f>
        <v>2673.4833439499998</v>
      </c>
    </row>
    <row r="11" spans="1:8" x14ac:dyDescent="0.25">
      <c r="A11" s="1" t="s">
        <v>13</v>
      </c>
      <c r="B11" s="4">
        <v>104464</v>
      </c>
      <c r="C11" s="4">
        <f t="shared" si="0"/>
        <v>84872.899787999995</v>
      </c>
    </row>
    <row r="12" spans="1:8" x14ac:dyDescent="0.25">
      <c r="A12" s="1" t="s">
        <v>31</v>
      </c>
      <c r="B12" s="4">
        <v>1065528</v>
      </c>
      <c r="C12" s="4">
        <f t="shared" si="0"/>
        <v>865699.67802599992</v>
      </c>
    </row>
    <row r="13" spans="1:8" x14ac:dyDescent="0.25">
      <c r="A13" s="30" t="s">
        <v>10</v>
      </c>
      <c r="B13" s="29">
        <v>-4256</v>
      </c>
      <c r="C13" s="29">
        <f t="shared" si="0"/>
        <v>-3457.8329519999998</v>
      </c>
    </row>
    <row r="14" spans="1:8" x14ac:dyDescent="0.25">
      <c r="A14" s="1" t="s">
        <v>14</v>
      </c>
      <c r="B14" s="4">
        <f>21225.44+1061.27</f>
        <v>22286.71</v>
      </c>
      <c r="C14" s="4">
        <f t="shared" si="0"/>
        <v>18107.077121632497</v>
      </c>
    </row>
    <row r="15" spans="1:8" x14ac:dyDescent="0.25">
      <c r="A15" s="1" t="s">
        <v>19</v>
      </c>
      <c r="B15" s="4">
        <v>254438.69</v>
      </c>
      <c r="C15" s="4">
        <f t="shared" si="0"/>
        <v>206721.4489064175</v>
      </c>
    </row>
    <row r="16" spans="1:8" x14ac:dyDescent="0.25">
      <c r="A16" s="1" t="s">
        <v>20</v>
      </c>
      <c r="B16" s="4">
        <f>5088.77+254.44</f>
        <v>5343.21</v>
      </c>
      <c r="C16" s="4">
        <f t="shared" si="0"/>
        <v>4341.1484040075002</v>
      </c>
    </row>
    <row r="17" spans="1:9" x14ac:dyDescent="0.25">
      <c r="A17" s="1" t="s">
        <v>21</v>
      </c>
      <c r="B17" s="4">
        <v>32739.82</v>
      </c>
      <c r="C17" s="4">
        <f t="shared" si="0"/>
        <v>26599.818712065</v>
      </c>
      <c r="I17" s="21"/>
    </row>
    <row r="18" spans="1:9" x14ac:dyDescent="0.25">
      <c r="A18" s="1" t="s">
        <v>22</v>
      </c>
      <c r="B18" s="4">
        <f>654.8+32.74</f>
        <v>687.54</v>
      </c>
      <c r="C18" s="4">
        <f t="shared" si="0"/>
        <v>558.59926405499994</v>
      </c>
    </row>
    <row r="19" spans="1:9" x14ac:dyDescent="0.25">
      <c r="A19" s="1" t="s">
        <v>23</v>
      </c>
      <c r="B19" s="4">
        <v>56298</v>
      </c>
      <c r="C19" s="4">
        <f t="shared" si="0"/>
        <v>45739.915303499998</v>
      </c>
    </row>
    <row r="20" spans="1:9" x14ac:dyDescent="0.25">
      <c r="A20" s="1" t="s">
        <v>18</v>
      </c>
      <c r="B20" s="4">
        <f>1125.96+56.3</f>
        <v>1182.26</v>
      </c>
      <c r="C20" s="4">
        <f t="shared" si="0"/>
        <v>960.53984629499996</v>
      </c>
    </row>
    <row r="21" spans="1:9" x14ac:dyDescent="0.25">
      <c r="A21" s="1" t="s">
        <v>23</v>
      </c>
      <c r="B21" s="4">
        <v>13591.5</v>
      </c>
      <c r="C21" s="4">
        <f t="shared" si="0"/>
        <v>11042.560283625</v>
      </c>
    </row>
    <row r="22" spans="1:9" x14ac:dyDescent="0.25">
      <c r="A22" s="1" t="s">
        <v>18</v>
      </c>
      <c r="B22" s="4">
        <f>271.83+13.59</f>
        <v>285.41999999999996</v>
      </c>
      <c r="C22" s="4">
        <f t="shared" si="0"/>
        <v>231.89254726499996</v>
      </c>
    </row>
    <row r="23" spans="1:9" x14ac:dyDescent="0.25">
      <c r="C23" s="5"/>
      <c r="D23" s="199">
        <f>SUM(C8:C22)</f>
        <v>1752944.7995660622</v>
      </c>
    </row>
    <row r="25" spans="1:9" ht="15.75" thickBot="1" x14ac:dyDescent="0.3">
      <c r="A25" s="6" t="s">
        <v>16</v>
      </c>
      <c r="B25" s="7">
        <f>SUM(B8:B24)</f>
        <v>2157574.75</v>
      </c>
      <c r="C25" s="31" t="s">
        <v>192</v>
      </c>
      <c r="D25" s="29">
        <v>-19826.689999999999</v>
      </c>
    </row>
    <row r="26" spans="1:9" ht="15.75" thickTop="1" x14ac:dyDescent="0.25">
      <c r="A26" s="6"/>
      <c r="B26" s="77"/>
      <c r="C26" s="31" t="s">
        <v>209</v>
      </c>
      <c r="D26" s="29">
        <v>-691.6</v>
      </c>
    </row>
    <row r="27" spans="1:9" x14ac:dyDescent="0.25">
      <c r="C27" s="30" t="s">
        <v>194</v>
      </c>
      <c r="D27" s="29">
        <v>-24382.95</v>
      </c>
    </row>
    <row r="28" spans="1:9" ht="15.75" thickBot="1" x14ac:dyDescent="0.3">
      <c r="A28" s="20">
        <v>43819</v>
      </c>
      <c r="B28" s="7">
        <v>2157574.7999999998</v>
      </c>
    </row>
    <row r="29" spans="1:9" ht="16.5" thickTop="1" thickBot="1" x14ac:dyDescent="0.3">
      <c r="D29" s="190">
        <f>D23+D25++D26+D27</f>
        <v>1708043.5595660622</v>
      </c>
      <c r="E29" s="2" t="s">
        <v>193</v>
      </c>
    </row>
    <row r="30" spans="1:9" ht="15.75" thickTop="1" x14ac:dyDescent="0.25">
      <c r="A30" s="6" t="s">
        <v>17</v>
      </c>
      <c r="B30" s="8">
        <f>+B25-B28</f>
        <v>-4.9999999813735485E-2</v>
      </c>
      <c r="C30" s="26" t="s">
        <v>35</v>
      </c>
    </row>
    <row r="32" spans="1:9" hidden="1" x14ac:dyDescent="0.25"/>
    <row r="33" spans="1:3" hidden="1" x14ac:dyDescent="0.25"/>
    <row r="34" spans="1:3" x14ac:dyDescent="0.25">
      <c r="B34" s="2" t="s">
        <v>190</v>
      </c>
    </row>
    <row r="35" spans="1:3" x14ac:dyDescent="0.25">
      <c r="C35" s="2" t="s">
        <v>74</v>
      </c>
    </row>
    <row r="37" spans="1:3" x14ac:dyDescent="0.25">
      <c r="A37" s="3" t="s">
        <v>0</v>
      </c>
      <c r="B37" s="3" t="s">
        <v>1</v>
      </c>
      <c r="C37" s="2" t="s">
        <v>191</v>
      </c>
    </row>
    <row r="38" spans="1:3" x14ac:dyDescent="0.25">
      <c r="A38" s="1" t="s">
        <v>15</v>
      </c>
      <c r="B38" s="4">
        <v>445000</v>
      </c>
      <c r="C38" s="4">
        <f t="shared" ref="C38:C52" si="1">B38*0.81246075</f>
        <v>361545.03375</v>
      </c>
    </row>
    <row r="39" spans="1:3" x14ac:dyDescent="0.25">
      <c r="A39" s="1" t="s">
        <v>11</v>
      </c>
      <c r="B39" s="4">
        <v>156695</v>
      </c>
      <c r="C39" s="4">
        <f t="shared" si="1"/>
        <v>127308.53722124999</v>
      </c>
    </row>
    <row r="40" spans="1:3" x14ac:dyDescent="0.25">
      <c r="A40" s="1" t="s">
        <v>12</v>
      </c>
      <c r="B40" s="4">
        <f>3133.9+156.7</f>
        <v>3290.6</v>
      </c>
      <c r="C40" s="4">
        <f t="shared" si="1"/>
        <v>2673.4833439499998</v>
      </c>
    </row>
    <row r="41" spans="1:3" x14ac:dyDescent="0.25">
      <c r="A41" s="1" t="s">
        <v>13</v>
      </c>
      <c r="B41" s="4">
        <v>104464</v>
      </c>
      <c r="C41" s="4">
        <f t="shared" si="1"/>
        <v>84872.899787999995</v>
      </c>
    </row>
    <row r="42" spans="1:3" x14ac:dyDescent="0.25">
      <c r="A42" s="1" t="s">
        <v>31</v>
      </c>
      <c r="B42" s="4">
        <v>1065528</v>
      </c>
      <c r="C42" s="4">
        <f t="shared" si="1"/>
        <v>865699.67802599992</v>
      </c>
    </row>
    <row r="43" spans="1:3" x14ac:dyDescent="0.25">
      <c r="A43" s="30" t="s">
        <v>10</v>
      </c>
      <c r="B43" s="29">
        <v>0</v>
      </c>
      <c r="C43" s="4">
        <f t="shared" si="1"/>
        <v>0</v>
      </c>
    </row>
    <row r="44" spans="1:3" x14ac:dyDescent="0.25">
      <c r="A44" s="1" t="s">
        <v>14</v>
      </c>
      <c r="B44" s="4">
        <f>21225.44+1061.27</f>
        <v>22286.71</v>
      </c>
      <c r="C44" s="4">
        <f t="shared" si="1"/>
        <v>18107.077121632497</v>
      </c>
    </row>
    <row r="45" spans="1:3" x14ac:dyDescent="0.25">
      <c r="A45" s="1" t="s">
        <v>19</v>
      </c>
      <c r="B45" s="4">
        <v>254438.69</v>
      </c>
      <c r="C45" s="4">
        <f t="shared" si="1"/>
        <v>206721.4489064175</v>
      </c>
    </row>
    <row r="46" spans="1:3" x14ac:dyDescent="0.25">
      <c r="A46" s="1" t="s">
        <v>20</v>
      </c>
      <c r="B46" s="4">
        <f>5088.77+254.44</f>
        <v>5343.21</v>
      </c>
      <c r="C46" s="4">
        <f t="shared" si="1"/>
        <v>4341.1484040075002</v>
      </c>
    </row>
    <row r="47" spans="1:3" x14ac:dyDescent="0.25">
      <c r="A47" s="1" t="s">
        <v>21</v>
      </c>
      <c r="B47" s="4">
        <v>32739.82</v>
      </c>
      <c r="C47" s="4">
        <f t="shared" si="1"/>
        <v>26599.818712065</v>
      </c>
    </row>
    <row r="48" spans="1:3" x14ac:dyDescent="0.25">
      <c r="A48" s="1" t="s">
        <v>22</v>
      </c>
      <c r="B48" s="4">
        <f>654.8+32.74</f>
        <v>687.54</v>
      </c>
      <c r="C48" s="4">
        <f t="shared" si="1"/>
        <v>558.59926405499994</v>
      </c>
    </row>
    <row r="49" spans="1:5" x14ac:dyDescent="0.25">
      <c r="A49" s="1" t="s">
        <v>23</v>
      </c>
      <c r="B49" s="4">
        <v>56298</v>
      </c>
      <c r="C49" s="4">
        <f t="shared" si="1"/>
        <v>45739.915303499998</v>
      </c>
    </row>
    <row r="50" spans="1:5" x14ac:dyDescent="0.25">
      <c r="A50" s="1" t="s">
        <v>18</v>
      </c>
      <c r="B50" s="4">
        <f>1125.96+56.3</f>
        <v>1182.26</v>
      </c>
      <c r="C50" s="4">
        <f t="shared" si="1"/>
        <v>960.53984629499996</v>
      </c>
    </row>
    <row r="51" spans="1:5" x14ac:dyDescent="0.25">
      <c r="A51" s="1" t="s">
        <v>23</v>
      </c>
      <c r="B51" s="4">
        <v>13591.5</v>
      </c>
      <c r="C51" s="4">
        <f t="shared" si="1"/>
        <v>11042.560283625</v>
      </c>
    </row>
    <row r="52" spans="1:5" x14ac:dyDescent="0.25">
      <c r="A52" s="1" t="s">
        <v>18</v>
      </c>
      <c r="B52" s="4">
        <f>271.83+13.59</f>
        <v>285.41999999999996</v>
      </c>
      <c r="C52" s="4">
        <f t="shared" si="1"/>
        <v>231.89254726499996</v>
      </c>
    </row>
    <row r="53" spans="1:5" x14ac:dyDescent="0.25">
      <c r="C53" s="5"/>
      <c r="D53" s="27">
        <f>SUM(C38:C52)</f>
        <v>1756402.6325180621</v>
      </c>
    </row>
    <row r="55" spans="1:5" ht="15.75" thickBot="1" x14ac:dyDescent="0.3">
      <c r="A55" s="6" t="s">
        <v>16</v>
      </c>
      <c r="B55" s="7">
        <f>SUM(B38:B54)</f>
        <v>2161830.75</v>
      </c>
      <c r="C55" s="31" t="s">
        <v>192</v>
      </c>
      <c r="D55" s="29">
        <v>0</v>
      </c>
    </row>
    <row r="56" spans="1:5" ht="15.75" thickTop="1" x14ac:dyDescent="0.25">
      <c r="A56" s="6"/>
      <c r="B56" s="77"/>
      <c r="C56" s="31" t="s">
        <v>207</v>
      </c>
      <c r="D56" s="29">
        <v>0</v>
      </c>
    </row>
    <row r="57" spans="1:5" x14ac:dyDescent="0.25">
      <c r="C57" s="30" t="s">
        <v>194</v>
      </c>
      <c r="D57" s="29">
        <v>0</v>
      </c>
    </row>
    <row r="58" spans="1:5" ht="15.75" thickBot="1" x14ac:dyDescent="0.3">
      <c r="A58" s="20"/>
      <c r="B58" s="7"/>
      <c r="D58" s="18">
        <f>D53-D55-D56-D57</f>
        <v>1756402.6325180621</v>
      </c>
      <c r="E58" s="2" t="s">
        <v>45</v>
      </c>
    </row>
    <row r="59" spans="1:5" ht="15.75" thickTop="1" x14ac:dyDescent="0.25"/>
    <row r="60" spans="1:5" x14ac:dyDescent="0.25">
      <c r="A60" s="6"/>
      <c r="B60" s="8"/>
      <c r="C60" s="26"/>
    </row>
  </sheetData>
  <pageMargins left="0.7" right="0.7"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3:N10"/>
  <sheetViews>
    <sheetView zoomScale="85" zoomScaleNormal="85" workbookViewId="0">
      <selection activeCell="M24" sqref="M24"/>
    </sheetView>
  </sheetViews>
  <sheetFormatPr defaultRowHeight="12.75" x14ac:dyDescent="0.2"/>
  <cols>
    <col min="1" max="1" width="12.7109375" bestFit="1" customWidth="1"/>
    <col min="2" max="2" width="15.28515625" bestFit="1" customWidth="1"/>
    <col min="5" max="5" width="12.7109375" bestFit="1" customWidth="1"/>
    <col min="7" max="7" width="12" bestFit="1" customWidth="1"/>
    <col min="8" max="8" width="12" style="9" customWidth="1"/>
    <col min="9" max="9" width="9.7109375" bestFit="1" customWidth="1"/>
    <col min="11" max="11" width="12.7109375" bestFit="1" customWidth="1"/>
  </cols>
  <sheetData>
    <row r="3" spans="1:14" x14ac:dyDescent="0.2">
      <c r="A3" s="9"/>
      <c r="B3" s="9"/>
      <c r="C3" s="9"/>
      <c r="D3" s="9"/>
      <c r="E3" s="9"/>
      <c r="F3" s="9"/>
      <c r="G3" s="9"/>
      <c r="I3" s="9"/>
      <c r="J3" s="9"/>
      <c r="K3" s="9"/>
      <c r="L3" s="9"/>
      <c r="M3" s="9"/>
      <c r="N3" s="9"/>
    </row>
    <row r="4" spans="1:14" x14ac:dyDescent="0.2">
      <c r="A4" s="9"/>
      <c r="B4" s="9"/>
      <c r="C4" s="9"/>
      <c r="D4" s="9"/>
      <c r="E4" s="9"/>
      <c r="F4" s="9"/>
      <c r="G4" s="9"/>
      <c r="I4" s="9"/>
      <c r="J4" s="9"/>
      <c r="K4" s="9"/>
      <c r="L4" s="9"/>
      <c r="M4" s="9"/>
      <c r="N4" s="9"/>
    </row>
    <row r="5" spans="1:14" x14ac:dyDescent="0.2">
      <c r="A5" s="9"/>
      <c r="B5" s="9"/>
      <c r="C5" s="9"/>
      <c r="D5" s="9"/>
      <c r="E5" s="9"/>
      <c r="F5" s="9"/>
      <c r="G5" s="9"/>
      <c r="I5" s="9"/>
      <c r="J5" s="9"/>
      <c r="K5" s="9"/>
      <c r="L5" s="9"/>
      <c r="M5" s="9"/>
      <c r="N5" s="9"/>
    </row>
    <row r="6" spans="1:14" ht="63.75" x14ac:dyDescent="0.2">
      <c r="A6" s="9"/>
      <c r="B6" s="75" t="s">
        <v>80</v>
      </c>
      <c r="C6" s="78" t="s">
        <v>79</v>
      </c>
      <c r="D6" s="78" t="s">
        <v>81</v>
      </c>
      <c r="E6" s="78" t="s">
        <v>82</v>
      </c>
      <c r="F6" s="78" t="s">
        <v>83</v>
      </c>
      <c r="G6" s="78" t="s">
        <v>195</v>
      </c>
      <c r="H6" s="78" t="s">
        <v>196</v>
      </c>
      <c r="I6" s="78" t="s">
        <v>210</v>
      </c>
      <c r="J6" s="9"/>
      <c r="K6" s="78"/>
      <c r="L6" s="9"/>
      <c r="M6" s="9"/>
      <c r="N6" s="9"/>
    </row>
    <row r="7" spans="1:14" x14ac:dyDescent="0.2">
      <c r="A7" s="9" t="s">
        <v>77</v>
      </c>
      <c r="B7" s="156">
        <v>4393.95</v>
      </c>
      <c r="C7" s="79">
        <f>B7/B10</f>
        <v>2.0365221071764169E-3</v>
      </c>
      <c r="D7" s="9">
        <v>0.3</v>
      </c>
      <c r="E7" s="156">
        <f>B7*(1+D7)</f>
        <v>5712.1350000000002</v>
      </c>
      <c r="F7" s="9">
        <f>E7/E10</f>
        <v>2.0660028502729236E-3</v>
      </c>
      <c r="G7" s="80"/>
      <c r="H7" s="80"/>
      <c r="I7" s="9"/>
      <c r="J7" s="9"/>
      <c r="K7" s="9"/>
      <c r="L7" s="9"/>
      <c r="M7" s="9"/>
      <c r="N7" s="9"/>
    </row>
    <row r="8" spans="1:14" x14ac:dyDescent="0.2">
      <c r="A8" s="9" t="s">
        <v>51</v>
      </c>
      <c r="B8" s="156">
        <v>1752944.81</v>
      </c>
      <c r="C8" s="79">
        <f>B8/B10</f>
        <v>0.81246051007070252</v>
      </c>
      <c r="D8" s="9">
        <v>0.3</v>
      </c>
      <c r="E8" s="200">
        <f>B8*(1+D8)</f>
        <v>2278828.253</v>
      </c>
      <c r="F8" s="9">
        <f>E8/E10</f>
        <v>0.82422170799192729</v>
      </c>
      <c r="G8" s="181">
        <f>'Prop 12 2019 Invoice'!D27</f>
        <v>-24382.95</v>
      </c>
      <c r="H8" s="181">
        <f>G8</f>
        <v>-24382.95</v>
      </c>
      <c r="I8" s="181">
        <f>-691.2*2</f>
        <v>-1382.4</v>
      </c>
      <c r="J8" s="9"/>
      <c r="K8" s="10"/>
      <c r="L8" s="9"/>
      <c r="M8" s="9"/>
      <c r="N8" s="9"/>
    </row>
    <row r="9" spans="1:14" x14ac:dyDescent="0.2">
      <c r="A9" s="9" t="s">
        <v>78</v>
      </c>
      <c r="B9" s="156">
        <v>400236.64</v>
      </c>
      <c r="C9" s="79">
        <f>B9/B10</f>
        <v>0.18550296782212108</v>
      </c>
      <c r="D9" s="9">
        <v>0.2</v>
      </c>
      <c r="E9" s="156">
        <f>B9*(1+D9)</f>
        <v>480283.96799999999</v>
      </c>
      <c r="F9" s="9">
        <f>E9/E10</f>
        <v>0.17371228915779996</v>
      </c>
      <c r="G9" s="80"/>
      <c r="H9" s="80"/>
      <c r="I9" s="9"/>
      <c r="J9" s="9"/>
      <c r="K9" s="9"/>
      <c r="L9" s="9"/>
      <c r="M9" s="9"/>
      <c r="N9" s="9"/>
    </row>
    <row r="10" spans="1:14" x14ac:dyDescent="0.2">
      <c r="A10" s="9"/>
      <c r="B10" s="183">
        <f>SUM(B7:B9)</f>
        <v>2157575.4</v>
      </c>
      <c r="C10" s="9"/>
      <c r="D10" s="9"/>
      <c r="E10" s="183">
        <f>SUM(E7:E9)</f>
        <v>2764824.3559999997</v>
      </c>
      <c r="F10" s="9"/>
      <c r="G10" s="9"/>
      <c r="I10" s="79">
        <f>(E10-B10)/B10</f>
        <v>0.28144970321778778</v>
      </c>
      <c r="J10" s="75" t="s">
        <v>84</v>
      </c>
      <c r="K10" s="9"/>
      <c r="L10" s="9"/>
      <c r="M10" s="9"/>
      <c r="N10" s="9"/>
    </row>
  </sheetData>
  <pageMargins left="0.7" right="0.7" top="0.75" bottom="0.75" header="0.3" footer="0.3"/>
  <pageSetup scale="8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4:I64"/>
  <sheetViews>
    <sheetView view="pageBreakPreview" topLeftCell="A10" zoomScale="85" zoomScaleNormal="100" zoomScaleSheetLayoutView="85" workbookViewId="0">
      <selection activeCell="M24" sqref="M24"/>
    </sheetView>
  </sheetViews>
  <sheetFormatPr defaultColWidth="9.140625" defaultRowHeight="15" x14ac:dyDescent="0.25"/>
  <cols>
    <col min="1" max="1" width="32.7109375" style="1" bestFit="1" customWidth="1"/>
    <col min="2" max="2" width="33.85546875" style="1" customWidth="1"/>
    <col min="3" max="3" width="26.5703125" style="1" customWidth="1"/>
    <col min="4" max="4" width="21.140625" style="1" customWidth="1"/>
    <col min="5" max="6" width="9.140625" style="1"/>
    <col min="7" max="7" width="11.42578125" style="1" customWidth="1"/>
    <col min="8" max="8" width="13.42578125" style="1" customWidth="1"/>
    <col min="9" max="16384" width="9.140625" style="1"/>
  </cols>
  <sheetData>
    <row r="4" spans="1:8" x14ac:dyDescent="0.25">
      <c r="B4" s="2" t="s">
        <v>34</v>
      </c>
    </row>
    <row r="5" spans="1:8" x14ac:dyDescent="0.25">
      <c r="C5" s="2" t="s">
        <v>71</v>
      </c>
    </row>
    <row r="7" spans="1:8" x14ac:dyDescent="0.25">
      <c r="A7" s="3" t="s">
        <v>0</v>
      </c>
      <c r="B7" s="3" t="s">
        <v>1</v>
      </c>
      <c r="C7" s="2" t="s">
        <v>38</v>
      </c>
    </row>
    <row r="8" spans="1:8" x14ac:dyDescent="0.25">
      <c r="A8" s="1" t="s">
        <v>15</v>
      </c>
      <c r="B8" s="4">
        <v>470951</v>
      </c>
      <c r="C8" s="4">
        <f>B8*0.803737860851596</f>
        <v>378521.14930592</v>
      </c>
      <c r="H8" s="28"/>
    </row>
    <row r="9" spans="1:8" x14ac:dyDescent="0.25">
      <c r="A9" s="1" t="s">
        <v>11</v>
      </c>
      <c r="B9" s="4">
        <v>134557</v>
      </c>
      <c r="C9" s="4">
        <f t="shared" ref="C9:C22" si="0">B9*0.803737860851596</f>
        <v>108148.5553426082</v>
      </c>
    </row>
    <row r="10" spans="1:8" x14ac:dyDescent="0.25">
      <c r="A10" s="1" t="s">
        <v>12</v>
      </c>
      <c r="B10" s="4">
        <f>2691.14+134.56</f>
        <v>2825.7</v>
      </c>
      <c r="C10" s="4">
        <f t="shared" si="0"/>
        <v>2271.1220734083549</v>
      </c>
    </row>
    <row r="11" spans="1:8" x14ac:dyDescent="0.25">
      <c r="A11" s="1" t="s">
        <v>13</v>
      </c>
      <c r="B11" s="4">
        <v>89705</v>
      </c>
      <c r="C11" s="4">
        <f t="shared" si="0"/>
        <v>72099.304807692417</v>
      </c>
    </row>
    <row r="12" spans="1:8" x14ac:dyDescent="0.25">
      <c r="A12" s="1" t="s">
        <v>31</v>
      </c>
      <c r="B12" s="4">
        <v>717640</v>
      </c>
      <c r="C12" s="4">
        <f t="shared" si="0"/>
        <v>576794.43846153934</v>
      </c>
    </row>
    <row r="13" spans="1:8" x14ac:dyDescent="0.25">
      <c r="A13" s="30" t="s">
        <v>10</v>
      </c>
      <c r="B13" s="29">
        <v>-3114</v>
      </c>
      <c r="C13" s="4">
        <f t="shared" si="0"/>
        <v>-2502.8396986918701</v>
      </c>
    </row>
    <row r="14" spans="1:8" x14ac:dyDescent="0.25">
      <c r="A14" s="1" t="s">
        <v>14</v>
      </c>
      <c r="B14" s="4">
        <f>14290.52+714.53</f>
        <v>15005.050000000001</v>
      </c>
      <c r="C14" s="4">
        <f t="shared" si="0"/>
        <v>12060.126788971242</v>
      </c>
    </row>
    <row r="15" spans="1:8" x14ac:dyDescent="0.25">
      <c r="A15" s="1" t="s">
        <v>19</v>
      </c>
      <c r="B15" s="4">
        <v>270195.75</v>
      </c>
      <c r="C15" s="4">
        <f t="shared" si="0"/>
        <v>217166.55411619262</v>
      </c>
    </row>
    <row r="16" spans="1:8" x14ac:dyDescent="0.25">
      <c r="A16" s="1" t="s">
        <v>20</v>
      </c>
      <c r="B16" s="4">
        <f>5403.92+270.2</f>
        <v>5674.12</v>
      </c>
      <c r="C16" s="4">
        <f t="shared" si="0"/>
        <v>4560.5050710152582</v>
      </c>
    </row>
    <row r="17" spans="1:9" x14ac:dyDescent="0.25">
      <c r="A17" s="1" t="s">
        <v>21</v>
      </c>
      <c r="B17" s="4">
        <v>30000</v>
      </c>
      <c r="C17" s="4">
        <f t="shared" si="0"/>
        <v>24112.135825547881</v>
      </c>
      <c r="I17" s="21"/>
    </row>
    <row r="18" spans="1:9" x14ac:dyDescent="0.25">
      <c r="A18" s="1" t="s">
        <v>22</v>
      </c>
      <c r="B18" s="4">
        <f>600+30</f>
        <v>630</v>
      </c>
      <c r="C18" s="4">
        <f t="shared" si="0"/>
        <v>506.35485233650553</v>
      </c>
    </row>
    <row r="19" spans="1:9" x14ac:dyDescent="0.25">
      <c r="A19" s="1" t="s">
        <v>23</v>
      </c>
      <c r="B19" s="4">
        <v>90065.3</v>
      </c>
      <c r="C19" s="4">
        <f t="shared" si="0"/>
        <v>72388.891558957257</v>
      </c>
    </row>
    <row r="20" spans="1:9" x14ac:dyDescent="0.25">
      <c r="A20" s="1" t="s">
        <v>18</v>
      </c>
      <c r="B20" s="4">
        <f>1801.31+90.07</f>
        <v>1891.3799999999999</v>
      </c>
      <c r="C20" s="4">
        <f t="shared" si="0"/>
        <v>1520.1737152574917</v>
      </c>
    </row>
    <row r="21" spans="1:9" x14ac:dyDescent="0.25">
      <c r="A21" s="1" t="s">
        <v>23</v>
      </c>
      <c r="B21" s="4">
        <v>13375</v>
      </c>
      <c r="C21" s="4">
        <f t="shared" si="0"/>
        <v>10749.993888890098</v>
      </c>
    </row>
    <row r="22" spans="1:9" x14ac:dyDescent="0.25">
      <c r="A22" s="1" t="s">
        <v>18</v>
      </c>
      <c r="B22" s="4">
        <f>267.5+13.38</f>
        <v>280.88</v>
      </c>
      <c r="C22" s="4">
        <f t="shared" si="0"/>
        <v>225.7538903559963</v>
      </c>
    </row>
    <row r="23" spans="1:9" x14ac:dyDescent="0.25">
      <c r="C23" s="5"/>
      <c r="D23" s="27">
        <f>SUM(C8:C22)</f>
        <v>1478622.2200000011</v>
      </c>
    </row>
    <row r="25" spans="1:9" ht="15.75" thickBot="1" x14ac:dyDescent="0.3">
      <c r="A25" s="6" t="s">
        <v>16</v>
      </c>
      <c r="B25" s="7">
        <f>SUM(B8:B24)</f>
        <v>1839682.18</v>
      </c>
      <c r="C25" s="31" t="s">
        <v>43</v>
      </c>
      <c r="D25" s="29">
        <v>0</v>
      </c>
    </row>
    <row r="26" spans="1:9" ht="15.75" thickTop="1" x14ac:dyDescent="0.25">
      <c r="A26" s="6"/>
      <c r="B26" s="77"/>
      <c r="C26" s="30" t="s">
        <v>212</v>
      </c>
      <c r="D26" s="29">
        <v>500.56793970452014</v>
      </c>
    </row>
    <row r="27" spans="1:9" x14ac:dyDescent="0.25">
      <c r="A27" s="6"/>
      <c r="B27" s="77"/>
      <c r="C27" s="31"/>
      <c r="D27" s="29"/>
    </row>
    <row r="29" spans="1:9" ht="15.75" thickBot="1" x14ac:dyDescent="0.3">
      <c r="A29" s="20">
        <v>43451</v>
      </c>
      <c r="B29" s="7">
        <v>1839682.18</v>
      </c>
      <c r="D29" s="157">
        <f>D23-D25-D26-D27</f>
        <v>1478121.6520602966</v>
      </c>
      <c r="E29" s="2" t="s">
        <v>44</v>
      </c>
    </row>
    <row r="30" spans="1:9" ht="15.75" thickTop="1" x14ac:dyDescent="0.25"/>
    <row r="31" spans="1:9" x14ac:dyDescent="0.25">
      <c r="A31" s="6" t="s">
        <v>17</v>
      </c>
      <c r="B31" s="8">
        <f>+B25-B29</f>
        <v>0</v>
      </c>
      <c r="C31" s="26" t="s">
        <v>35</v>
      </c>
    </row>
    <row r="37" spans="1:3" x14ac:dyDescent="0.25">
      <c r="B37" s="2" t="s">
        <v>34</v>
      </c>
    </row>
    <row r="38" spans="1:3" x14ac:dyDescent="0.25">
      <c r="C38" s="2" t="s">
        <v>72</v>
      </c>
    </row>
    <row r="40" spans="1:3" x14ac:dyDescent="0.25">
      <c r="A40" s="3" t="s">
        <v>0</v>
      </c>
      <c r="B40" s="3" t="s">
        <v>1</v>
      </c>
      <c r="C40" s="2" t="s">
        <v>38</v>
      </c>
    </row>
    <row r="41" spans="1:3" x14ac:dyDescent="0.25">
      <c r="A41" s="1" t="s">
        <v>15</v>
      </c>
      <c r="B41" s="4">
        <v>470951</v>
      </c>
      <c r="C41" s="4">
        <f>B41*0.803737860851596</f>
        <v>378521.14930592</v>
      </c>
    </row>
    <row r="42" spans="1:3" x14ac:dyDescent="0.25">
      <c r="A42" s="1" t="s">
        <v>11</v>
      </c>
      <c r="B42" s="4">
        <v>134557</v>
      </c>
      <c r="C42" s="4">
        <f t="shared" ref="C42:C55" si="1">B42*0.803737860851596</f>
        <v>108148.5553426082</v>
      </c>
    </row>
    <row r="43" spans="1:3" x14ac:dyDescent="0.25">
      <c r="A43" s="1" t="s">
        <v>12</v>
      </c>
      <c r="B43" s="4">
        <f>2691.14+134.56</f>
        <v>2825.7</v>
      </c>
      <c r="C43" s="4">
        <f t="shared" si="1"/>
        <v>2271.1220734083549</v>
      </c>
    </row>
    <row r="44" spans="1:3" x14ac:dyDescent="0.25">
      <c r="A44" s="1" t="s">
        <v>13</v>
      </c>
      <c r="B44" s="4">
        <v>89705</v>
      </c>
      <c r="C44" s="4">
        <f t="shared" si="1"/>
        <v>72099.304807692417</v>
      </c>
    </row>
    <row r="45" spans="1:3" x14ac:dyDescent="0.25">
      <c r="A45" s="1" t="s">
        <v>31</v>
      </c>
      <c r="B45" s="4">
        <v>717640</v>
      </c>
      <c r="C45" s="4">
        <f t="shared" si="1"/>
        <v>576794.43846153934</v>
      </c>
    </row>
    <row r="46" spans="1:3" x14ac:dyDescent="0.25">
      <c r="A46" s="30" t="s">
        <v>10</v>
      </c>
      <c r="B46" s="29">
        <v>0</v>
      </c>
      <c r="C46" s="4">
        <f t="shared" si="1"/>
        <v>0</v>
      </c>
    </row>
    <row r="47" spans="1:3" x14ac:dyDescent="0.25">
      <c r="A47" s="1" t="s">
        <v>14</v>
      </c>
      <c r="B47" s="4">
        <f>14290.52+714.53</f>
        <v>15005.050000000001</v>
      </c>
      <c r="C47" s="4">
        <f t="shared" si="1"/>
        <v>12060.126788971242</v>
      </c>
    </row>
    <row r="48" spans="1:3" x14ac:dyDescent="0.25">
      <c r="A48" s="1" t="s">
        <v>19</v>
      </c>
      <c r="B48" s="4">
        <v>270195.75</v>
      </c>
      <c r="C48" s="4">
        <f t="shared" si="1"/>
        <v>217166.55411619262</v>
      </c>
    </row>
    <row r="49" spans="1:5" x14ac:dyDescent="0.25">
      <c r="A49" s="1" t="s">
        <v>20</v>
      </c>
      <c r="B49" s="4">
        <f>5403.92+270.2</f>
        <v>5674.12</v>
      </c>
      <c r="C49" s="4">
        <f t="shared" si="1"/>
        <v>4560.5050710152582</v>
      </c>
    </row>
    <row r="50" spans="1:5" x14ac:dyDescent="0.25">
      <c r="A50" s="1" t="s">
        <v>21</v>
      </c>
      <c r="B50" s="4">
        <v>30000</v>
      </c>
      <c r="C50" s="4">
        <f t="shared" si="1"/>
        <v>24112.135825547881</v>
      </c>
    </row>
    <row r="51" spans="1:5" x14ac:dyDescent="0.25">
      <c r="A51" s="1" t="s">
        <v>22</v>
      </c>
      <c r="B51" s="4">
        <f>600+30</f>
        <v>630</v>
      </c>
      <c r="C51" s="4">
        <f t="shared" si="1"/>
        <v>506.35485233650553</v>
      </c>
    </row>
    <row r="52" spans="1:5" x14ac:dyDescent="0.25">
      <c r="A52" s="1" t="s">
        <v>23</v>
      </c>
      <c r="B52" s="4">
        <v>90065.3</v>
      </c>
      <c r="C52" s="4">
        <f t="shared" si="1"/>
        <v>72388.891558957257</v>
      </c>
    </row>
    <row r="53" spans="1:5" x14ac:dyDescent="0.25">
      <c r="A53" s="1" t="s">
        <v>18</v>
      </c>
      <c r="B53" s="4">
        <f>1801.31+90.07</f>
        <v>1891.3799999999999</v>
      </c>
      <c r="C53" s="4">
        <f t="shared" si="1"/>
        <v>1520.1737152574917</v>
      </c>
    </row>
    <row r="54" spans="1:5" x14ac:dyDescent="0.25">
      <c r="A54" s="1" t="s">
        <v>23</v>
      </c>
      <c r="B54" s="4">
        <v>13375</v>
      </c>
      <c r="C54" s="4">
        <f t="shared" si="1"/>
        <v>10749.993888890098</v>
      </c>
    </row>
    <row r="55" spans="1:5" x14ac:dyDescent="0.25">
      <c r="A55" s="1" t="s">
        <v>18</v>
      </c>
      <c r="B55" s="4">
        <f>267.5+13.38</f>
        <v>280.88</v>
      </c>
      <c r="C55" s="4">
        <f t="shared" si="1"/>
        <v>225.7538903559963</v>
      </c>
    </row>
    <row r="56" spans="1:5" x14ac:dyDescent="0.25">
      <c r="C56" s="5"/>
      <c r="D56" s="27">
        <f>SUM(C41:C55)</f>
        <v>1481125.059698693</v>
      </c>
    </row>
    <row r="58" spans="1:5" ht="15.75" thickBot="1" x14ac:dyDescent="0.3">
      <c r="A58" s="6" t="s">
        <v>16</v>
      </c>
      <c r="B58" s="7">
        <f>SUM(B41:B57)</f>
        <v>1842796.18</v>
      </c>
      <c r="C58" s="31" t="s">
        <v>43</v>
      </c>
      <c r="D58" s="29">
        <v>0</v>
      </c>
    </row>
    <row r="59" spans="1:5" ht="15.75" thickTop="1" x14ac:dyDescent="0.25">
      <c r="A59" s="6"/>
      <c r="B59" s="77"/>
      <c r="C59" s="30" t="s">
        <v>212</v>
      </c>
      <c r="D59" s="29">
        <v>0</v>
      </c>
    </row>
    <row r="60" spans="1:5" x14ac:dyDescent="0.25">
      <c r="A60" s="6"/>
      <c r="B60" s="77"/>
      <c r="C60" s="31" t="s">
        <v>208</v>
      </c>
      <c r="D60" s="29">
        <v>0</v>
      </c>
    </row>
    <row r="62" spans="1:5" ht="15.75" thickBot="1" x14ac:dyDescent="0.3">
      <c r="A62" s="20"/>
      <c r="B62" s="77"/>
      <c r="D62" s="18">
        <f>D56-D58-D59-D60</f>
        <v>1481125.059698693</v>
      </c>
      <c r="E62" s="2" t="s">
        <v>44</v>
      </c>
    </row>
    <row r="63" spans="1:5" ht="15.75" thickTop="1" x14ac:dyDescent="0.25"/>
    <row r="64" spans="1:5" x14ac:dyDescent="0.25">
      <c r="A64" s="6"/>
      <c r="B64" s="8"/>
      <c r="C64" s="26"/>
    </row>
  </sheetData>
  <pageMargins left="0.7" right="0.7" top="0.75" bottom="0.7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I62"/>
  <sheetViews>
    <sheetView workbookViewId="0">
      <selection activeCell="D29" sqref="D29"/>
    </sheetView>
  </sheetViews>
  <sheetFormatPr defaultColWidth="9.140625" defaultRowHeight="15" x14ac:dyDescent="0.25"/>
  <cols>
    <col min="1" max="1" width="32.7109375" style="1" bestFit="1" customWidth="1"/>
    <col min="2" max="2" width="12.7109375" style="1" bestFit="1" customWidth="1"/>
    <col min="3" max="3" width="38.42578125" style="1" customWidth="1"/>
    <col min="4" max="4" width="40" style="1" customWidth="1"/>
    <col min="5" max="6" width="9.140625" style="1"/>
    <col min="7" max="7" width="11.42578125" style="1" customWidth="1"/>
    <col min="8" max="8" width="18.42578125" style="1" bestFit="1" customWidth="1"/>
    <col min="9" max="16384" width="9.140625" style="1"/>
  </cols>
  <sheetData>
    <row r="4" spans="1:8" x14ac:dyDescent="0.25">
      <c r="B4" s="2" t="s">
        <v>33</v>
      </c>
    </row>
    <row r="5" spans="1:8" x14ac:dyDescent="0.25">
      <c r="C5" s="2" t="s">
        <v>73</v>
      </c>
    </row>
    <row r="7" spans="1:8" x14ac:dyDescent="0.25">
      <c r="A7" s="3" t="s">
        <v>0</v>
      </c>
      <c r="B7" s="3" t="s">
        <v>1</v>
      </c>
      <c r="C7" s="2" t="s">
        <v>37</v>
      </c>
    </row>
    <row r="8" spans="1:8" x14ac:dyDescent="0.25">
      <c r="A8" s="1" t="s">
        <v>15</v>
      </c>
      <c r="B8" s="4">
        <v>433633</v>
      </c>
      <c r="C8" s="4">
        <f>B8*0.795523609286788</f>
        <v>344965.28926585772</v>
      </c>
      <c r="H8" s="28"/>
    </row>
    <row r="9" spans="1:8" x14ac:dyDescent="0.25">
      <c r="A9" s="1" t="s">
        <v>11</v>
      </c>
      <c r="B9" s="4">
        <v>123146</v>
      </c>
      <c r="C9" s="4">
        <f t="shared" ref="C9:C24" si="0">B9*0.795523609286788</f>
        <v>97965.55038923079</v>
      </c>
    </row>
    <row r="10" spans="1:8" x14ac:dyDescent="0.25">
      <c r="A10" s="1" t="s">
        <v>12</v>
      </c>
      <c r="B10" s="4">
        <f>2462.92+123.15</f>
        <v>2586.0700000000002</v>
      </c>
      <c r="C10" s="4">
        <f t="shared" si="0"/>
        <v>2057.2797402682841</v>
      </c>
    </row>
    <row r="11" spans="1:8" x14ac:dyDescent="0.25">
      <c r="A11" s="1" t="s">
        <v>13</v>
      </c>
      <c r="B11" s="4">
        <v>82097</v>
      </c>
      <c r="C11" s="4">
        <f t="shared" si="0"/>
        <v>65310.101751617432</v>
      </c>
    </row>
    <row r="12" spans="1:8" x14ac:dyDescent="0.25">
      <c r="A12" s="1" t="s">
        <v>31</v>
      </c>
      <c r="B12" s="4">
        <v>656779</v>
      </c>
      <c r="C12" s="4">
        <f t="shared" si="0"/>
        <v>522483.20058376732</v>
      </c>
    </row>
    <row r="13" spans="1:8" x14ac:dyDescent="0.25">
      <c r="A13" s="30" t="s">
        <v>10</v>
      </c>
      <c r="B13" s="29">
        <v>-1267</v>
      </c>
      <c r="C13" s="4">
        <f t="shared" si="0"/>
        <v>-1007.9284129663604</v>
      </c>
    </row>
    <row r="14" spans="1:8" x14ac:dyDescent="0.25">
      <c r="A14" s="1" t="s">
        <v>14</v>
      </c>
      <c r="B14" s="4">
        <f>13110.24+655.52</f>
        <v>13765.76</v>
      </c>
      <c r="C14" s="4">
        <f t="shared" si="0"/>
        <v>10950.987079775696</v>
      </c>
    </row>
    <row r="15" spans="1:8" x14ac:dyDescent="0.25">
      <c r="A15" s="1" t="s">
        <v>19</v>
      </c>
      <c r="B15" s="4">
        <v>163695</v>
      </c>
      <c r="C15" s="4">
        <f t="shared" si="0"/>
        <v>130223.23722220077</v>
      </c>
    </row>
    <row r="16" spans="1:8" x14ac:dyDescent="0.25">
      <c r="A16" s="1" t="s">
        <v>20</v>
      </c>
      <c r="B16" s="4">
        <f>3273.9+163.7</f>
        <v>3437.6</v>
      </c>
      <c r="C16" s="4">
        <f t="shared" si="0"/>
        <v>2734.6919592842623</v>
      </c>
    </row>
    <row r="17" spans="1:9" x14ac:dyDescent="0.25">
      <c r="A17" s="1" t="s">
        <v>21</v>
      </c>
      <c r="B17" s="4">
        <v>37125</v>
      </c>
      <c r="C17" s="4">
        <f t="shared" si="0"/>
        <v>29533.813994772005</v>
      </c>
      <c r="I17" s="21"/>
    </row>
    <row r="18" spans="1:9" x14ac:dyDescent="0.25">
      <c r="A18" s="1" t="s">
        <v>22</v>
      </c>
      <c r="B18" s="4">
        <f>742.5+37.13</f>
        <v>779.63</v>
      </c>
      <c r="C18" s="4">
        <f t="shared" si="0"/>
        <v>620.21407150825848</v>
      </c>
    </row>
    <row r="19" spans="1:9" x14ac:dyDescent="0.25">
      <c r="A19" s="1" t="s">
        <v>23</v>
      </c>
      <c r="B19" s="4">
        <v>17955</v>
      </c>
      <c r="C19" s="4">
        <f t="shared" si="0"/>
        <v>14283.626404744278</v>
      </c>
    </row>
    <row r="20" spans="1:9" x14ac:dyDescent="0.25">
      <c r="A20" s="1" t="s">
        <v>18</v>
      </c>
      <c r="B20" s="4">
        <f>359.1+17.96</f>
        <v>377.06</v>
      </c>
      <c r="C20" s="4">
        <f t="shared" si="0"/>
        <v>299.96013211767627</v>
      </c>
    </row>
    <row r="21" spans="1:9" x14ac:dyDescent="0.25">
      <c r="A21" s="1" t="s">
        <v>23</v>
      </c>
      <c r="B21" s="4">
        <v>35775</v>
      </c>
      <c r="C21" s="4">
        <f t="shared" si="0"/>
        <v>28459.85712223484</v>
      </c>
    </row>
    <row r="22" spans="1:9" x14ac:dyDescent="0.25">
      <c r="A22" s="1" t="s">
        <v>18</v>
      </c>
      <c r="B22" s="4">
        <f>715.5+35.78</f>
        <v>751.28</v>
      </c>
      <c r="C22" s="4">
        <f t="shared" si="0"/>
        <v>597.66097718497804</v>
      </c>
    </row>
    <row r="23" spans="1:9" x14ac:dyDescent="0.25">
      <c r="A23" s="1" t="s">
        <v>21</v>
      </c>
      <c r="B23" s="4">
        <v>123750</v>
      </c>
      <c r="C23" s="4">
        <f t="shared" si="0"/>
        <v>98446.046649240016</v>
      </c>
    </row>
    <row r="24" spans="1:9" x14ac:dyDescent="0.25">
      <c r="A24" s="1" t="s">
        <v>24</v>
      </c>
      <c r="B24" s="4">
        <f>2475+123.75</f>
        <v>2598.75</v>
      </c>
      <c r="C24" s="4">
        <f t="shared" si="0"/>
        <v>2067.3669796340405</v>
      </c>
    </row>
    <row r="25" spans="1:9" x14ac:dyDescent="0.25">
      <c r="C25" s="5"/>
      <c r="D25" s="27">
        <f>SUM(C8:C24)</f>
        <v>1349990.9559104722</v>
      </c>
    </row>
    <row r="27" spans="1:9" ht="15.75" thickBot="1" x14ac:dyDescent="0.3">
      <c r="A27" s="6" t="s">
        <v>16</v>
      </c>
      <c r="B27" s="7">
        <f>SUM(B8:B26)</f>
        <v>1696984.15</v>
      </c>
      <c r="C27" s="31" t="s">
        <v>36</v>
      </c>
      <c r="D27" s="4">
        <v>0</v>
      </c>
    </row>
    <row r="28" spans="1:9" ht="15.75" thickTop="1" x14ac:dyDescent="0.25"/>
    <row r="29" spans="1:9" ht="15.75" thickBot="1" x14ac:dyDescent="0.3">
      <c r="A29" s="20">
        <v>43083</v>
      </c>
      <c r="B29" s="7">
        <v>1696984.13</v>
      </c>
      <c r="D29" s="18">
        <f>D25-D27</f>
        <v>1349990.9559104722</v>
      </c>
      <c r="E29" s="2" t="s">
        <v>45</v>
      </c>
    </row>
    <row r="30" spans="1:9" ht="15.75" thickTop="1" x14ac:dyDescent="0.25"/>
    <row r="31" spans="1:9" x14ac:dyDescent="0.25">
      <c r="A31" s="6" t="s">
        <v>17</v>
      </c>
      <c r="B31" s="8">
        <f>+B27-B29</f>
        <v>2.0000000018626451E-2</v>
      </c>
      <c r="C31" s="26" t="s">
        <v>35</v>
      </c>
    </row>
    <row r="35" spans="1:3" x14ac:dyDescent="0.25">
      <c r="B35" s="2" t="s">
        <v>33</v>
      </c>
    </row>
    <row r="36" spans="1:3" x14ac:dyDescent="0.25">
      <c r="C36" s="2" t="s">
        <v>74</v>
      </c>
    </row>
    <row r="38" spans="1:3" x14ac:dyDescent="0.25">
      <c r="A38" s="3" t="s">
        <v>0</v>
      </c>
      <c r="B38" s="3" t="s">
        <v>1</v>
      </c>
      <c r="C38" s="2" t="s">
        <v>37</v>
      </c>
    </row>
    <row r="39" spans="1:3" x14ac:dyDescent="0.25">
      <c r="A39" s="1" t="s">
        <v>15</v>
      </c>
      <c r="B39" s="4">
        <v>433633</v>
      </c>
      <c r="C39" s="4">
        <f>B39*0.795523609286788</f>
        <v>344965.28926585772</v>
      </c>
    </row>
    <row r="40" spans="1:3" x14ac:dyDescent="0.25">
      <c r="A40" s="1" t="s">
        <v>11</v>
      </c>
      <c r="B40" s="4">
        <v>123146</v>
      </c>
      <c r="C40" s="4">
        <f t="shared" ref="C40:C55" si="1">B40*0.795523609286788</f>
        <v>97965.55038923079</v>
      </c>
    </row>
    <row r="41" spans="1:3" x14ac:dyDescent="0.25">
      <c r="A41" s="1" t="s">
        <v>12</v>
      </c>
      <c r="B41" s="4">
        <f>2462.92+123.15</f>
        <v>2586.0700000000002</v>
      </c>
      <c r="C41" s="4">
        <f t="shared" si="1"/>
        <v>2057.2797402682841</v>
      </c>
    </row>
    <row r="42" spans="1:3" x14ac:dyDescent="0.25">
      <c r="A42" s="1" t="s">
        <v>13</v>
      </c>
      <c r="B42" s="4">
        <v>82097</v>
      </c>
      <c r="C42" s="4">
        <f t="shared" si="1"/>
        <v>65310.101751617432</v>
      </c>
    </row>
    <row r="43" spans="1:3" x14ac:dyDescent="0.25">
      <c r="A43" s="1" t="s">
        <v>31</v>
      </c>
      <c r="B43" s="4">
        <v>656779</v>
      </c>
      <c r="C43" s="4">
        <f t="shared" si="1"/>
        <v>522483.20058376732</v>
      </c>
    </row>
    <row r="44" spans="1:3" x14ac:dyDescent="0.25">
      <c r="A44" s="30" t="s">
        <v>10</v>
      </c>
      <c r="B44" s="29">
        <v>0</v>
      </c>
      <c r="C44" s="4">
        <f t="shared" si="1"/>
        <v>0</v>
      </c>
    </row>
    <row r="45" spans="1:3" x14ac:dyDescent="0.25">
      <c r="A45" s="1" t="s">
        <v>14</v>
      </c>
      <c r="B45" s="4">
        <f>13110.24+655.52</f>
        <v>13765.76</v>
      </c>
      <c r="C45" s="4">
        <f t="shared" si="1"/>
        <v>10950.987079775696</v>
      </c>
    </row>
    <row r="46" spans="1:3" x14ac:dyDescent="0.25">
      <c r="A46" s="1" t="s">
        <v>19</v>
      </c>
      <c r="B46" s="4">
        <v>163695</v>
      </c>
      <c r="C46" s="4">
        <f t="shared" si="1"/>
        <v>130223.23722220077</v>
      </c>
    </row>
    <row r="47" spans="1:3" x14ac:dyDescent="0.25">
      <c r="A47" s="1" t="s">
        <v>20</v>
      </c>
      <c r="B47" s="4">
        <f>3273.9+163.7</f>
        <v>3437.6</v>
      </c>
      <c r="C47" s="4">
        <f t="shared" si="1"/>
        <v>2734.6919592842623</v>
      </c>
    </row>
    <row r="48" spans="1:3" x14ac:dyDescent="0.25">
      <c r="A48" s="1" t="s">
        <v>21</v>
      </c>
      <c r="B48" s="4">
        <v>37125</v>
      </c>
      <c r="C48" s="4">
        <f t="shared" si="1"/>
        <v>29533.813994772005</v>
      </c>
    </row>
    <row r="49" spans="1:5" x14ac:dyDescent="0.25">
      <c r="A49" s="1" t="s">
        <v>22</v>
      </c>
      <c r="B49" s="4">
        <f>742.5+37.13</f>
        <v>779.63</v>
      </c>
      <c r="C49" s="4">
        <f t="shared" si="1"/>
        <v>620.21407150825848</v>
      </c>
    </row>
    <row r="50" spans="1:5" x14ac:dyDescent="0.25">
      <c r="A50" s="1" t="s">
        <v>23</v>
      </c>
      <c r="B50" s="4">
        <v>17955</v>
      </c>
      <c r="C50" s="4">
        <f t="shared" si="1"/>
        <v>14283.626404744278</v>
      </c>
    </row>
    <row r="51" spans="1:5" x14ac:dyDescent="0.25">
      <c r="A51" s="1" t="s">
        <v>18</v>
      </c>
      <c r="B51" s="4">
        <f>359.1+17.96</f>
        <v>377.06</v>
      </c>
      <c r="C51" s="4">
        <f t="shared" si="1"/>
        <v>299.96013211767627</v>
      </c>
    </row>
    <row r="52" spans="1:5" x14ac:dyDescent="0.25">
      <c r="A52" s="1" t="s">
        <v>23</v>
      </c>
      <c r="B52" s="4">
        <v>35775</v>
      </c>
      <c r="C52" s="4">
        <f t="shared" si="1"/>
        <v>28459.85712223484</v>
      </c>
    </row>
    <row r="53" spans="1:5" x14ac:dyDescent="0.25">
      <c r="A53" s="1" t="s">
        <v>18</v>
      </c>
      <c r="B53" s="4">
        <f>715.5+35.78</f>
        <v>751.28</v>
      </c>
      <c r="C53" s="4">
        <f t="shared" si="1"/>
        <v>597.66097718497804</v>
      </c>
    </row>
    <row r="54" spans="1:5" x14ac:dyDescent="0.25">
      <c r="A54" s="1" t="s">
        <v>21</v>
      </c>
      <c r="B54" s="4">
        <v>123750</v>
      </c>
      <c r="C54" s="4">
        <f t="shared" si="1"/>
        <v>98446.046649240016</v>
      </c>
    </row>
    <row r="55" spans="1:5" x14ac:dyDescent="0.25">
      <c r="A55" s="1" t="s">
        <v>24</v>
      </c>
      <c r="B55" s="4">
        <f>2475+123.75</f>
        <v>2598.75</v>
      </c>
      <c r="C55" s="4">
        <f t="shared" si="1"/>
        <v>2067.3669796340405</v>
      </c>
    </row>
    <row r="56" spans="1:5" x14ac:dyDescent="0.25">
      <c r="C56" s="5"/>
      <c r="D56" s="27">
        <f>SUM(C39:C55)</f>
        <v>1350998.8843234384</v>
      </c>
    </row>
    <row r="58" spans="1:5" ht="15.75" thickBot="1" x14ac:dyDescent="0.3">
      <c r="A58" s="6" t="s">
        <v>16</v>
      </c>
      <c r="B58" s="7">
        <f>SUM(B39:B57)</f>
        <v>1698251.15</v>
      </c>
      <c r="C58" s="31" t="s">
        <v>36</v>
      </c>
      <c r="D58" s="4">
        <v>0</v>
      </c>
    </row>
    <row r="59" spans="1:5" ht="15.75" thickTop="1" x14ac:dyDescent="0.25"/>
    <row r="60" spans="1:5" ht="15.75" thickBot="1" x14ac:dyDescent="0.3">
      <c r="A60" s="20"/>
      <c r="B60" s="7"/>
      <c r="D60" s="18">
        <f>D56-D58</f>
        <v>1350998.8843234384</v>
      </c>
      <c r="E60" s="2" t="s">
        <v>45</v>
      </c>
    </row>
    <row r="61" spans="1:5" ht="15.75" thickTop="1" x14ac:dyDescent="0.25"/>
    <row r="62" spans="1:5" x14ac:dyDescent="0.25">
      <c r="A62" s="6"/>
      <c r="B62" s="8"/>
      <c r="C62" s="26"/>
    </row>
  </sheetData>
  <pageMargins left="0.7" right="0.7" top="0.75" bottom="0.75" header="0.3" footer="0.3"/>
  <pageSetup scale="5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B1:O42"/>
  <sheetViews>
    <sheetView topLeftCell="A6" zoomScale="85" zoomScaleNormal="85" workbookViewId="0">
      <selection activeCell="M24" sqref="M24"/>
    </sheetView>
  </sheetViews>
  <sheetFormatPr defaultColWidth="9.140625" defaultRowHeight="12.75" x14ac:dyDescent="0.2"/>
  <cols>
    <col min="1" max="1" width="1.85546875" style="9" customWidth="1"/>
    <col min="2" max="2" width="9.140625" style="9" hidden="1" customWidth="1"/>
    <col min="3" max="3" width="35.85546875" style="9" bestFit="1" customWidth="1"/>
    <col min="4" max="4" width="10.140625" style="9" bestFit="1" customWidth="1"/>
    <col min="5" max="6" width="11.42578125" style="9" customWidth="1"/>
    <col min="7" max="7" width="12.7109375" style="9" customWidth="1"/>
    <col min="8" max="9" width="12.140625" style="9" customWidth="1"/>
    <col min="10" max="11" width="11.5703125" style="9" customWidth="1"/>
    <col min="12" max="12" width="13.28515625" style="9" customWidth="1"/>
    <col min="13" max="13" width="13.140625" style="9" customWidth="1"/>
    <col min="14" max="14" width="11.7109375" style="9" bestFit="1" customWidth="1"/>
    <col min="15" max="15" width="12.7109375" style="9" bestFit="1" customWidth="1"/>
    <col min="16" max="16384" width="9.140625" style="9"/>
  </cols>
  <sheetData>
    <row r="1" spans="3:15" hidden="1" x14ac:dyDescent="0.2"/>
    <row r="2" spans="3:15" hidden="1" x14ac:dyDescent="0.2"/>
    <row r="3" spans="3:15" hidden="1" x14ac:dyDescent="0.2"/>
    <row r="4" spans="3:15" hidden="1" x14ac:dyDescent="0.2"/>
    <row r="5" spans="3:15" hidden="1" x14ac:dyDescent="0.2"/>
    <row r="8" spans="3:15" ht="15" x14ac:dyDescent="0.25">
      <c r="C8" s="11"/>
      <c r="D8" s="233" t="s">
        <v>154</v>
      </c>
      <c r="E8" s="233"/>
      <c r="F8" s="233"/>
      <c r="G8" s="86"/>
      <c r="H8" s="81"/>
      <c r="I8" s="81"/>
      <c r="J8" s="37"/>
      <c r="K8" s="37"/>
      <c r="L8" s="82"/>
    </row>
    <row r="9" spans="3:15" ht="15" x14ac:dyDescent="0.25">
      <c r="C9" s="17"/>
      <c r="D9" s="234" t="s">
        <v>96</v>
      </c>
      <c r="E9" s="234"/>
      <c r="F9" s="234"/>
      <c r="G9" s="17"/>
      <c r="H9" s="17"/>
      <c r="I9" s="17"/>
      <c r="J9" s="17"/>
      <c r="K9" s="17"/>
    </row>
    <row r="10" spans="3:15" ht="60" x14ac:dyDescent="0.25">
      <c r="C10" s="12" t="s">
        <v>9</v>
      </c>
      <c r="D10" s="25" t="s">
        <v>150</v>
      </c>
      <c r="E10" s="13" t="s">
        <v>151</v>
      </c>
      <c r="F10" s="25" t="s">
        <v>152</v>
      </c>
      <c r="G10" s="25" t="s">
        <v>30</v>
      </c>
      <c r="H10" s="13" t="s">
        <v>25</v>
      </c>
      <c r="I10" s="13" t="s">
        <v>28</v>
      </c>
      <c r="J10" s="13" t="s">
        <v>26</v>
      </c>
      <c r="K10" s="13" t="s">
        <v>27</v>
      </c>
      <c r="L10" s="13" t="s">
        <v>157</v>
      </c>
      <c r="M10" s="13" t="s">
        <v>156</v>
      </c>
    </row>
    <row r="11" spans="3:15" x14ac:dyDescent="0.2">
      <c r="C11" s="11" t="s">
        <v>4</v>
      </c>
      <c r="D11" s="16">
        <v>2360000</v>
      </c>
      <c r="E11" s="162">
        <v>0.13</v>
      </c>
      <c r="F11" s="39">
        <f t="shared" ref="F11:F18" si="0">D11*(1+E11)</f>
        <v>2666799.9999999995</v>
      </c>
      <c r="G11" s="15">
        <v>0.15438715310109499</v>
      </c>
      <c r="H11" s="35">
        <f>+F11*G11</f>
        <v>411719.65989000007</v>
      </c>
      <c r="I11" s="15">
        <f>1-G11</f>
        <v>0.84561284689890504</v>
      </c>
      <c r="J11" s="15">
        <f>I11*0.005</f>
        <v>4.2280642344945255E-3</v>
      </c>
      <c r="K11" s="14">
        <f>+F11*J11</f>
        <v>11275.401700549999</v>
      </c>
      <c r="L11" s="15">
        <f>I11*0.995</f>
        <v>0.84138478266441052</v>
      </c>
      <c r="M11" s="164">
        <f>+F11*L11</f>
        <v>2243804.9384094495</v>
      </c>
      <c r="O11" s="79">
        <f>G11+J11+L11</f>
        <v>1</v>
      </c>
    </row>
    <row r="12" spans="3:15" x14ac:dyDescent="0.2">
      <c r="C12" s="11" t="s">
        <v>10</v>
      </c>
      <c r="D12" s="16">
        <v>-89372</v>
      </c>
      <c r="E12" s="161">
        <f>(F12-D12)/F12</f>
        <v>0.22559290164374779</v>
      </c>
      <c r="F12" s="16">
        <v>-115407</v>
      </c>
      <c r="G12" s="15">
        <v>0.15438715310109499</v>
      </c>
      <c r="H12" s="35">
        <f t="shared" ref="H12:H19" si="1">+F12*G12</f>
        <v>-17817.358177938069</v>
      </c>
      <c r="I12" s="15">
        <f t="shared" ref="I12:I19" si="2">1-G12</f>
        <v>0.84561284689890504</v>
      </c>
      <c r="J12" s="15">
        <f t="shared" ref="J12:J13" si="3">I12*0.005</f>
        <v>4.2280642344945255E-3</v>
      </c>
      <c r="K12" s="35">
        <f>+J12*F12</f>
        <v>-487.94820911030968</v>
      </c>
      <c r="L12" s="15">
        <f t="shared" ref="L12:L13" si="4">I12*0.995</f>
        <v>0.84138478266441052</v>
      </c>
      <c r="M12" s="192">
        <f t="shared" ref="M12:M19" si="5">L12*F12</f>
        <v>-97101.693612951625</v>
      </c>
      <c r="N12" s="10"/>
      <c r="O12" s="79">
        <f t="shared" ref="O12:O19" si="6">G12+J12+L12</f>
        <v>1</v>
      </c>
    </row>
    <row r="13" spans="3:15" x14ac:dyDescent="0.2">
      <c r="C13" s="11" t="s">
        <v>5</v>
      </c>
      <c r="D13" s="16">
        <f>45412.6+2270.7</f>
        <v>47683.299999999996</v>
      </c>
      <c r="E13" s="161">
        <v>0.13</v>
      </c>
      <c r="F13" s="39">
        <f t="shared" si="0"/>
        <v>53882.128999999994</v>
      </c>
      <c r="G13" s="15">
        <v>0.15432235387915</v>
      </c>
      <c r="H13" s="35">
        <f t="shared" si="1"/>
        <v>8315.2169793000103</v>
      </c>
      <c r="I13" s="15">
        <f t="shared" si="2"/>
        <v>0.84567764612084995</v>
      </c>
      <c r="J13" s="15">
        <f t="shared" si="3"/>
        <v>4.2283882306042497E-3</v>
      </c>
      <c r="K13" s="14">
        <f t="shared" ref="K13:K19" si="7">+F13*J13</f>
        <v>227.83456010349991</v>
      </c>
      <c r="L13" s="15">
        <f t="shared" si="4"/>
        <v>0.84144925789024572</v>
      </c>
      <c r="M13" s="164">
        <f t="shared" si="5"/>
        <v>45339.077460596483</v>
      </c>
      <c r="O13" s="79">
        <f t="shared" si="6"/>
        <v>1</v>
      </c>
    </row>
    <row r="14" spans="3:15" x14ac:dyDescent="0.2">
      <c r="C14" s="11" t="s">
        <v>207</v>
      </c>
      <c r="D14" s="16"/>
      <c r="E14" s="161"/>
      <c r="F14" s="160">
        <f>-15276.18*2</f>
        <v>-30552.36</v>
      </c>
      <c r="G14" s="15">
        <v>0.15432235387914983</v>
      </c>
      <c r="H14" s="35">
        <f t="shared" ref="H14" si="8">+F14*G14</f>
        <v>-4714.9121117631821</v>
      </c>
      <c r="I14" s="15">
        <f t="shared" ref="I14" si="9">1-G14</f>
        <v>0.84567764612085017</v>
      </c>
      <c r="J14" s="15">
        <f t="shared" ref="J14" si="10">I14*0.005</f>
        <v>4.2283882306042506E-3</v>
      </c>
      <c r="K14" s="14">
        <f t="shared" ref="K14" si="11">+F14*J14</f>
        <v>-129.18723944118409</v>
      </c>
      <c r="L14" s="15">
        <f t="shared" ref="L14" si="12">I14*0.995</f>
        <v>0.84144925789024594</v>
      </c>
      <c r="M14" s="164">
        <f t="shared" ref="M14" si="13">L14*F14</f>
        <v>-25708.260648795636</v>
      </c>
      <c r="O14" s="79">
        <f t="shared" si="6"/>
        <v>1</v>
      </c>
    </row>
    <row r="15" spans="3:15" x14ac:dyDescent="0.2">
      <c r="C15" s="11" t="s">
        <v>6</v>
      </c>
      <c r="D15" s="16">
        <v>789051</v>
      </c>
      <c r="E15" s="161">
        <v>0.1</v>
      </c>
      <c r="F15" s="39">
        <f t="shared" si="0"/>
        <v>867956.10000000009</v>
      </c>
      <c r="G15" s="15">
        <v>9.5999878334860483E-2</v>
      </c>
      <c r="H15" s="35">
        <f t="shared" si="1"/>
        <v>83323.680000000008</v>
      </c>
      <c r="I15" s="15">
        <f t="shared" si="2"/>
        <v>0.90400012166513954</v>
      </c>
      <c r="J15" s="15">
        <v>0</v>
      </c>
      <c r="K15" s="14">
        <f t="shared" si="7"/>
        <v>0</v>
      </c>
      <c r="L15" s="15">
        <f>I15</f>
        <v>0.90400012166513954</v>
      </c>
      <c r="M15" s="164">
        <f t="shared" si="5"/>
        <v>784632.42000000016</v>
      </c>
      <c r="O15" s="79">
        <f t="shared" si="6"/>
        <v>1</v>
      </c>
    </row>
    <row r="16" spans="3:15" x14ac:dyDescent="0.2">
      <c r="C16" s="11" t="s">
        <v>7</v>
      </c>
      <c r="D16" s="16">
        <f>789.1+15781.1</f>
        <v>16570.2</v>
      </c>
      <c r="E16" s="161">
        <v>0.1</v>
      </c>
      <c r="F16" s="39">
        <f>D16*(1+E16)</f>
        <v>18227.22</v>
      </c>
      <c r="G16" s="15">
        <v>9.6000000000000016E-2</v>
      </c>
      <c r="H16" s="35">
        <f t="shared" si="1"/>
        <v>1749.8131200000005</v>
      </c>
      <c r="I16" s="15">
        <f t="shared" si="2"/>
        <v>0.90400000000000003</v>
      </c>
      <c r="J16" s="15">
        <v>0</v>
      </c>
      <c r="K16" s="14">
        <f t="shared" si="7"/>
        <v>0</v>
      </c>
      <c r="L16" s="15">
        <f t="shared" ref="L16:L19" si="14">I16</f>
        <v>0.90400000000000003</v>
      </c>
      <c r="M16" s="164">
        <f t="shared" si="5"/>
        <v>16477.406880000002</v>
      </c>
      <c r="O16" s="79">
        <f t="shared" si="6"/>
        <v>1</v>
      </c>
    </row>
    <row r="17" spans="3:15" x14ac:dyDescent="0.2">
      <c r="C17" s="85" t="s">
        <v>32</v>
      </c>
      <c r="D17" s="16">
        <v>-151116.85</v>
      </c>
      <c r="E17" s="161">
        <v>0.03</v>
      </c>
      <c r="F17" s="39">
        <f t="shared" si="0"/>
        <v>-155650.35550000001</v>
      </c>
      <c r="G17" s="24">
        <v>9.6000015881749778E-2</v>
      </c>
      <c r="H17" s="164">
        <f t="shared" si="1"/>
        <v>-14942.436599999999</v>
      </c>
      <c r="I17" s="15">
        <f t="shared" si="2"/>
        <v>0.90399998411825022</v>
      </c>
      <c r="J17" s="15">
        <v>0</v>
      </c>
      <c r="K17" s="14">
        <f t="shared" si="7"/>
        <v>0</v>
      </c>
      <c r="L17" s="15">
        <f t="shared" si="14"/>
        <v>0.90399998411825022</v>
      </c>
      <c r="M17" s="164">
        <f t="shared" si="5"/>
        <v>-140707.91890000002</v>
      </c>
      <c r="O17" s="79">
        <f t="shared" si="6"/>
        <v>1</v>
      </c>
    </row>
    <row r="18" spans="3:15" x14ac:dyDescent="0.2">
      <c r="C18" s="85" t="s">
        <v>50</v>
      </c>
      <c r="D18" s="160">
        <v>-151117</v>
      </c>
      <c r="E18" s="161">
        <v>0.03</v>
      </c>
      <c r="F18" s="39">
        <f t="shared" si="0"/>
        <v>-155650.51</v>
      </c>
      <c r="G18" s="24">
        <v>9.5999999999999988E-2</v>
      </c>
      <c r="H18" s="164">
        <f t="shared" si="1"/>
        <v>-14942.44896</v>
      </c>
      <c r="I18" s="15">
        <f t="shared" si="2"/>
        <v>0.90400000000000003</v>
      </c>
      <c r="J18" s="15">
        <v>0</v>
      </c>
      <c r="K18" s="14">
        <f t="shared" si="7"/>
        <v>0</v>
      </c>
      <c r="L18" s="15">
        <f t="shared" si="14"/>
        <v>0.90400000000000003</v>
      </c>
      <c r="M18" s="164">
        <f t="shared" si="5"/>
        <v>-140708.06104</v>
      </c>
      <c r="O18" s="79">
        <f t="shared" si="6"/>
        <v>1</v>
      </c>
    </row>
    <row r="19" spans="3:15" x14ac:dyDescent="0.2">
      <c r="C19" s="11" t="s">
        <v>8</v>
      </c>
      <c r="D19" s="16">
        <v>240000</v>
      </c>
      <c r="E19" s="161">
        <v>0.4</v>
      </c>
      <c r="F19" s="39">
        <f>D19*(1+E19)</f>
        <v>336000</v>
      </c>
      <c r="G19" s="15">
        <v>1.1950583333333332E-2</v>
      </c>
      <c r="H19" s="35">
        <f t="shared" si="1"/>
        <v>4015.3959999999997</v>
      </c>
      <c r="I19" s="15">
        <f t="shared" si="2"/>
        <v>0.98804941666666668</v>
      </c>
      <c r="J19" s="15">
        <v>0</v>
      </c>
      <c r="K19" s="14">
        <f t="shared" si="7"/>
        <v>0</v>
      </c>
      <c r="L19" s="15">
        <f t="shared" si="14"/>
        <v>0.98804941666666668</v>
      </c>
      <c r="M19" s="164">
        <f t="shared" si="5"/>
        <v>331984.60399999999</v>
      </c>
      <c r="O19" s="79">
        <f t="shared" si="6"/>
        <v>1</v>
      </c>
    </row>
    <row r="20" spans="3:15" ht="13.5" thickBot="1" x14ac:dyDescent="0.25">
      <c r="C20" s="11"/>
      <c r="D20" s="14"/>
      <c r="E20" s="11"/>
      <c r="F20" s="105">
        <f>SUM(F11:F19)</f>
        <v>3485605.2235000003</v>
      </c>
      <c r="H20" s="36">
        <f>SUM(H11:H19)</f>
        <v>456706.61013959878</v>
      </c>
      <c r="I20" s="163"/>
      <c r="J20" s="11"/>
      <c r="K20" s="36">
        <f>SUM(K11:K19)</f>
        <v>10886.100812102006</v>
      </c>
      <c r="L20" s="11"/>
      <c r="M20" s="207">
        <f>SUM(M11:M19)</f>
        <v>3018012.5125482986</v>
      </c>
      <c r="O20" s="10">
        <f>H20+K20+M20</f>
        <v>3485605.2234999994</v>
      </c>
    </row>
    <row r="21" spans="3:15" ht="13.5" thickTop="1" x14ac:dyDescent="0.2">
      <c r="M21" s="202">
        <f>M20/O20</f>
        <v>0.86585035281701317</v>
      </c>
    </row>
    <row r="22" spans="3:15" x14ac:dyDescent="0.2">
      <c r="H22" s="170"/>
      <c r="I22" s="171" t="s">
        <v>178</v>
      </c>
    </row>
    <row r="23" spans="3:15" x14ac:dyDescent="0.2">
      <c r="H23" s="172"/>
      <c r="I23" s="171" t="s">
        <v>188</v>
      </c>
    </row>
    <row r="24" spans="3:15" ht="20.25" customHeight="1" thickBot="1" x14ac:dyDescent="0.25">
      <c r="L24" s="210" t="s">
        <v>224</v>
      </c>
      <c r="M24" s="211">
        <v>5624411</v>
      </c>
      <c r="N24" s="212" t="s">
        <v>222</v>
      </c>
    </row>
    <row r="25" spans="3:15" ht="13.5" thickBot="1" x14ac:dyDescent="0.25">
      <c r="L25" s="210" t="s">
        <v>221</v>
      </c>
      <c r="M25" s="209">
        <f>M20+M24</f>
        <v>8642423.5125482976</v>
      </c>
    </row>
    <row r="26" spans="3:15" ht="12.75" customHeight="1" x14ac:dyDescent="0.2">
      <c r="J26" s="235" t="s">
        <v>223</v>
      </c>
      <c r="K26" s="236"/>
      <c r="L26" s="236"/>
      <c r="M26" s="236"/>
      <c r="N26" s="236"/>
      <c r="O26" s="237"/>
    </row>
    <row r="27" spans="3:15" x14ac:dyDescent="0.2">
      <c r="J27" s="238"/>
      <c r="K27" s="239"/>
      <c r="L27" s="239"/>
      <c r="M27" s="239"/>
      <c r="N27" s="239"/>
      <c r="O27" s="240"/>
    </row>
    <row r="28" spans="3:15" ht="25.5" customHeight="1" thickBot="1" x14ac:dyDescent="0.3">
      <c r="C28" s="11"/>
      <c r="D28" s="233" t="s">
        <v>154</v>
      </c>
      <c r="E28" s="233"/>
      <c r="F28" s="233"/>
      <c r="G28" s="86"/>
      <c r="H28" s="81"/>
      <c r="I28" s="81"/>
      <c r="J28" s="241"/>
      <c r="K28" s="242"/>
      <c r="L28" s="242"/>
      <c r="M28" s="242"/>
      <c r="N28" s="242"/>
      <c r="O28" s="243"/>
    </row>
    <row r="29" spans="3:15" ht="15" x14ac:dyDescent="0.25">
      <c r="C29" s="17"/>
      <c r="D29" s="234" t="s">
        <v>153</v>
      </c>
      <c r="E29" s="234"/>
      <c r="F29" s="234"/>
      <c r="G29" s="17"/>
      <c r="H29" s="17"/>
      <c r="I29" s="17"/>
      <c r="J29" s="208"/>
      <c r="K29" s="208"/>
      <c r="L29" s="208"/>
      <c r="M29" s="208"/>
      <c r="N29" s="208"/>
      <c r="O29" s="208"/>
    </row>
    <row r="30" spans="3:15" ht="60" x14ac:dyDescent="0.25">
      <c r="C30" s="12" t="s">
        <v>9</v>
      </c>
      <c r="D30" s="25" t="s">
        <v>150</v>
      </c>
      <c r="E30" s="13" t="s">
        <v>151</v>
      </c>
      <c r="F30" s="25" t="s">
        <v>152</v>
      </c>
      <c r="G30" s="25" t="s">
        <v>30</v>
      </c>
      <c r="H30" s="13" t="s">
        <v>25</v>
      </c>
      <c r="I30" s="13" t="s">
        <v>28</v>
      </c>
      <c r="J30" s="13" t="s">
        <v>26</v>
      </c>
      <c r="K30" s="13" t="s">
        <v>27</v>
      </c>
      <c r="L30" s="13" t="s">
        <v>157</v>
      </c>
      <c r="M30" s="13" t="s">
        <v>156</v>
      </c>
    </row>
    <row r="31" spans="3:15" x14ac:dyDescent="0.2">
      <c r="C31" s="11" t="s">
        <v>4</v>
      </c>
      <c r="D31" s="16">
        <v>2360000</v>
      </c>
      <c r="E31" s="15">
        <v>0.13</v>
      </c>
      <c r="F31" s="39">
        <f t="shared" ref="F31:F39" si="15">D31*(1+E31)</f>
        <v>2666799.9999999995</v>
      </c>
      <c r="G31" s="15">
        <v>0.15438715310109499</v>
      </c>
      <c r="H31" s="35">
        <f>+F31*G31</f>
        <v>411719.65989000007</v>
      </c>
      <c r="I31" s="15">
        <f>1-G31</f>
        <v>0.84561284689890504</v>
      </c>
      <c r="J31" s="15">
        <v>4.2280642344945246E-3</v>
      </c>
      <c r="K31" s="14">
        <f>+F31*J31</f>
        <v>11275.401700549995</v>
      </c>
      <c r="L31" s="15">
        <v>0.8413847826644103</v>
      </c>
      <c r="M31" s="164">
        <f>F31-H31-K31</f>
        <v>2243804.9384094491</v>
      </c>
      <c r="O31" s="79">
        <f>G31+J31+L31</f>
        <v>0.99999999999999978</v>
      </c>
    </row>
    <row r="32" spans="3:15" x14ac:dyDescent="0.2">
      <c r="C32" s="11" t="s">
        <v>10</v>
      </c>
      <c r="D32" s="39">
        <v>-89372</v>
      </c>
      <c r="E32" s="161" t="e">
        <f>(F32-D32)/F32</f>
        <v>#DIV/0!</v>
      </c>
      <c r="F32" s="16">
        <v>0</v>
      </c>
      <c r="G32" s="15">
        <v>0.15438715310109499</v>
      </c>
      <c r="H32" s="35">
        <v>0</v>
      </c>
      <c r="I32" s="15">
        <f t="shared" ref="I32:I39" si="16">1-G32</f>
        <v>0.84561284689890504</v>
      </c>
      <c r="J32" s="15">
        <v>4.2280642344945246E-3</v>
      </c>
      <c r="K32" s="14">
        <v>0</v>
      </c>
      <c r="L32" s="15">
        <v>0.84233860394340632</v>
      </c>
      <c r="M32" s="35">
        <f>F32-H32-K32</f>
        <v>0</v>
      </c>
      <c r="O32" s="79">
        <f t="shared" ref="O32:O39" si="17">G32+J32+L32</f>
        <v>1.0009538212789959</v>
      </c>
    </row>
    <row r="33" spans="3:15" x14ac:dyDescent="0.2">
      <c r="C33" s="11" t="s">
        <v>5</v>
      </c>
      <c r="D33" s="16">
        <f>45412.6+2270.7</f>
        <v>47683.299999999996</v>
      </c>
      <c r="E33" s="15">
        <v>0.13</v>
      </c>
      <c r="F33" s="39">
        <f t="shared" si="15"/>
        <v>53882.128999999994</v>
      </c>
      <c r="G33" s="15">
        <v>0.15432235387914983</v>
      </c>
      <c r="H33" s="35">
        <f t="shared" ref="H33:H39" si="18">+F33*G33</f>
        <v>8315.2169793000012</v>
      </c>
      <c r="I33" s="15">
        <f t="shared" si="16"/>
        <v>0.84567764612085017</v>
      </c>
      <c r="J33" s="15">
        <v>4.2283882306042506E-3</v>
      </c>
      <c r="K33" s="14">
        <f t="shared" ref="K33:K39" si="19">+F33*J33</f>
        <v>227.83456010349994</v>
      </c>
      <c r="L33" s="15">
        <v>0.84138445866830058</v>
      </c>
      <c r="M33" s="164">
        <f t="shared" ref="M33:M39" si="20">F33-H33-K33</f>
        <v>45339.077460596491</v>
      </c>
      <c r="O33" s="79">
        <f t="shared" si="17"/>
        <v>0.99993520077805464</v>
      </c>
    </row>
    <row r="34" spans="3:15" x14ac:dyDescent="0.2">
      <c r="C34" s="11" t="s">
        <v>207</v>
      </c>
      <c r="D34" s="16"/>
      <c r="E34" s="15"/>
      <c r="F34" s="16">
        <v>0</v>
      </c>
      <c r="G34" s="15"/>
      <c r="H34" s="16">
        <v>0</v>
      </c>
      <c r="I34" s="15"/>
      <c r="J34" s="15"/>
      <c r="K34" s="16">
        <v>0</v>
      </c>
      <c r="L34" s="15"/>
      <c r="M34" s="35">
        <f>F34-H34-K34</f>
        <v>0</v>
      </c>
      <c r="O34" s="79"/>
    </row>
    <row r="35" spans="3:15" x14ac:dyDescent="0.2">
      <c r="C35" s="11" t="s">
        <v>6</v>
      </c>
      <c r="D35" s="16">
        <v>789051</v>
      </c>
      <c r="E35" s="15">
        <v>0.1</v>
      </c>
      <c r="F35" s="39">
        <f t="shared" si="15"/>
        <v>867956.10000000009</v>
      </c>
      <c r="G35" s="15">
        <v>9.5999878334860483E-2</v>
      </c>
      <c r="H35" s="35">
        <f t="shared" si="18"/>
        <v>83323.680000000008</v>
      </c>
      <c r="I35" s="15">
        <f t="shared" si="16"/>
        <v>0.90400012166513954</v>
      </c>
      <c r="J35" s="15">
        <v>0</v>
      </c>
      <c r="K35" s="14">
        <f t="shared" si="19"/>
        <v>0</v>
      </c>
      <c r="L35" s="15">
        <v>0.90400012166513943</v>
      </c>
      <c r="M35" s="164">
        <f t="shared" si="20"/>
        <v>784632.42</v>
      </c>
      <c r="O35" s="79">
        <f t="shared" si="17"/>
        <v>0.99999999999999989</v>
      </c>
    </row>
    <row r="36" spans="3:15" x14ac:dyDescent="0.2">
      <c r="C36" s="11" t="s">
        <v>7</v>
      </c>
      <c r="D36" s="16">
        <f>789.1+15781.1</f>
        <v>16570.2</v>
      </c>
      <c r="E36" s="15">
        <v>0.1</v>
      </c>
      <c r="F36" s="39">
        <f t="shared" si="15"/>
        <v>18227.22</v>
      </c>
      <c r="G36" s="15">
        <v>9.6000000000000016E-2</v>
      </c>
      <c r="H36" s="35">
        <f t="shared" si="18"/>
        <v>1749.8131200000005</v>
      </c>
      <c r="I36" s="15">
        <f t="shared" si="16"/>
        <v>0.90400000000000003</v>
      </c>
      <c r="J36" s="15">
        <v>0</v>
      </c>
      <c r="K36" s="14">
        <f t="shared" si="19"/>
        <v>0</v>
      </c>
      <c r="L36" s="15">
        <v>0.90400000000000003</v>
      </c>
      <c r="M36" s="164">
        <f t="shared" si="20"/>
        <v>16477.406880000002</v>
      </c>
      <c r="O36" s="79">
        <f t="shared" si="17"/>
        <v>1</v>
      </c>
    </row>
    <row r="37" spans="3:15" x14ac:dyDescent="0.2">
      <c r="C37" s="85" t="s">
        <v>32</v>
      </c>
      <c r="D37" s="16">
        <v>-151116.85</v>
      </c>
      <c r="E37" s="15">
        <v>0.03</v>
      </c>
      <c r="F37" s="16">
        <v>0</v>
      </c>
      <c r="G37" s="24">
        <v>9.6000015881749778E-2</v>
      </c>
      <c r="H37" s="35">
        <f t="shared" si="18"/>
        <v>0</v>
      </c>
      <c r="I37" s="15">
        <f t="shared" si="16"/>
        <v>0.90399998411825022</v>
      </c>
      <c r="J37" s="15">
        <v>0</v>
      </c>
      <c r="K37" s="14">
        <f t="shared" si="19"/>
        <v>0</v>
      </c>
      <c r="L37" s="15">
        <v>0.90399998411825033</v>
      </c>
      <c r="M37" s="35">
        <f t="shared" si="20"/>
        <v>0</v>
      </c>
      <c r="O37" s="79">
        <f t="shared" si="17"/>
        <v>1</v>
      </c>
    </row>
    <row r="38" spans="3:15" x14ac:dyDescent="0.2">
      <c r="C38" s="85" t="s">
        <v>50</v>
      </c>
      <c r="D38" s="160">
        <v>-151117</v>
      </c>
      <c r="E38" s="15">
        <v>0.03</v>
      </c>
      <c r="F38" s="16">
        <v>0</v>
      </c>
      <c r="G38" s="24">
        <v>9.5999999999999988E-2</v>
      </c>
      <c r="H38" s="35">
        <f t="shared" si="18"/>
        <v>0</v>
      </c>
      <c r="I38" s="15">
        <f t="shared" si="16"/>
        <v>0.90400000000000003</v>
      </c>
      <c r="J38" s="15">
        <v>0</v>
      </c>
      <c r="K38" s="14">
        <f t="shared" si="19"/>
        <v>0</v>
      </c>
      <c r="L38" s="15">
        <v>0.90399999999999991</v>
      </c>
      <c r="M38" s="35">
        <f t="shared" si="20"/>
        <v>0</v>
      </c>
      <c r="O38" s="79">
        <f t="shared" si="17"/>
        <v>0.99999999999999989</v>
      </c>
    </row>
    <row r="39" spans="3:15" x14ac:dyDescent="0.2">
      <c r="C39" s="11" t="s">
        <v>8</v>
      </c>
      <c r="D39" s="16">
        <v>240000</v>
      </c>
      <c r="E39" s="15">
        <v>0.4</v>
      </c>
      <c r="F39" s="39">
        <f t="shared" si="15"/>
        <v>336000</v>
      </c>
      <c r="G39" s="15">
        <v>1.1950583333333332E-2</v>
      </c>
      <c r="H39" s="35">
        <f t="shared" si="18"/>
        <v>4015.3959999999997</v>
      </c>
      <c r="I39" s="15">
        <f t="shared" si="16"/>
        <v>0.98804941666666668</v>
      </c>
      <c r="J39" s="15">
        <v>0</v>
      </c>
      <c r="K39" s="14">
        <f t="shared" si="19"/>
        <v>0</v>
      </c>
      <c r="L39" s="15">
        <v>0.98804941666666668</v>
      </c>
      <c r="M39" s="164">
        <f t="shared" si="20"/>
        <v>331984.60399999999</v>
      </c>
      <c r="O39" s="79">
        <f t="shared" si="17"/>
        <v>1</v>
      </c>
    </row>
    <row r="40" spans="3:15" ht="13.5" thickBot="1" x14ac:dyDescent="0.25">
      <c r="C40" s="11"/>
      <c r="D40" s="14"/>
      <c r="E40" s="11"/>
      <c r="F40" s="105">
        <f>SUM(F31:F39)</f>
        <v>3942865.449</v>
      </c>
      <c r="H40" s="36">
        <f>SUM(H31:H39)</f>
        <v>509123.7659893001</v>
      </c>
      <c r="I40" s="163"/>
      <c r="J40" s="11"/>
      <c r="K40" s="36">
        <f>SUM(K31:K39)</f>
        <v>11503.236260653495</v>
      </c>
      <c r="L40" s="11"/>
      <c r="M40" s="178">
        <f>SUM(M31:M39)</f>
        <v>3422238.4467500453</v>
      </c>
      <c r="O40" s="10">
        <f>SUM(H40+K40+M40)</f>
        <v>3942865.4489999991</v>
      </c>
    </row>
    <row r="41" spans="3:15" ht="13.5" thickTop="1" x14ac:dyDescent="0.2"/>
    <row r="42" spans="3:15" x14ac:dyDescent="0.2">
      <c r="H42" s="172"/>
      <c r="I42" s="171" t="s">
        <v>188</v>
      </c>
    </row>
  </sheetData>
  <mergeCells count="5">
    <mergeCell ref="D8:F8"/>
    <mergeCell ref="D9:F9"/>
    <mergeCell ref="D28:F28"/>
    <mergeCell ref="D29:F29"/>
    <mergeCell ref="J26:O28"/>
  </mergeCells>
  <pageMargins left="0.7" right="0.7" top="0.75" bottom="0.75" header="0.3" footer="0.3"/>
  <pageSetup scale="6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200900</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D779D273-BAF8-494D-B73A-1418EECB0A98}"/>
</file>

<file path=customXml/itemProps2.xml><?xml version="1.0" encoding="utf-8"?>
<ds:datastoreItem xmlns:ds="http://schemas.openxmlformats.org/officeDocument/2006/customXml" ds:itemID="{405101CA-458D-4770-B9AE-C2288637FDD9}"/>
</file>

<file path=customXml/itemProps3.xml><?xml version="1.0" encoding="utf-8"?>
<ds:datastoreItem xmlns:ds="http://schemas.openxmlformats.org/officeDocument/2006/customXml" ds:itemID="{80A84A43-F891-40CF-A2D2-D687E87EC7E3}"/>
</file>

<file path=customXml/itemProps4.xml><?xml version="1.0" encoding="utf-8"?>
<ds:datastoreItem xmlns:ds="http://schemas.openxmlformats.org/officeDocument/2006/customXml" ds:itemID="{EDA76CAA-7DC9-4AE4-8FB3-3577A47B24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IA-1</vt:lpstr>
      <vt:lpstr>IA-2</vt:lpstr>
      <vt:lpstr>Prop worksheet for calndr yr</vt:lpstr>
      <vt:lpstr>Est Prop 12 2021</vt:lpstr>
      <vt:lpstr>Prop 12 2019 Invoice</vt:lpstr>
      <vt:lpstr>Est Prop 12 2020</vt:lpstr>
      <vt:lpstr>Prop 12 2018 Invoice</vt:lpstr>
      <vt:lpstr>Prop 12 2017 Invoice</vt:lpstr>
      <vt:lpstr>2021 GL Est</vt:lpstr>
      <vt:lpstr>2019 GL Actual</vt:lpstr>
      <vt:lpstr>2020 GL Est</vt:lpstr>
      <vt:lpstr>2018 GL Actual</vt:lpstr>
      <vt:lpstr>2021 D O est</vt:lpstr>
      <vt:lpstr>2019 D O actual</vt:lpstr>
      <vt:lpstr>2020 D O est</vt:lpstr>
      <vt:lpstr>2018 D O actual</vt:lpstr>
      <vt:lpstr>'2019 GL Actual'!Print_Area</vt:lpstr>
      <vt:lpstr>'Prop 12 2018 Invoice'!Print_Area</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bbb3786</dc:creator>
  <cp:lastModifiedBy>Andrews, Liz</cp:lastModifiedBy>
  <cp:lastPrinted>2020-09-23T23:56:45Z</cp:lastPrinted>
  <dcterms:created xsi:type="dcterms:W3CDTF">2015-03-23T22:45:41Z</dcterms:created>
  <dcterms:modified xsi:type="dcterms:W3CDTF">2020-10-07T00:44:51Z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