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9\2019 Annual Report\Exhibits\Exhibit 1_Savings &amp; Expenditures\"/>
    </mc:Choice>
  </mc:AlternateContent>
  <bookViews>
    <workbookView xWindow="0" yWindow="0" windowWidth="23040" windowHeight="8388"/>
  </bookViews>
  <sheets>
    <sheet name="2019 (ACP!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3" i="1" l="1"/>
  <c r="R104" i="1"/>
  <c r="K49" i="1" l="1"/>
  <c r="J49" i="1"/>
  <c r="S28" i="1" l="1"/>
  <c r="R28" i="1"/>
  <c r="R26" i="1"/>
  <c r="Q147" i="1" l="1"/>
  <c r="P147" i="1"/>
  <c r="I147" i="1"/>
  <c r="H147" i="1"/>
  <c r="R127" i="1"/>
  <c r="P127" i="1"/>
  <c r="H122" i="1"/>
  <c r="L121" i="1"/>
  <c r="K121" i="1"/>
  <c r="I121" i="1"/>
  <c r="J119" i="1"/>
  <c r="H119" i="1"/>
  <c r="J118" i="1"/>
  <c r="H118" i="1"/>
  <c r="J117" i="1"/>
  <c r="H117" i="1"/>
  <c r="H116" i="1"/>
  <c r="J115" i="1"/>
  <c r="H115" i="1"/>
  <c r="H114" i="1"/>
  <c r="P109" i="1"/>
  <c r="H109" i="1"/>
  <c r="T108" i="1"/>
  <c r="L108" i="1"/>
  <c r="H106" i="1"/>
  <c r="R105" i="1"/>
  <c r="P105" i="1"/>
  <c r="H105" i="1"/>
  <c r="J105" i="1" s="1"/>
  <c r="P104" i="1"/>
  <c r="H104" i="1"/>
  <c r="P103" i="1"/>
  <c r="J103" i="1"/>
  <c r="H103" i="1"/>
  <c r="R102" i="1"/>
  <c r="P102" i="1"/>
  <c r="P108" i="1" s="1"/>
  <c r="R108" i="1" s="1"/>
  <c r="J102" i="1"/>
  <c r="H102" i="1"/>
  <c r="P100" i="1"/>
  <c r="H100" i="1"/>
  <c r="T99" i="1"/>
  <c r="L99" i="1"/>
  <c r="P97" i="1"/>
  <c r="R97" i="1" s="1"/>
  <c r="J97" i="1"/>
  <c r="H97" i="1"/>
  <c r="P96" i="1"/>
  <c r="R96" i="1" s="1"/>
  <c r="J96" i="1"/>
  <c r="H96" i="1"/>
  <c r="P95" i="1"/>
  <c r="R95" i="1" s="1"/>
  <c r="H95" i="1"/>
  <c r="J95" i="1" s="1"/>
  <c r="P94" i="1"/>
  <c r="H94" i="1"/>
  <c r="J94" i="1" s="1"/>
  <c r="P93" i="1"/>
  <c r="H93" i="1"/>
  <c r="J93" i="1" s="1"/>
  <c r="P92" i="1"/>
  <c r="R92" i="1" s="1"/>
  <c r="H92" i="1"/>
  <c r="J92" i="1" s="1"/>
  <c r="R91" i="1"/>
  <c r="P91" i="1"/>
  <c r="H91" i="1"/>
  <c r="J91" i="1" s="1"/>
  <c r="P89" i="1"/>
  <c r="R89" i="1" s="1"/>
  <c r="H89" i="1"/>
  <c r="J89" i="1" s="1"/>
  <c r="R88" i="1"/>
  <c r="P88" i="1"/>
  <c r="H88" i="1"/>
  <c r="J88" i="1" s="1"/>
  <c r="P87" i="1"/>
  <c r="R87" i="1" s="1"/>
  <c r="H87" i="1"/>
  <c r="P86" i="1"/>
  <c r="R86" i="1" s="1"/>
  <c r="H86" i="1"/>
  <c r="J86" i="1" s="1"/>
  <c r="P85" i="1"/>
  <c r="R85" i="1" s="1"/>
  <c r="J85" i="1"/>
  <c r="H85" i="1"/>
  <c r="P84" i="1"/>
  <c r="R84" i="1" s="1"/>
  <c r="H84" i="1"/>
  <c r="J84" i="1" s="1"/>
  <c r="P83" i="1"/>
  <c r="R83" i="1" s="1"/>
  <c r="J83" i="1"/>
  <c r="H83" i="1"/>
  <c r="P82" i="1"/>
  <c r="R82" i="1" s="1"/>
  <c r="H82" i="1"/>
  <c r="P81" i="1"/>
  <c r="H81" i="1"/>
  <c r="U76" i="1"/>
  <c r="T76" i="1"/>
  <c r="S76" i="1"/>
  <c r="R76" i="1"/>
  <c r="Q76" i="1"/>
  <c r="P76" i="1"/>
  <c r="S72" i="1"/>
  <c r="R72" i="1"/>
  <c r="K72" i="1"/>
  <c r="J72" i="1"/>
  <c r="P68" i="1"/>
  <c r="I68" i="1"/>
  <c r="H68" i="1"/>
  <c r="T67" i="1"/>
  <c r="M67" i="1"/>
  <c r="L67" i="1"/>
  <c r="J65" i="1"/>
  <c r="I65" i="1"/>
  <c r="H65" i="1"/>
  <c r="Q64" i="1"/>
  <c r="P64" i="1"/>
  <c r="P67" i="1" s="1"/>
  <c r="R67" i="1" s="1"/>
  <c r="I63" i="1"/>
  <c r="K63" i="1" s="1"/>
  <c r="H63" i="1"/>
  <c r="H67" i="1" s="1"/>
  <c r="J67" i="1" s="1"/>
  <c r="Q61" i="1"/>
  <c r="P61" i="1"/>
  <c r="I61" i="1"/>
  <c r="H61" i="1"/>
  <c r="U60" i="1"/>
  <c r="T60" i="1"/>
  <c r="M60" i="1"/>
  <c r="L60" i="1"/>
  <c r="H60" i="1"/>
  <c r="J60" i="1" s="1"/>
  <c r="Q58" i="1"/>
  <c r="P58" i="1"/>
  <c r="I58" i="1"/>
  <c r="I60" i="1" s="1"/>
  <c r="K60" i="1" s="1"/>
  <c r="H58" i="1"/>
  <c r="J58" i="1" s="1"/>
  <c r="Q57" i="1"/>
  <c r="P57" i="1"/>
  <c r="J57" i="1"/>
  <c r="I57" i="1"/>
  <c r="H57" i="1"/>
  <c r="Q55" i="1"/>
  <c r="P55" i="1"/>
  <c r="I55" i="1"/>
  <c r="H55" i="1"/>
  <c r="U54" i="1"/>
  <c r="K53" i="1"/>
  <c r="Q52" i="1"/>
  <c r="P52" i="1"/>
  <c r="I52" i="1"/>
  <c r="H52" i="1"/>
  <c r="Q51" i="1"/>
  <c r="P51" i="1"/>
  <c r="I51" i="1"/>
  <c r="H51" i="1"/>
  <c r="Q50" i="1"/>
  <c r="S50" i="1" s="1"/>
  <c r="P50" i="1"/>
  <c r="R50" i="1" s="1"/>
  <c r="I50" i="1"/>
  <c r="K50" i="1" s="1"/>
  <c r="H50" i="1"/>
  <c r="J50" i="1" s="1"/>
  <c r="Q49" i="1"/>
  <c r="S49" i="1" s="1"/>
  <c r="P49" i="1"/>
  <c r="R49" i="1" s="1"/>
  <c r="I49" i="1"/>
  <c r="H49" i="1"/>
  <c r="S48" i="1"/>
  <c r="Q48" i="1"/>
  <c r="P48" i="1"/>
  <c r="R48" i="1" s="1"/>
  <c r="K48" i="1"/>
  <c r="I48" i="1"/>
  <c r="H48" i="1"/>
  <c r="J48" i="1" s="1"/>
  <c r="Q47" i="1"/>
  <c r="P47" i="1"/>
  <c r="Q46" i="1"/>
  <c r="S46" i="1" s="1"/>
  <c r="P46" i="1"/>
  <c r="R46" i="1" s="1"/>
  <c r="I46" i="1"/>
  <c r="K46" i="1" s="1"/>
  <c r="H46" i="1"/>
  <c r="J46" i="1" s="1"/>
  <c r="I45" i="1"/>
  <c r="K45" i="1" s="1"/>
  <c r="H45" i="1"/>
  <c r="J45" i="1" s="1"/>
  <c r="U44" i="1"/>
  <c r="T44" i="1"/>
  <c r="T54" i="1" s="1"/>
  <c r="M44" i="1"/>
  <c r="L44" i="1"/>
  <c r="I44" i="1"/>
  <c r="I54" i="1" s="1"/>
  <c r="P43" i="1"/>
  <c r="J43" i="1"/>
  <c r="I43" i="1"/>
  <c r="H43" i="1"/>
  <c r="I42" i="1"/>
  <c r="K42" i="1" s="1"/>
  <c r="H42" i="1"/>
  <c r="J42" i="1" s="1"/>
  <c r="I41" i="1"/>
  <c r="K41" i="1" s="1"/>
  <c r="H41" i="1"/>
  <c r="J41" i="1" s="1"/>
  <c r="K40" i="1"/>
  <c r="J40" i="1"/>
  <c r="S39" i="1"/>
  <c r="Q39" i="1"/>
  <c r="P39" i="1"/>
  <c r="R39" i="1" s="1"/>
  <c r="K39" i="1"/>
  <c r="I39" i="1"/>
  <c r="H39" i="1"/>
  <c r="J39" i="1" s="1"/>
  <c r="S38" i="1"/>
  <c r="Q38" i="1"/>
  <c r="P38" i="1"/>
  <c r="R38" i="1" s="1"/>
  <c r="K38" i="1"/>
  <c r="I38" i="1"/>
  <c r="H38" i="1"/>
  <c r="J38" i="1" s="1"/>
  <c r="S37" i="1"/>
  <c r="Q37" i="1"/>
  <c r="P37" i="1"/>
  <c r="R37" i="1" s="1"/>
  <c r="M37" i="1"/>
  <c r="K37" i="1" s="1"/>
  <c r="L37" i="1"/>
  <c r="I37" i="1"/>
  <c r="H37" i="1"/>
  <c r="Q35" i="1"/>
  <c r="P35" i="1"/>
  <c r="I35" i="1"/>
  <c r="H35" i="1"/>
  <c r="T34" i="1"/>
  <c r="T110" i="1" s="1"/>
  <c r="T123" i="1" s="1"/>
  <c r="T72" i="1" s="1"/>
  <c r="Q32" i="1"/>
  <c r="S32" i="1" s="1"/>
  <c r="P32" i="1"/>
  <c r="R32" i="1" s="1"/>
  <c r="I32" i="1"/>
  <c r="K32" i="1" s="1"/>
  <c r="H32" i="1"/>
  <c r="J32" i="1" s="1"/>
  <c r="Q31" i="1"/>
  <c r="S31" i="1" s="1"/>
  <c r="P31" i="1"/>
  <c r="R31" i="1" s="1"/>
  <c r="I31" i="1"/>
  <c r="K31" i="1" s="1"/>
  <c r="H31" i="1"/>
  <c r="J31" i="1" s="1"/>
  <c r="K30" i="1"/>
  <c r="J30" i="1"/>
  <c r="I30" i="1"/>
  <c r="H30" i="1"/>
  <c r="P29" i="1"/>
  <c r="I29" i="1"/>
  <c r="K29" i="1" s="1"/>
  <c r="H29" i="1"/>
  <c r="J29" i="1" s="1"/>
  <c r="Q28" i="1"/>
  <c r="P28" i="1"/>
  <c r="J28" i="1"/>
  <c r="I28" i="1"/>
  <c r="K28" i="1" s="1"/>
  <c r="H28" i="1"/>
  <c r="Q27" i="1"/>
  <c r="P27" i="1"/>
  <c r="R27" i="1" s="1"/>
  <c r="K27" i="1"/>
  <c r="I27" i="1"/>
  <c r="H27" i="1"/>
  <c r="J27" i="1" s="1"/>
  <c r="Q26" i="1"/>
  <c r="S26" i="1" s="1"/>
  <c r="P26" i="1"/>
  <c r="I26" i="1"/>
  <c r="K26" i="1" s="1"/>
  <c r="H26" i="1"/>
  <c r="J26" i="1" s="1"/>
  <c r="Q25" i="1"/>
  <c r="S25" i="1" s="1"/>
  <c r="P25" i="1"/>
  <c r="R25" i="1" s="1"/>
  <c r="I25" i="1"/>
  <c r="K25" i="1" s="1"/>
  <c r="H25" i="1"/>
  <c r="J25" i="1" s="1"/>
  <c r="Q24" i="1"/>
  <c r="S24" i="1" s="1"/>
  <c r="P24" i="1"/>
  <c r="R24" i="1" s="1"/>
  <c r="I24" i="1"/>
  <c r="K24" i="1" s="1"/>
  <c r="H24" i="1"/>
  <c r="Q23" i="1"/>
  <c r="S23" i="1" s="1"/>
  <c r="K23" i="1"/>
  <c r="I23" i="1"/>
  <c r="H23" i="1"/>
  <c r="J23" i="1" s="1"/>
  <c r="K22" i="1"/>
  <c r="I22" i="1"/>
  <c r="H22" i="1"/>
  <c r="J22" i="1" s="1"/>
  <c r="Q21" i="1"/>
  <c r="Q17" i="1" s="1"/>
  <c r="S17" i="1" s="1"/>
  <c r="P21" i="1"/>
  <c r="H21" i="1"/>
  <c r="Q20" i="1"/>
  <c r="P20" i="1"/>
  <c r="I20" i="1"/>
  <c r="K20" i="1" s="1"/>
  <c r="H20" i="1"/>
  <c r="J20" i="1" s="1"/>
  <c r="S19" i="1"/>
  <c r="Q19" i="1"/>
  <c r="P19" i="1"/>
  <c r="R19" i="1" s="1"/>
  <c r="I19" i="1"/>
  <c r="K19" i="1" s="1"/>
  <c r="H19" i="1"/>
  <c r="J19" i="1" s="1"/>
  <c r="I18" i="1"/>
  <c r="K18" i="1" s="1"/>
  <c r="H18" i="1"/>
  <c r="J18" i="1" s="1"/>
  <c r="U17" i="1"/>
  <c r="U34" i="1" s="1"/>
  <c r="U110" i="1" s="1"/>
  <c r="U123" i="1" s="1"/>
  <c r="U72" i="1" s="1"/>
  <c r="T17" i="1"/>
  <c r="M17" i="1"/>
  <c r="M34" i="1" s="1"/>
  <c r="L17" i="1"/>
  <c r="Q15" i="1"/>
  <c r="S15" i="1" s="1"/>
  <c r="P15" i="1"/>
  <c r="R15" i="1" s="1"/>
  <c r="K15" i="1"/>
  <c r="I15" i="1"/>
  <c r="H15" i="1"/>
  <c r="J15" i="1" s="1"/>
  <c r="C10" i="1"/>
  <c r="J99" i="1" l="1"/>
  <c r="K44" i="1"/>
  <c r="P60" i="1"/>
  <c r="R60" i="1" s="1"/>
  <c r="J81" i="1"/>
  <c r="I67" i="1"/>
  <c r="K67" i="1"/>
  <c r="P99" i="1"/>
  <c r="R99" i="1" s="1"/>
  <c r="H44" i="1"/>
  <c r="H54" i="1" s="1"/>
  <c r="H99" i="1"/>
  <c r="J37" i="1"/>
  <c r="J55" i="1"/>
  <c r="Q60" i="1"/>
  <c r="S60" i="1" s="1"/>
  <c r="H121" i="1"/>
  <c r="J121" i="1" s="1"/>
  <c r="H17" i="1"/>
  <c r="H34" i="1" s="1"/>
  <c r="H108" i="1"/>
  <c r="J108" i="1" s="1"/>
  <c r="J114" i="1"/>
  <c r="L54" i="1"/>
  <c r="J54" i="1" s="1"/>
  <c r="I17" i="1"/>
  <c r="I34" i="1" s="1"/>
  <c r="J24" i="1"/>
  <c r="P44" i="1"/>
  <c r="R44" i="1" s="1"/>
  <c r="M54" i="1"/>
  <c r="K54" i="1" s="1"/>
  <c r="J63" i="1"/>
  <c r="R64" i="1"/>
  <c r="K65" i="1"/>
  <c r="R81" i="1"/>
  <c r="Q34" i="1"/>
  <c r="L34" i="1"/>
  <c r="L110" i="1" s="1"/>
  <c r="L123" i="1" s="1"/>
  <c r="L72" i="1" s="1"/>
  <c r="P17" i="1"/>
  <c r="Q44" i="1"/>
  <c r="J44" i="1" l="1"/>
  <c r="P54" i="1"/>
  <c r="R54" i="1" s="1"/>
  <c r="J17" i="1"/>
  <c r="S44" i="1"/>
  <c r="Q54" i="1"/>
  <c r="S54" i="1" s="1"/>
  <c r="S34" i="1"/>
  <c r="Q110" i="1"/>
  <c r="R35" i="1"/>
  <c r="K17" i="1"/>
  <c r="R17" i="1"/>
  <c r="P34" i="1"/>
  <c r="M110" i="1"/>
  <c r="J34" i="1"/>
  <c r="H110" i="1"/>
  <c r="K34" i="1" l="1"/>
  <c r="I110" i="1"/>
  <c r="H111" i="1"/>
  <c r="H123" i="1"/>
  <c r="Q123" i="1"/>
  <c r="Q111" i="1"/>
  <c r="M123" i="1"/>
  <c r="M112" i="1"/>
  <c r="R34" i="1"/>
  <c r="P110" i="1"/>
  <c r="H72" i="1" l="1"/>
  <c r="H125" i="1"/>
  <c r="H74" i="1" s="1"/>
  <c r="H148" i="1"/>
  <c r="P111" i="1"/>
  <c r="P123" i="1"/>
  <c r="M72" i="1"/>
  <c r="M124" i="1"/>
  <c r="M73" i="1" s="1"/>
  <c r="I111" i="1"/>
  <c r="I123" i="1"/>
  <c r="I112" i="1"/>
  <c r="Q72" i="1"/>
  <c r="Q125" i="1"/>
  <c r="Q74" i="1" s="1"/>
  <c r="Q148" i="1"/>
  <c r="I125" i="1" l="1"/>
  <c r="I74" i="1" s="1"/>
  <c r="I72" i="1"/>
  <c r="I148" i="1"/>
  <c r="I124" i="1"/>
  <c r="I73" i="1" s="1"/>
  <c r="P72" i="1"/>
  <c r="P125" i="1"/>
  <c r="P74" i="1" s="1"/>
  <c r="P148" i="1"/>
</calcChain>
</file>

<file path=xl/comments1.xml><?xml version="1.0" encoding="utf-8"?>
<comments xmlns="http://schemas.openxmlformats.org/spreadsheetml/2006/main">
  <authors>
    <author>Lance Rottger</author>
  </authors>
  <commentList>
    <comment ref="H3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I3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3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Q3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5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I5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5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Q55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61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I61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61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68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I68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68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100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100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109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P109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  <comment ref="H122" authorId="0" shapeId="0">
      <text>
        <r>
          <rPr>
            <b/>
            <sz val="9"/>
            <color rgb="FF000000"/>
            <rFont val="Tahoma"/>
            <family val="2"/>
          </rPr>
          <t>Lance Rottger:</t>
        </r>
        <r>
          <rPr>
            <sz val="9"/>
            <color rgb="FF000000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<sst xmlns="http://schemas.openxmlformats.org/spreadsheetml/2006/main" count="248" uniqueCount="197">
  <si>
    <t>ELECTRIC &amp; GAS RIDER CONSERVATION EXPENDITURES &amp; SAVINGS</t>
  </si>
  <si>
    <t>January - December 2019</t>
  </si>
  <si>
    <t>Through December 2019</t>
  </si>
  <si>
    <t>Electric</t>
  </si>
  <si>
    <t>Gas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</si>
  <si>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</si>
  <si>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</si>
  <si>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</si>
  <si>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</si>
  <si>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</si>
  <si>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</si>
  <si>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</si>
  <si>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</si>
  <si>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</si>
  <si>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</si>
  <si>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</si>
  <si>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</si>
  <si>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</si>
  <si>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</si>
  <si>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</si>
  <si>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</si>
  <si>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</si>
  <si>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</si>
  <si>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>b</t>
  </si>
  <si>
    <t xml:space="preserve">Low Income Weatherization </t>
  </si>
  <si>
    <t>c</t>
  </si>
  <si>
    <t>Single Family Existing</t>
  </si>
  <si>
    <t>d</t>
  </si>
  <si>
    <t>Residential Lighting</t>
  </si>
  <si>
    <t>e</t>
  </si>
  <si>
    <t>Space heat</t>
  </si>
  <si>
    <t>f</t>
  </si>
  <si>
    <t>Water heat</t>
  </si>
  <si>
    <t>n/a</t>
  </si>
  <si>
    <t>g</t>
  </si>
  <si>
    <t>Single Family Rental Pilot</t>
  </si>
  <si>
    <t>h</t>
  </si>
  <si>
    <t>Home Energy Assessments</t>
  </si>
  <si>
    <t>i</t>
  </si>
  <si>
    <t>Home Appliances</t>
  </si>
  <si>
    <t>j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</si>
  <si>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</si>
  <si>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</si>
  <si>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</si>
  <si>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</si>
  <si>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</si>
  <si>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</si>
  <si>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</si>
  <si>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`</t>
  </si>
  <si>
    <t>n</t>
  </si>
  <si>
    <t xml:space="preserve">Single Family New Construction </t>
  </si>
  <si>
    <t>o</t>
  </si>
  <si>
    <t>Energy Star Manufactured Home</t>
  </si>
  <si>
    <t>p</t>
  </si>
  <si>
    <t>Fuel Conversion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</si>
  <si>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</si>
  <si>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</si>
  <si>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</si>
  <si>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</si>
  <si>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</si>
  <si>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</si>
  <si>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</si>
  <si>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</si>
  <si>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 xml:space="preserve"> </t>
  </si>
  <si>
    <t>u</t>
  </si>
  <si>
    <t>Commercial Industrial Retrofit</t>
  </si>
  <si>
    <t>v</t>
  </si>
  <si>
    <t>Commercial Industrial New Construction</t>
  </si>
  <si>
    <t>w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</si>
  <si>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</si>
  <si>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</si>
  <si>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</si>
  <si>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</si>
  <si>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</si>
  <si>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</si>
  <si>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</si>
  <si>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</si>
  <si>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</si>
  <si>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</si>
  <si>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</si>
  <si>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</si>
  <si>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</si>
  <si>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</si>
  <si>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Commercial Direct Install (NON-SBDI)</t>
  </si>
  <si>
    <t>ad</t>
  </si>
  <si>
    <t>Commercial HVAC</t>
  </si>
  <si>
    <t>ae</t>
  </si>
  <si>
    <t>Commercial Midstream</t>
  </si>
  <si>
    <t>af</t>
  </si>
  <si>
    <t>Small Business Direct Install</t>
  </si>
  <si>
    <t>ag</t>
  </si>
  <si>
    <t>Agricultural Direct Install</t>
  </si>
  <si>
    <t>ah</t>
  </si>
  <si>
    <t>Lodging Direct Install</t>
  </si>
  <si>
    <t>ai</t>
  </si>
  <si>
    <t>Total Business Programs</t>
  </si>
  <si>
    <t>aj</t>
  </si>
  <si>
    <t>Pilots</t>
  </si>
  <si>
    <t>ak</t>
  </si>
  <si>
    <t xml:space="preserve">Residential Pilots - Individual Energy Reports </t>
  </si>
  <si>
    <t>al</t>
  </si>
  <si>
    <t xml:space="preserve">Business Pilots - Individual Energy Reports </t>
  </si>
  <si>
    <t>am</t>
  </si>
  <si>
    <t>Total Pilots</t>
  </si>
  <si>
    <t>an</t>
  </si>
  <si>
    <t>Regional Efficiency Programs</t>
  </si>
  <si>
    <t>ao</t>
  </si>
  <si>
    <r>
      <t>NW Energy Efficiency Alliance</t>
    </r>
    <r>
      <rPr>
        <vertAlign val="superscript"/>
        <sz val="9"/>
        <rFont val="Tahoma"/>
        <family val="2"/>
      </rPr>
      <t/>
    </r>
  </si>
  <si>
    <t>ap</t>
  </si>
  <si>
    <t xml:space="preserve">NW Gas Market Transformation Collaborative </t>
  </si>
  <si>
    <t>aq</t>
  </si>
  <si>
    <t>Electric Generation, Transmission and Distribution</t>
  </si>
  <si>
    <t>ar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</si>
  <si>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</si>
  <si>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</si>
  <si>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t>See bottom of page 2.</t>
  </si>
  <si>
    <t xml:space="preserve">GRAND TOTAL CUSTOMER SOLUTIONS </t>
  </si>
  <si>
    <t>Total aMW Savings</t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</si>
  <si>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</si>
  <si>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t>as</t>
  </si>
  <si>
    <t>Energy Efficiency Portfolio Support</t>
  </si>
  <si>
    <t>at</t>
  </si>
  <si>
    <t>Data and Systems Services</t>
  </si>
  <si>
    <t>au</t>
  </si>
  <si>
    <t>Rebate Processing</t>
  </si>
  <si>
    <t>av</t>
  </si>
  <si>
    <t xml:space="preserve">Verification Team </t>
  </si>
  <si>
    <t>aw</t>
  </si>
  <si>
    <t>Programs Support</t>
  </si>
  <si>
    <t>ax</t>
  </si>
  <si>
    <t xml:space="preserve">Trade Ally Support </t>
  </si>
  <si>
    <t>ay</t>
  </si>
  <si>
    <t>Contractor Alliance Network [net of (revenue) + cost]</t>
  </si>
  <si>
    <t>az</t>
  </si>
  <si>
    <t>MyData (Automated Benchmarking System)</t>
  </si>
  <si>
    <t>ba</t>
  </si>
  <si>
    <t xml:space="preserve">Energy Advisors </t>
  </si>
  <si>
    <t>bb</t>
  </si>
  <si>
    <t>Energy Efficient Communities</t>
  </si>
  <si>
    <t xml:space="preserve">Customer Digital Experience </t>
  </si>
  <si>
    <t>bc</t>
  </si>
  <si>
    <t>Customer Online</t>
  </si>
  <si>
    <t>bd</t>
  </si>
  <si>
    <t xml:space="preserve">Market Integration </t>
  </si>
  <si>
    <t>bh</t>
  </si>
  <si>
    <t>Customer Awareness Tools</t>
  </si>
  <si>
    <t>bi</t>
  </si>
  <si>
    <t>ShopPSE</t>
  </si>
  <si>
    <t>be</t>
  </si>
  <si>
    <t>Events</t>
  </si>
  <si>
    <t>bf</t>
  </si>
  <si>
    <t>Brochures, non program-specific</t>
  </si>
  <si>
    <t>bg</t>
  </si>
  <si>
    <t>Education</t>
  </si>
  <si>
    <t>bk</t>
  </si>
  <si>
    <t>Total Portfolio Support</t>
  </si>
  <si>
    <t>bl</t>
  </si>
  <si>
    <t>Energy Efficiency Research &amp; Compliance</t>
  </si>
  <si>
    <t>bn</t>
  </si>
  <si>
    <t>Conservation Supply Curves</t>
  </si>
  <si>
    <t>bp</t>
  </si>
  <si>
    <t xml:space="preserve">Strategic Planning </t>
  </si>
  <si>
    <t>bq</t>
  </si>
  <si>
    <t>Market Research</t>
  </si>
  <si>
    <t>br</t>
  </si>
  <si>
    <t xml:space="preserve">Program Evaluation </t>
  </si>
  <si>
    <t>bt</t>
  </si>
  <si>
    <t>Biennial Electric Conservation Acquisition Review</t>
  </si>
  <si>
    <t>bu</t>
  </si>
  <si>
    <t xml:space="preserve">Total Research &amp; Compliance </t>
  </si>
  <si>
    <t>bv</t>
  </si>
  <si>
    <t>SUBTOTAL CUSTOMER SOLUTIONS - ENERGY EFFICIENCY</t>
  </si>
  <si>
    <t>bw</t>
  </si>
  <si>
    <t>bx</t>
  </si>
  <si>
    <t>by</t>
  </si>
  <si>
    <r>
      <t>Other Electric Programs</t>
    </r>
    <r>
      <rPr>
        <b/>
        <vertAlign val="superscript"/>
        <sz val="10"/>
        <color rgb="FFFFFFFF"/>
        <rFont val="Tahoma"/>
        <family val="2"/>
      </rPr>
      <t>1</t>
    </r>
  </si>
  <si>
    <t>bz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</si>
  <si>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</si>
  <si>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</si>
  <si>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ca</t>
  </si>
  <si>
    <t>Electric Vehicle Charger Incentive</t>
  </si>
  <si>
    <t xml:space="preserve">C/I Load Control </t>
  </si>
  <si>
    <t>249A</t>
  </si>
  <si>
    <t xml:space="preserve">Residential Demand Response Pilot </t>
  </si>
  <si>
    <t>cb</t>
  </si>
  <si>
    <t>Demand Response</t>
  </si>
  <si>
    <t>cc</t>
  </si>
  <si>
    <t>Total Other Electric Programs</t>
  </si>
  <si>
    <t>cd</t>
  </si>
  <si>
    <t>ce</t>
  </si>
  <si>
    <t>cf</t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</si>
  <si>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</si>
  <si>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</si>
  <si>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</si>
  <si>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</si>
  <si>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</si>
  <si>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Based on 2019 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</si>
</sst>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sz val="10"/>
      <color rgb="FFFFFFFF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8"/>
      <color rgb="FFFFFFFF"/>
      <name val="Tahoma"/>
      <family val="2"/>
    </font>
    <font>
      <sz val="10"/>
      <color rgb="FFFFFFFF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B4ABE7"/>
      <name val="Tahoma"/>
      <family val="2"/>
    </font>
    <font>
      <i/>
      <sz val="10"/>
      <color rgb="FFFF0000"/>
      <name val="Tahoma"/>
      <family val="2"/>
    </font>
    <font>
      <b/>
      <sz val="10"/>
      <color rgb="FF0070C0"/>
      <name val="Tahoma"/>
      <family val="2"/>
    </font>
    <font>
      <b/>
      <sz val="10"/>
      <color rgb="FFFF0000"/>
      <name val="Tahoma"/>
      <family val="2"/>
    </font>
    <font>
      <b/>
      <vertAlign val="superscript"/>
      <sz val="10"/>
      <color rgb="FFFFFFFF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rgb="FFFFFFFF"/>
      <name val="Tahoma"/>
      <family val="2"/>
    </font>
    <font>
      <vertAlign val="superscript"/>
      <sz val="10"/>
      <color rgb="FF000000"/>
      <name val="Tahoma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rgb="FFB2541A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0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/>
    <xf numFmtId="9" fontId="2" fillId="2" borderId="0" xfId="3" applyFont="1" applyFill="1" applyBorder="1"/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 applyBorder="1"/>
    <xf numFmtId="0" fontId="5" fillId="2" borderId="0" xfId="0" applyFont="1" applyFill="1" applyBorder="1"/>
    <xf numFmtId="0" fontId="5" fillId="2" borderId="0" xfId="1" applyNumberFormat="1" applyFont="1" applyFill="1" applyBorder="1" applyAlignment="1">
      <alignment horizontal="centerContinuous"/>
    </xf>
    <xf numFmtId="0" fontId="5" fillId="0" borderId="0" xfId="1" applyNumberFormat="1" applyFont="1" applyFill="1" applyBorder="1" applyAlignment="1">
      <alignment horizontal="centerContinuous"/>
    </xf>
    <xf numFmtId="0" fontId="5" fillId="2" borderId="0" xfId="2" applyNumberFormat="1" applyFont="1" applyFill="1" applyBorder="1" applyAlignment="1">
      <alignment horizontal="centerContinuous"/>
    </xf>
    <xf numFmtId="0" fontId="6" fillId="2" borderId="0" xfId="0" applyNumberFormat="1" applyFont="1" applyFill="1" applyBorder="1"/>
    <xf numFmtId="44" fontId="5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/>
    </xf>
    <xf numFmtId="164" fontId="5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4" borderId="13" xfId="2" applyNumberFormat="1" applyFont="1" applyFill="1" applyBorder="1" applyAlignment="1">
      <alignment horizontal="center" wrapText="1"/>
    </xf>
    <xf numFmtId="165" fontId="15" fillId="4" borderId="0" xfId="1" applyNumberFormat="1" applyFont="1" applyFill="1" applyBorder="1" applyAlignment="1">
      <alignment horizontal="center" wrapText="1"/>
    </xf>
    <xf numFmtId="165" fontId="15" fillId="4" borderId="15" xfId="1" applyNumberFormat="1" applyFont="1" applyFill="1" applyBorder="1" applyAlignment="1">
      <alignment horizontal="center" wrapText="1"/>
    </xf>
    <xf numFmtId="0" fontId="15" fillId="4" borderId="15" xfId="0" applyFont="1" applyFill="1" applyBorder="1"/>
    <xf numFmtId="165" fontId="15" fillId="4" borderId="14" xfId="1" applyNumberFormat="1" applyFont="1" applyFill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9" fontId="18" fillId="2" borderId="0" xfId="3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3" fontId="18" fillId="0" borderId="14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0" fontId="17" fillId="2" borderId="0" xfId="0" applyFont="1" applyFill="1" applyBorder="1"/>
    <xf numFmtId="164" fontId="18" fillId="0" borderId="13" xfId="2" applyNumberFormat="1" applyFont="1" applyFill="1" applyBorder="1" applyAlignment="1">
      <alignment horizontal="center"/>
    </xf>
    <xf numFmtId="164" fontId="18" fillId="2" borderId="15" xfId="2" applyNumberFormat="1" applyFont="1" applyFill="1" applyBorder="1"/>
    <xf numFmtId="164" fontId="19" fillId="2" borderId="0" xfId="2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3" fontId="19" fillId="0" borderId="0" xfId="1" applyNumberFormat="1" applyFont="1" applyFill="1" applyBorder="1" applyAlignment="1">
      <alignment horizontal="right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0" fontId="19" fillId="2" borderId="0" xfId="0" applyFont="1" applyFill="1" applyBorder="1"/>
    <xf numFmtId="0" fontId="11" fillId="2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/>
    <xf numFmtId="0" fontId="20" fillId="0" borderId="0" xfId="0" applyFont="1" applyFill="1" applyBorder="1" applyAlignment="1">
      <alignment horizontal="left" wrapText="1"/>
    </xf>
    <xf numFmtId="164" fontId="21" fillId="0" borderId="13" xfId="2" applyNumberFormat="1" applyFont="1" applyFill="1" applyBorder="1"/>
    <xf numFmtId="3" fontId="21" fillId="0" borderId="0" xfId="2" applyNumberFormat="1" applyFont="1" applyFill="1" applyBorder="1" applyAlignment="1">
      <alignment horizontal="right"/>
    </xf>
    <xf numFmtId="9" fontId="21" fillId="2" borderId="15" xfId="3" applyFont="1" applyFill="1" applyBorder="1" applyAlignment="1">
      <alignment horizontal="right" wrapText="1"/>
    </xf>
    <xf numFmtId="9" fontId="21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20" fillId="0" borderId="0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22" fillId="2" borderId="0" xfId="0" applyFont="1" applyFill="1" applyBorder="1"/>
    <xf numFmtId="0" fontId="21" fillId="2" borderId="0" xfId="0" applyFont="1" applyFill="1" applyBorder="1" applyAlignment="1"/>
    <xf numFmtId="0" fontId="21" fillId="2" borderId="14" xfId="0" applyFont="1" applyFill="1" applyBorder="1" applyAlignment="1"/>
    <xf numFmtId="0" fontId="21" fillId="0" borderId="14" xfId="0" applyFont="1" applyFill="1" applyBorder="1" applyAlignment="1"/>
    <xf numFmtId="164" fontId="21" fillId="2" borderId="15" xfId="2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2" fillId="2" borderId="13" xfId="2" applyNumberFormat="1" applyFont="1" applyFill="1" applyBorder="1"/>
    <xf numFmtId="3" fontId="21" fillId="2" borderId="14" xfId="1" applyNumberFormat="1" applyFont="1" applyFill="1" applyBorder="1" applyAlignment="1">
      <alignment horizontal="right"/>
    </xf>
    <xf numFmtId="164" fontId="21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2" borderId="13" xfId="2" applyNumberFormat="1" applyFont="1" applyFill="1" applyBorder="1"/>
    <xf numFmtId="166" fontId="7" fillId="2" borderId="0" xfId="2" applyNumberFormat="1" applyFont="1" applyFill="1" applyBorder="1" applyAlignment="1">
      <alignment horizontal="right"/>
    </xf>
    <xf numFmtId="166" fontId="7" fillId="2" borderId="14" xfId="2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7" fontId="7" fillId="2" borderId="14" xfId="1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166" fontId="15" fillId="2" borderId="1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5" fillId="0" borderId="13" xfId="2" applyNumberFormat="1" applyFont="1" applyFill="1" applyBorder="1"/>
    <xf numFmtId="166" fontId="15" fillId="2" borderId="0" xfId="2" applyNumberFormat="1" applyFont="1" applyFill="1" applyBorder="1" applyAlignment="1">
      <alignment horizontal="right"/>
    </xf>
    <xf numFmtId="9" fontId="15" fillId="2" borderId="15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4" fontId="15" fillId="2" borderId="15" xfId="2" applyNumberFormat="1" applyFont="1" applyFill="1" applyBorder="1" applyAlignment="1">
      <alignment horizontal="right"/>
    </xf>
    <xf numFmtId="166" fontId="15" fillId="2" borderId="14" xfId="2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right"/>
    </xf>
    <xf numFmtId="164" fontId="15" fillId="2" borderId="13" xfId="2" applyNumberFormat="1" applyFont="1" applyFill="1" applyBorder="1"/>
    <xf numFmtId="165" fontId="15" fillId="2" borderId="0" xfId="1" applyNumberFormat="1" applyFont="1" applyFill="1" applyBorder="1" applyAlignment="1">
      <alignment horizontal="right"/>
    </xf>
    <xf numFmtId="165" fontId="15" fillId="2" borderId="15" xfId="3" applyNumberFormat="1" applyFont="1" applyFill="1" applyBorder="1" applyAlignment="1">
      <alignment horizontal="right" wrapText="1"/>
    </xf>
    <xf numFmtId="167" fontId="15" fillId="2" borderId="14" xfId="1" applyNumberFormat="1" applyFont="1" applyFill="1" applyBorder="1" applyAlignment="1">
      <alignment horizontal="right"/>
    </xf>
    <xf numFmtId="0" fontId="24" fillId="2" borderId="0" xfId="0" applyFont="1" applyFill="1" applyBorder="1"/>
    <xf numFmtId="0" fontId="24" fillId="5" borderId="13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15" fillId="5" borderId="13" xfId="2" applyNumberFormat="1" applyFont="1" applyFill="1" applyBorder="1" applyAlignment="1">
      <alignment horizontal="center" wrapText="1"/>
    </xf>
    <xf numFmtId="165" fontId="15" fillId="5" borderId="0" xfId="1" applyNumberFormat="1" applyFont="1" applyFill="1" applyBorder="1" applyAlignment="1">
      <alignment horizontal="center" wrapText="1"/>
    </xf>
    <xf numFmtId="165" fontId="15" fillId="5" borderId="15" xfId="1" applyNumberFormat="1" applyFont="1" applyFill="1" applyBorder="1" applyAlignment="1">
      <alignment horizontal="center" wrapText="1"/>
    </xf>
    <xf numFmtId="0" fontId="24" fillId="5" borderId="15" xfId="0" applyFont="1" applyFill="1" applyBorder="1" applyAlignment="1">
      <alignment horizontal="right"/>
    </xf>
    <xf numFmtId="165" fontId="15" fillId="5" borderId="14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right" wrapText="1"/>
    </xf>
    <xf numFmtId="165" fontId="15" fillId="5" borderId="0" xfId="1" applyNumberFormat="1" applyFont="1" applyFill="1" applyBorder="1" applyAlignment="1">
      <alignment horizontal="right" wrapText="1"/>
    </xf>
    <xf numFmtId="164" fontId="24" fillId="5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1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14" xfId="2" applyNumberFormat="1" applyFont="1" applyFill="1" applyBorder="1" applyAlignment="1"/>
    <xf numFmtId="164" fontId="26" fillId="2" borderId="0" xfId="2" applyNumberFormat="1" applyFont="1" applyFill="1" applyBorder="1" applyAlignment="1">
      <alignment horizontal="center"/>
    </xf>
    <xf numFmtId="0" fontId="29" fillId="0" borderId="0" xfId="2" applyNumberFormat="1" applyFont="1" applyFill="1" applyBorder="1" applyAlignment="1"/>
    <xf numFmtId="164" fontId="29" fillId="0" borderId="13" xfId="2" applyNumberFormat="1" applyFont="1" applyFill="1" applyBorder="1"/>
    <xf numFmtId="9" fontId="29" fillId="2" borderId="15" xfId="3" applyFont="1" applyFill="1" applyBorder="1" applyAlignment="1">
      <alignment horizontal="right" wrapText="1"/>
    </xf>
    <xf numFmtId="9" fontId="29" fillId="2" borderId="0" xfId="3" applyFont="1" applyFill="1" applyBorder="1" applyAlignment="1">
      <alignment horizontal="right"/>
    </xf>
    <xf numFmtId="164" fontId="29" fillId="2" borderId="15" xfId="2" applyNumberFormat="1" applyFont="1" applyFill="1" applyBorder="1" applyAlignment="1">
      <alignment horizontal="right"/>
    </xf>
    <xf numFmtId="3" fontId="29" fillId="2" borderId="14" xfId="1" applyNumberFormat="1" applyFont="1" applyFill="1" applyBorder="1" applyAlignment="1">
      <alignment horizontal="right"/>
    </xf>
    <xf numFmtId="3" fontId="29" fillId="0" borderId="0" xfId="1" applyNumberFormat="1" applyFont="1" applyFill="1" applyBorder="1" applyAlignment="1">
      <alignment horizontal="right"/>
    </xf>
    <xf numFmtId="3" fontId="29" fillId="0" borderId="0" xfId="2" applyNumberFormat="1" applyFont="1" applyFill="1" applyBorder="1" applyAlignment="1">
      <alignment horizontal="right"/>
    </xf>
    <xf numFmtId="165" fontId="29" fillId="2" borderId="14" xfId="1" applyNumberFormat="1" applyFont="1" applyFill="1" applyBorder="1" applyAlignment="1">
      <alignment horizontal="right"/>
    </xf>
    <xf numFmtId="0" fontId="29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21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165" fontId="15" fillId="2" borderId="0" xfId="1" applyNumberFormat="1" applyFont="1" applyFill="1" applyBorder="1" applyAlignment="1"/>
    <xf numFmtId="9" fontId="15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6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6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7" fontId="7" fillId="6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0" fontId="7" fillId="0" borderId="0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30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1" fillId="2" borderId="0" xfId="0" applyFont="1" applyFill="1" applyBorder="1"/>
    <xf numFmtId="0" fontId="32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33" fillId="2" borderId="0" xfId="0" applyFont="1" applyFill="1" applyBorder="1"/>
    <xf numFmtId="0" fontId="23" fillId="2" borderId="14" xfId="0" applyFont="1" applyFill="1" applyBorder="1" applyAlignment="1">
      <alignment horizontal="center"/>
    </xf>
    <xf numFmtId="0" fontId="33" fillId="2" borderId="10" xfId="0" applyFont="1" applyFill="1" applyBorder="1"/>
    <xf numFmtId="0" fontId="24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24" fillId="0" borderId="17" xfId="0" applyFont="1" applyFill="1" applyBorder="1"/>
    <xf numFmtId="164" fontId="15" fillId="2" borderId="10" xfId="2" applyNumberFormat="1" applyFont="1" applyFill="1" applyBorder="1"/>
    <xf numFmtId="166" fontId="15" fillId="2" borderId="10" xfId="2" applyNumberFormat="1" applyFont="1" applyFill="1" applyBorder="1" applyAlignment="1">
      <alignment horizontal="right"/>
    </xf>
    <xf numFmtId="9" fontId="15" fillId="2" borderId="18" xfId="3" applyFont="1" applyFill="1" applyBorder="1" applyAlignment="1">
      <alignment horizontal="right"/>
    </xf>
    <xf numFmtId="9" fontId="24" fillId="2" borderId="10" xfId="3" applyFont="1" applyFill="1" applyBorder="1" applyAlignment="1">
      <alignment horizontal="right"/>
    </xf>
    <xf numFmtId="164" fontId="15" fillId="2" borderId="18" xfId="2" applyNumberFormat="1" applyFont="1" applyFill="1" applyBorder="1" applyAlignment="1">
      <alignment horizontal="right"/>
    </xf>
    <xf numFmtId="165" fontId="15" fillId="2" borderId="10" xfId="1" applyNumberFormat="1" applyFont="1" applyFill="1" applyBorder="1" applyAlignment="1">
      <alignment horizontal="right"/>
    </xf>
    <xf numFmtId="165" fontId="24" fillId="0" borderId="13" xfId="1" applyNumberFormat="1" applyFont="1" applyFill="1" applyBorder="1" applyAlignment="1">
      <alignment horizontal="right"/>
    </xf>
    <xf numFmtId="165" fontId="24" fillId="0" borderId="0" xfId="1" applyNumberFormat="1" applyFont="1" applyFill="1" applyBorder="1" applyAlignment="1">
      <alignment horizontal="right"/>
    </xf>
    <xf numFmtId="164" fontId="15" fillId="2" borderId="9" xfId="2" applyNumberFormat="1" applyFont="1" applyFill="1" applyBorder="1"/>
    <xf numFmtId="3" fontId="15" fillId="2" borderId="10" xfId="2" applyNumberFormat="1" applyFont="1" applyFill="1" applyBorder="1" applyAlignment="1">
      <alignment horizontal="right"/>
    </xf>
    <xf numFmtId="9" fontId="15" fillId="2" borderId="10" xfId="3" applyFont="1" applyFill="1" applyBorder="1" applyAlignment="1">
      <alignment horizontal="right"/>
    </xf>
    <xf numFmtId="165" fontId="15" fillId="2" borderId="11" xfId="1" applyNumberFormat="1" applyFont="1" applyFill="1" applyBorder="1" applyAlignment="1">
      <alignment horizontal="right"/>
    </xf>
    <xf numFmtId="0" fontId="33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34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6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8" borderId="19" xfId="2" applyNumberFormat="1" applyFont="1" applyFill="1" applyBorder="1"/>
    <xf numFmtId="37" fontId="5" fillId="8" borderId="20" xfId="2" applyNumberFormat="1" applyFont="1" applyFill="1" applyBorder="1"/>
    <xf numFmtId="164" fontId="5" fillId="8" borderId="22" xfId="2" applyNumberFormat="1" applyFont="1" applyFill="1" applyBorder="1"/>
    <xf numFmtId="164" fontId="5" fillId="8" borderId="20" xfId="2" applyNumberFormat="1" applyFont="1" applyFill="1" applyBorder="1"/>
    <xf numFmtId="37" fontId="5" fillId="8" borderId="21" xfId="2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0" fontId="2" fillId="9" borderId="13" xfId="0" applyFont="1" applyFill="1" applyBorder="1"/>
    <xf numFmtId="0" fontId="2" fillId="9" borderId="0" xfId="0" applyFont="1" applyFill="1" applyBorder="1"/>
    <xf numFmtId="0" fontId="7" fillId="9" borderId="14" xfId="0" applyFont="1" applyFill="1" applyBorder="1" applyAlignment="1">
      <alignment horizontal="right"/>
    </xf>
    <xf numFmtId="168" fontId="7" fillId="9" borderId="13" xfId="3" applyNumberFormat="1" applyFont="1" applyFill="1" applyBorder="1" applyAlignment="1">
      <alignment horizontal="center"/>
    </xf>
    <xf numFmtId="169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69" fontId="7" fillId="9" borderId="14" xfId="1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0" fontId="36" fillId="2" borderId="0" xfId="0" applyFont="1" applyFill="1" applyBorder="1"/>
    <xf numFmtId="0" fontId="37" fillId="9" borderId="13" xfId="0" applyFont="1" applyFill="1" applyBorder="1" applyAlignment="1">
      <alignment horizontal="center"/>
    </xf>
    <xf numFmtId="0" fontId="37" fillId="9" borderId="0" xfId="0" applyFont="1" applyFill="1" applyBorder="1" applyAlignment="1">
      <alignment horizontal="center"/>
    </xf>
    <xf numFmtId="0" fontId="34" fillId="9" borderId="14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right"/>
    </xf>
    <xf numFmtId="168" fontId="34" fillId="9" borderId="13" xfId="3" applyNumberFormat="1" applyFont="1" applyFill="1" applyBorder="1"/>
    <xf numFmtId="168" fontId="34" fillId="9" borderId="0" xfId="3" applyNumberFormat="1" applyFont="1" applyFill="1" applyBorder="1"/>
    <xf numFmtId="9" fontId="34" fillId="9" borderId="15" xfId="1" applyNumberFormat="1" applyFont="1" applyFill="1" applyBorder="1" applyAlignment="1">
      <alignment horizontal="center"/>
    </xf>
    <xf numFmtId="9" fontId="34" fillId="9" borderId="0" xfId="3" applyFont="1" applyFill="1" applyBorder="1" applyAlignment="1">
      <alignment horizontal="center"/>
    </xf>
    <xf numFmtId="164" fontId="34" fillId="9" borderId="15" xfId="2" applyNumberFormat="1" applyFont="1" applyFill="1" applyBorder="1"/>
    <xf numFmtId="9" fontId="34" fillId="9" borderId="14" xfId="3" applyFont="1" applyFill="1" applyBorder="1" applyAlignment="1">
      <alignment horizontal="center"/>
    </xf>
    <xf numFmtId="9" fontId="34" fillId="0" borderId="0" xfId="3" applyFont="1" applyFill="1" applyBorder="1" applyAlignment="1">
      <alignment horizontal="center"/>
    </xf>
    <xf numFmtId="0" fontId="37" fillId="2" borderId="0" xfId="0" applyFont="1" applyFill="1" applyBorder="1"/>
    <xf numFmtId="165" fontId="37" fillId="2" borderId="0" xfId="0" applyNumberFormat="1" applyFont="1" applyFill="1" applyBorder="1"/>
    <xf numFmtId="0" fontId="8" fillId="9" borderId="14" xfId="0" applyFont="1" applyFill="1" applyBorder="1"/>
    <xf numFmtId="0" fontId="2" fillId="9" borderId="15" xfId="0" applyFont="1" applyFill="1" applyBorder="1"/>
    <xf numFmtId="0" fontId="2" fillId="9" borderId="14" xfId="0" applyFont="1" applyFill="1" applyBorder="1"/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64" fontId="2" fillId="9" borderId="13" xfId="2" applyNumberFormat="1" applyFont="1" applyFill="1" applyBorder="1"/>
    <xf numFmtId="0" fontId="2" fillId="9" borderId="0" xfId="0" applyFont="1" applyFill="1" applyBorder="1" applyAlignment="1">
      <alignment horizontal="right"/>
    </xf>
    <xf numFmtId="9" fontId="2" fillId="9" borderId="15" xfId="3" applyFont="1" applyFill="1" applyBorder="1" applyAlignment="1">
      <alignment horizontal="right"/>
    </xf>
    <xf numFmtId="164" fontId="2" fillId="9" borderId="15" xfId="2" applyNumberFormat="1" applyFont="1" applyFill="1" applyBorder="1" applyAlignment="1">
      <alignment horizontal="right"/>
    </xf>
    <xf numFmtId="0" fontId="2" fillId="9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left"/>
    </xf>
    <xf numFmtId="164" fontId="2" fillId="9" borderId="9" xfId="2" applyNumberFormat="1" applyFont="1" applyFill="1" applyBorder="1"/>
    <xf numFmtId="166" fontId="2" fillId="9" borderId="10" xfId="2" applyNumberFormat="1" applyFont="1" applyFill="1" applyBorder="1" applyAlignment="1">
      <alignment horizontal="right"/>
    </xf>
    <xf numFmtId="9" fontId="2" fillId="9" borderId="18" xfId="3" applyFont="1" applyFill="1" applyBorder="1" applyAlignment="1">
      <alignment horizontal="right"/>
    </xf>
    <xf numFmtId="9" fontId="2" fillId="9" borderId="10" xfId="3" applyFont="1" applyFill="1" applyBorder="1" applyAlignment="1">
      <alignment horizontal="right"/>
    </xf>
    <xf numFmtId="164" fontId="2" fillId="9" borderId="18" xfId="2" applyNumberFormat="1" applyFont="1" applyFill="1" applyBorder="1" applyAlignment="1">
      <alignment horizontal="right"/>
    </xf>
    <xf numFmtId="166" fontId="2" fillId="9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5" fillId="10" borderId="13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10" borderId="14" xfId="0" applyFont="1" applyFill="1" applyBorder="1"/>
    <xf numFmtId="164" fontId="2" fillId="10" borderId="13" xfId="2" applyNumberFormat="1" applyFont="1" applyFill="1" applyBorder="1"/>
    <xf numFmtId="3" fontId="2" fillId="10" borderId="0" xfId="2" applyNumberFormat="1" applyFont="1" applyFill="1" applyBorder="1" applyAlignment="1">
      <alignment horizontal="center"/>
    </xf>
    <xf numFmtId="9" fontId="2" fillId="10" borderId="15" xfId="3" applyFont="1" applyFill="1" applyBorder="1" applyAlignment="1">
      <alignment horizontal="center"/>
    </xf>
    <xf numFmtId="9" fontId="2" fillId="10" borderId="0" xfId="3" applyFont="1" applyFill="1" applyBorder="1" applyAlignment="1">
      <alignment horizontal="center"/>
    </xf>
    <xf numFmtId="164" fontId="2" fillId="10" borderId="15" xfId="2" applyNumberFormat="1" applyFont="1" applyFill="1" applyBorder="1" applyAlignment="1">
      <alignment horizontal="right"/>
    </xf>
    <xf numFmtId="165" fontId="2" fillId="10" borderId="14" xfId="1" applyNumberFormat="1" applyFont="1" applyFill="1" applyBorder="1" applyAlignment="1">
      <alignment horizontal="center"/>
    </xf>
    <xf numFmtId="3" fontId="2" fillId="10" borderId="0" xfId="2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0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39" fillId="2" borderId="0" xfId="0" applyFont="1" applyFill="1" applyBorder="1"/>
    <xf numFmtId="0" fontId="2" fillId="2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0" fontId="18" fillId="2" borderId="0" xfId="0" applyFont="1" applyFill="1" applyBorder="1"/>
    <xf numFmtId="0" fontId="17" fillId="0" borderId="0" xfId="0" applyFont="1" applyFill="1" applyBorder="1"/>
    <xf numFmtId="0" fontId="17" fillId="2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0" fontId="17" fillId="2" borderId="14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40" fillId="2" borderId="0" xfId="0" applyFont="1" applyFill="1" applyBorder="1"/>
    <xf numFmtId="0" fontId="17" fillId="0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3" fontId="41" fillId="0" borderId="0" xfId="2" applyNumberFormat="1" applyFont="1" applyFill="1" applyBorder="1" applyAlignment="1">
      <alignment horizontal="right"/>
    </xf>
    <xf numFmtId="0" fontId="41" fillId="2" borderId="0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/>
    <xf numFmtId="164" fontId="17" fillId="2" borderId="15" xfId="2" applyNumberFormat="1" applyFont="1" applyFill="1" applyBorder="1" applyAlignment="1">
      <alignment horizontal="right"/>
    </xf>
    <xf numFmtId="9" fontId="18" fillId="0" borderId="0" xfId="3" applyFont="1" applyFill="1" applyBorder="1" applyAlignment="1">
      <alignment horizontal="righ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4" fillId="2" borderId="14" xfId="0" applyFont="1" applyFill="1" applyBorder="1"/>
    <xf numFmtId="0" fontId="24" fillId="0" borderId="0" xfId="0" applyFont="1" applyFill="1" applyBorder="1"/>
    <xf numFmtId="0" fontId="24" fillId="2" borderId="0" xfId="0" applyFont="1" applyFill="1" applyBorder="1" applyAlignment="1">
      <alignment horizontal="right"/>
    </xf>
    <xf numFmtId="9" fontId="24" fillId="2" borderId="15" xfId="3" applyFont="1" applyFill="1" applyBorder="1" applyAlignment="1">
      <alignment horizontal="right"/>
    </xf>
    <xf numFmtId="164" fontId="24" fillId="2" borderId="15" xfId="2" applyNumberFormat="1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164" fontId="24" fillId="2" borderId="13" xfId="2" applyNumberFormat="1" applyFont="1" applyFill="1" applyBorder="1"/>
    <xf numFmtId="165" fontId="24" fillId="2" borderId="14" xfId="1" applyNumberFormat="1" applyFont="1" applyFill="1" applyBorder="1" applyAlignment="1">
      <alignment horizontal="right"/>
    </xf>
    <xf numFmtId="0" fontId="15" fillId="11" borderId="13" xfId="0" applyFont="1" applyFill="1" applyBorder="1" applyAlignment="1"/>
    <xf numFmtId="0" fontId="15" fillId="11" borderId="0" xfId="0" applyFont="1" applyFill="1" applyBorder="1" applyAlignment="1"/>
    <xf numFmtId="0" fontId="15" fillId="11" borderId="14" xfId="0" applyFont="1" applyFill="1" applyBorder="1" applyAlignment="1"/>
    <xf numFmtId="164" fontId="15" fillId="11" borderId="13" xfId="2" applyNumberFormat="1" applyFont="1" applyFill="1" applyBorder="1"/>
    <xf numFmtId="0" fontId="15" fillId="11" borderId="0" xfId="0" applyFont="1" applyFill="1" applyBorder="1" applyAlignment="1">
      <alignment horizontal="center"/>
    </xf>
    <xf numFmtId="9" fontId="15" fillId="11" borderId="15" xfId="3" applyFont="1" applyFill="1" applyBorder="1" applyAlignment="1">
      <alignment horizontal="center"/>
    </xf>
    <xf numFmtId="164" fontId="15" fillId="11" borderId="15" xfId="2" applyNumberFormat="1" applyFont="1" applyFill="1" applyBorder="1" applyAlignment="1">
      <alignment horizontal="right"/>
    </xf>
    <xf numFmtId="0" fontId="15" fillId="11" borderId="14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right"/>
    </xf>
    <xf numFmtId="165" fontId="15" fillId="11" borderId="14" xfId="1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0" fontId="32" fillId="0" borderId="0" xfId="0" applyFont="1" applyFill="1" applyBorder="1"/>
    <xf numFmtId="164" fontId="24" fillId="0" borderId="15" xfId="2" applyNumberFormat="1" applyFont="1" applyFill="1" applyBorder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right"/>
    </xf>
    <xf numFmtId="164" fontId="5" fillId="8" borderId="13" xfId="2" applyNumberFormat="1" applyFont="1" applyFill="1" applyBorder="1"/>
    <xf numFmtId="166" fontId="5" fillId="8" borderId="0" xfId="1" applyNumberFormat="1" applyFont="1" applyFill="1" applyBorder="1" applyAlignment="1">
      <alignment horizontal="right"/>
    </xf>
    <xf numFmtId="165" fontId="5" fillId="8" borderId="15" xfId="1" applyNumberFormat="1" applyFont="1" applyFill="1" applyBorder="1" applyAlignment="1">
      <alignment horizontal="right"/>
    </xf>
    <xf numFmtId="0" fontId="5" fillId="8" borderId="0" xfId="0" applyFont="1" applyFill="1" applyBorder="1"/>
    <xf numFmtId="164" fontId="5" fillId="8" borderId="15" xfId="2" applyNumberFormat="1" applyFont="1" applyFill="1" applyBorder="1"/>
    <xf numFmtId="166" fontId="5" fillId="8" borderId="14" xfId="1" applyNumberFormat="1" applyFont="1" applyFill="1" applyBorder="1" applyAlignment="1">
      <alignment horizontal="right"/>
    </xf>
    <xf numFmtId="167" fontId="5" fillId="8" borderId="0" xfId="1" applyNumberFormat="1" applyFont="1" applyFill="1" applyBorder="1" applyAlignment="1">
      <alignment horizontal="right"/>
    </xf>
    <xf numFmtId="167" fontId="5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5" fillId="2" borderId="13" xfId="3" applyNumberFormat="1" applyFont="1" applyFill="1" applyBorder="1" applyAlignment="1">
      <alignment horizontal="right"/>
    </xf>
    <xf numFmtId="168" fontId="5" fillId="2" borderId="0" xfId="3" applyNumberFormat="1" applyFont="1" applyFill="1" applyBorder="1" applyAlignment="1">
      <alignment horizontal="right"/>
    </xf>
    <xf numFmtId="165" fontId="34" fillId="2" borderId="1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5" fillId="2" borderId="15" xfId="2" applyNumberFormat="1" applyFont="1" applyFill="1" applyBorder="1" applyAlignment="1">
      <alignment horizontal="right"/>
    </xf>
    <xf numFmtId="165" fontId="5" fillId="2" borderId="14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7" fillId="2" borderId="13" xfId="3" applyNumberFormat="1" applyFont="1" applyFill="1" applyBorder="1" applyAlignment="1">
      <alignment horizontal="right"/>
    </xf>
    <xf numFmtId="169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69" fontId="7" fillId="0" borderId="14" xfId="1" applyNumberFormat="1" applyFont="1" applyFill="1" applyBorder="1" applyAlignment="1">
      <alignment horizontal="right"/>
    </xf>
    <xf numFmtId="0" fontId="15" fillId="12" borderId="13" xfId="0" applyFont="1" applyFill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0" fontId="15" fillId="12" borderId="14" xfId="0" applyFont="1" applyFill="1" applyBorder="1"/>
    <xf numFmtId="0" fontId="8" fillId="0" borderId="0" xfId="0" applyFont="1" applyFill="1" applyBorder="1"/>
    <xf numFmtId="164" fontId="15" fillId="12" borderId="13" xfId="2" applyNumberFormat="1" applyFont="1" applyFill="1" applyBorder="1"/>
    <xf numFmtId="3" fontId="15" fillId="12" borderId="0" xfId="2" applyNumberFormat="1" applyFont="1" applyFill="1" applyBorder="1" applyAlignment="1">
      <alignment horizontal="center"/>
    </xf>
    <xf numFmtId="9" fontId="15" fillId="12" borderId="15" xfId="3" applyFont="1" applyFill="1" applyBorder="1" applyAlignment="1">
      <alignment horizontal="center"/>
    </xf>
    <xf numFmtId="9" fontId="15" fillId="12" borderId="0" xfId="3" applyFont="1" applyFill="1" applyBorder="1" applyAlignment="1">
      <alignment horizontal="center"/>
    </xf>
    <xf numFmtId="164" fontId="15" fillId="12" borderId="15" xfId="2" applyNumberFormat="1" applyFont="1" applyFill="1" applyBorder="1" applyAlignment="1">
      <alignment horizontal="right"/>
    </xf>
    <xf numFmtId="165" fontId="15" fillId="12" borderId="14" xfId="1" applyNumberFormat="1" applyFont="1" applyFill="1" applyBorder="1" applyAlignment="1">
      <alignment horizontal="center"/>
    </xf>
    <xf numFmtId="3" fontId="15" fillId="12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6" fillId="2" borderId="14" xfId="0" applyFont="1" applyFill="1" applyBorder="1"/>
    <xf numFmtId="0" fontId="26" fillId="2" borderId="0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45" fillId="2" borderId="14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166" fontId="45" fillId="2" borderId="0" xfId="2" applyNumberFormat="1" applyFont="1" applyFill="1" applyBorder="1" applyAlignment="1">
      <alignment horizontal="right"/>
    </xf>
    <xf numFmtId="9" fontId="45" fillId="2" borderId="15" xfId="3" applyFont="1" applyFill="1" applyBorder="1" applyAlignment="1">
      <alignment horizontal="right"/>
    </xf>
    <xf numFmtId="9" fontId="45" fillId="2" borderId="0" xfId="3" applyFont="1" applyFill="1" applyBorder="1" applyAlignment="1">
      <alignment horizontal="right"/>
    </xf>
    <xf numFmtId="164" fontId="45" fillId="2" borderId="15" xfId="2" applyNumberFormat="1" applyFont="1" applyFill="1" applyBorder="1" applyAlignment="1">
      <alignment horizontal="right"/>
    </xf>
    <xf numFmtId="166" fontId="45" fillId="2" borderId="14" xfId="2" applyNumberFormat="1" applyFont="1" applyFill="1" applyBorder="1" applyAlignment="1">
      <alignment horizontal="right"/>
    </xf>
    <xf numFmtId="166" fontId="45" fillId="0" borderId="0" xfId="2" applyNumberFormat="1" applyFont="1" applyFill="1" applyBorder="1" applyAlignment="1">
      <alignment horizontal="right"/>
    </xf>
    <xf numFmtId="164" fontId="45" fillId="2" borderId="13" xfId="2" applyNumberFormat="1" applyFont="1" applyFill="1" applyBorder="1"/>
    <xf numFmtId="164" fontId="5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69" fontId="7" fillId="2" borderId="14" xfId="1" applyNumberFormat="1" applyFont="1" applyFill="1" applyBorder="1" applyAlignment="1">
      <alignment horizontal="right"/>
    </xf>
    <xf numFmtId="168" fontId="7" fillId="2" borderId="13" xfId="3" applyNumberFormat="1" applyFont="1" applyFill="1" applyBorder="1" applyAlignment="1">
      <alignment horizontal="center"/>
    </xf>
    <xf numFmtId="0" fontId="37" fillId="2" borderId="13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4" fillId="2" borderId="14" xfId="0" applyNumberFormat="1" applyFont="1" applyFill="1" applyBorder="1" applyAlignment="1">
      <alignment horizontal="right"/>
    </xf>
    <xf numFmtId="168" fontId="34" fillId="2" borderId="13" xfId="3" applyNumberFormat="1" applyFont="1" applyFill="1" applyBorder="1"/>
    <xf numFmtId="168" fontId="34" fillId="2" borderId="0" xfId="3" applyNumberFormat="1" applyFont="1" applyFill="1" applyBorder="1"/>
    <xf numFmtId="9" fontId="34" fillId="2" borderId="15" xfId="1" applyNumberFormat="1" applyFont="1" applyFill="1" applyBorder="1" applyAlignment="1">
      <alignment horizontal="center"/>
    </xf>
    <xf numFmtId="9" fontId="34" fillId="2" borderId="0" xfId="3" applyFont="1" applyFill="1" applyBorder="1" applyAlignment="1">
      <alignment horizontal="center"/>
    </xf>
    <xf numFmtId="164" fontId="34" fillId="2" borderId="15" xfId="2" applyNumberFormat="1" applyFont="1" applyFill="1" applyBorder="1"/>
    <xf numFmtId="9" fontId="34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8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10" fontId="2" fillId="2" borderId="0" xfId="0" applyNumberFormat="1" applyFont="1" applyFill="1" applyBorder="1"/>
    <xf numFmtId="0" fontId="21" fillId="2" borderId="0" xfId="0" applyFont="1" applyFill="1" applyBorder="1" applyAlignment="1">
      <alignment horizontal="left"/>
    </xf>
    <xf numFmtId="44" fontId="2" fillId="2" borderId="0" xfId="2" applyFont="1" applyFill="1" applyBorder="1"/>
    <xf numFmtId="164" fontId="2" fillId="2" borderId="0" xfId="2" applyNumberFormat="1" applyFont="1" applyFill="1" applyBorder="1"/>
    <xf numFmtId="3" fontId="2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left" indent="3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textRotation="90" wrapText="1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289560</xdr:colOff>
      <xdr:row>1</xdr:row>
      <xdr:rowOff>152400</xdr:rowOff>
    </xdr:from>
    <xdr:ext cx="18630900" cy="623248"/>
    <xdr:sp macro="" textlink="">
      <xdr:nvSpPr>
        <xdr:cNvPr id="2" name="TextBox 1"/>
        <xdr:cNvSpPr txBox="1"/>
      </xdr:nvSpPr>
      <xdr:spPr>
        <a:xfrm>
          <a:off x="914400" y="32004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2-Budget%20&amp;%20Administration\Tracking\2019%20Program%20Tracking\TRACKING\2019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vgs"/>
      <sheetName val="AR_5-yr gas spending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CRAG Meeting Updates"/>
      <sheetName val="18 Jan"/>
      <sheetName val="18 Feb"/>
      <sheetName val="18 Mar"/>
      <sheetName val="18 Apr"/>
      <sheetName val="18 May"/>
      <sheetName val="18 Jun"/>
      <sheetName val="18Jul"/>
      <sheetName val="18Aug"/>
      <sheetName val="18Sep"/>
      <sheetName val="18Oct"/>
      <sheetName val="18Nov"/>
      <sheetName val="18Dec"/>
      <sheetName val="19Jan"/>
      <sheetName val="19Feb"/>
      <sheetName val="19Mar"/>
      <sheetName val="19Apr"/>
      <sheetName val="19May"/>
      <sheetName val="19Jun"/>
      <sheetName val="19Jul"/>
      <sheetName val="19Aug"/>
      <sheetName val="19Sep"/>
      <sheetName val="19Oct"/>
      <sheetName val="19Nov"/>
      <sheetName val="19Dec"/>
    </sheetNames>
    <sheetDataSet>
      <sheetData sheetId="0"/>
      <sheetData sheetId="1"/>
      <sheetData sheetId="2"/>
      <sheetData sheetId="3"/>
      <sheetData sheetId="4">
        <row r="6">
          <cell r="AE6"/>
          <cell r="AI6"/>
        </row>
        <row r="7">
          <cell r="AE7">
            <v>219774.32000000004</v>
          </cell>
          <cell r="AI7" t="str">
            <v>Residential Energy Management</v>
          </cell>
        </row>
        <row r="8">
          <cell r="AE8">
            <v>56662.849999999991</v>
          </cell>
          <cell r="AI8" t="str">
            <v>Residential Energy Management</v>
          </cell>
        </row>
        <row r="9">
          <cell r="AE9">
            <v>1534295.4599999997</v>
          </cell>
          <cell r="AI9" t="str">
            <v>Other Electric Programs</v>
          </cell>
        </row>
        <row r="10">
          <cell r="AE10">
            <v>20564.870000000003</v>
          </cell>
          <cell r="AI10" t="str">
            <v>Pilots</v>
          </cell>
        </row>
        <row r="11">
          <cell r="AE11">
            <v>0</v>
          </cell>
          <cell r="AI11" t="str">
            <v>Other Electric Programs</v>
          </cell>
        </row>
        <row r="12">
          <cell r="AE12">
            <v>75477.88</v>
          </cell>
          <cell r="AI12" t="str">
            <v>Energy Efficiency Portfolio Support</v>
          </cell>
        </row>
        <row r="13">
          <cell r="AE13">
            <v>97240.00999999998</v>
          </cell>
          <cell r="AI13" t="str">
            <v>Residential Energy Management</v>
          </cell>
        </row>
        <row r="14">
          <cell r="AE14">
            <v>6044772.1299999999</v>
          </cell>
          <cell r="AI14" t="str">
            <v>Residential Energy Management</v>
          </cell>
        </row>
        <row r="15">
          <cell r="AE15">
            <v>459955.37999999995</v>
          </cell>
          <cell r="AI15" t="str">
            <v>Energy Efficiency Portfolio Support</v>
          </cell>
        </row>
        <row r="16">
          <cell r="AE16">
            <v>0</v>
          </cell>
          <cell r="AI16"/>
        </row>
        <row r="17">
          <cell r="AE17">
            <v>265132.55000000005</v>
          </cell>
          <cell r="AI17" t="str">
            <v>Energy Efficiency Portfolio Support</v>
          </cell>
        </row>
        <row r="18">
          <cell r="AE18">
            <v>0</v>
          </cell>
          <cell r="AI18" t="str">
            <v>Energy Efficiency Portfolio Support</v>
          </cell>
        </row>
        <row r="19">
          <cell r="AE19">
            <v>168296.67</v>
          </cell>
          <cell r="AI19" t="str">
            <v>Energy Efficiency Research &amp; Compliance</v>
          </cell>
        </row>
        <row r="20">
          <cell r="AE20">
            <v>0</v>
          </cell>
          <cell r="AI20"/>
        </row>
        <row r="21">
          <cell r="AE21">
            <v>0</v>
          </cell>
          <cell r="AI21"/>
        </row>
        <row r="22">
          <cell r="AE22">
            <v>0</v>
          </cell>
          <cell r="AI22"/>
        </row>
        <row r="23">
          <cell r="AE23">
            <v>0</v>
          </cell>
          <cell r="AI23" t="str">
            <v>Business Energy Management</v>
          </cell>
        </row>
        <row r="24">
          <cell r="AE24">
            <v>463416.07</v>
          </cell>
          <cell r="AI24" t="str">
            <v>Energy Efficiency Portfolio Support</v>
          </cell>
        </row>
        <row r="25">
          <cell r="AE25">
            <v>4052906.7799999993</v>
          </cell>
          <cell r="AI25" t="str">
            <v>Regional Efficiency Programs</v>
          </cell>
        </row>
        <row r="26">
          <cell r="AE26">
            <v>0</v>
          </cell>
          <cell r="AI26"/>
        </row>
        <row r="27">
          <cell r="AE27">
            <v>0</v>
          </cell>
          <cell r="AI27"/>
        </row>
        <row r="28">
          <cell r="AE28">
            <v>0</v>
          </cell>
          <cell r="AI28"/>
        </row>
        <row r="29">
          <cell r="AE29">
            <v>0</v>
          </cell>
          <cell r="AI29"/>
        </row>
        <row r="30">
          <cell r="AE30">
            <v>0</v>
          </cell>
          <cell r="AI30" t="str">
            <v>Residential Energy Management</v>
          </cell>
        </row>
        <row r="31">
          <cell r="AE31">
            <v>1057618.73</v>
          </cell>
          <cell r="AI31" t="str">
            <v>Residential Energy Management</v>
          </cell>
        </row>
        <row r="32">
          <cell r="AE32">
            <v>329871.62</v>
          </cell>
          <cell r="AI32" t="str">
            <v>Residential Energy Management</v>
          </cell>
        </row>
        <row r="33">
          <cell r="AE33">
            <v>0</v>
          </cell>
          <cell r="AI33">
            <v>0</v>
          </cell>
        </row>
        <row r="34">
          <cell r="AE34">
            <v>0</v>
          </cell>
          <cell r="AI34"/>
        </row>
        <row r="35">
          <cell r="AE35">
            <v>0</v>
          </cell>
          <cell r="AI35"/>
        </row>
        <row r="36">
          <cell r="AE36">
            <v>0</v>
          </cell>
          <cell r="AI36"/>
        </row>
        <row r="37">
          <cell r="AE37">
            <v>9487158.8299999982</v>
          </cell>
          <cell r="AI37" t="str">
            <v>Residential Energy Management</v>
          </cell>
        </row>
        <row r="38">
          <cell r="AE38">
            <v>0</v>
          </cell>
          <cell r="AI38">
            <v>0</v>
          </cell>
        </row>
        <row r="39">
          <cell r="AE39">
            <v>0</v>
          </cell>
          <cell r="AI39" t="str">
            <v>Business Energy Management</v>
          </cell>
        </row>
        <row r="40">
          <cell r="AE40">
            <v>0</v>
          </cell>
          <cell r="AI40">
            <v>0</v>
          </cell>
        </row>
        <row r="41">
          <cell r="AE41">
            <v>0</v>
          </cell>
          <cell r="AI41">
            <v>0</v>
          </cell>
        </row>
        <row r="42">
          <cell r="AE42">
            <v>896853.10999999987</v>
          </cell>
          <cell r="AI42" t="str">
            <v>Residential Energy Management</v>
          </cell>
        </row>
        <row r="43">
          <cell r="AE43">
            <v>0</v>
          </cell>
          <cell r="AI43">
            <v>0</v>
          </cell>
        </row>
        <row r="44">
          <cell r="AE44">
            <v>0</v>
          </cell>
          <cell r="AI44">
            <v>0</v>
          </cell>
        </row>
        <row r="45">
          <cell r="AE45">
            <v>0</v>
          </cell>
          <cell r="AI45">
            <v>0</v>
          </cell>
        </row>
        <row r="46">
          <cell r="AE46">
            <v>241486.38</v>
          </cell>
          <cell r="AI46" t="str">
            <v>Energy Efficiency Portfolio Support</v>
          </cell>
        </row>
        <row r="47">
          <cell r="AE47">
            <v>0</v>
          </cell>
          <cell r="AI47"/>
        </row>
        <row r="48">
          <cell r="AE48">
            <v>0</v>
          </cell>
          <cell r="AI48"/>
        </row>
        <row r="49">
          <cell r="AE49">
            <v>661257.90000000014</v>
          </cell>
          <cell r="AI49" t="str">
            <v>Energy Efficiency Research &amp; Compliance</v>
          </cell>
        </row>
        <row r="50">
          <cell r="AE50">
            <v>0</v>
          </cell>
          <cell r="AI50">
            <v>0</v>
          </cell>
        </row>
        <row r="51">
          <cell r="AE51">
            <v>38068.710000000006</v>
          </cell>
          <cell r="AI51" t="str">
            <v>Energy Efficiency Portfolio Support</v>
          </cell>
        </row>
        <row r="52">
          <cell r="AE52">
            <v>0</v>
          </cell>
          <cell r="AI52">
            <v>0</v>
          </cell>
        </row>
        <row r="53">
          <cell r="AE53">
            <v>1904569.0200000003</v>
          </cell>
          <cell r="AI53" t="str">
            <v>Residential Energy Management</v>
          </cell>
        </row>
        <row r="54">
          <cell r="AE54">
            <v>357381.55000000005</v>
          </cell>
          <cell r="AI54" t="str">
            <v>Energy Efficiency Portfolio Support</v>
          </cell>
        </row>
        <row r="55">
          <cell r="AE55">
            <v>0</v>
          </cell>
          <cell r="AI55"/>
        </row>
        <row r="56">
          <cell r="AE56">
            <v>0</v>
          </cell>
          <cell r="AI56"/>
        </row>
        <row r="57">
          <cell r="AE57">
            <v>0</v>
          </cell>
          <cell r="AI57">
            <v>0</v>
          </cell>
        </row>
        <row r="58">
          <cell r="AE58">
            <v>0</v>
          </cell>
          <cell r="AI58"/>
        </row>
        <row r="59">
          <cell r="AE59">
            <v>0</v>
          </cell>
          <cell r="AI59"/>
        </row>
        <row r="60">
          <cell r="AE60">
            <v>0</v>
          </cell>
          <cell r="AI60"/>
        </row>
        <row r="61">
          <cell r="AE61">
            <v>0</v>
          </cell>
          <cell r="AI61"/>
        </row>
        <row r="62">
          <cell r="AE62">
            <v>0</v>
          </cell>
          <cell r="AI62">
            <v>0</v>
          </cell>
        </row>
        <row r="63">
          <cell r="AE63">
            <v>0</v>
          </cell>
          <cell r="AI63"/>
        </row>
        <row r="64">
          <cell r="AE64">
            <v>0</v>
          </cell>
          <cell r="AI64"/>
        </row>
        <row r="65">
          <cell r="AE65">
            <v>0</v>
          </cell>
          <cell r="AI65" t="str">
            <v>Residential Energy Management</v>
          </cell>
        </row>
        <row r="66">
          <cell r="AE66">
            <v>0</v>
          </cell>
          <cell r="AI66" t="str">
            <v>Business Energy Management</v>
          </cell>
        </row>
        <row r="67">
          <cell r="AE67">
            <v>0</v>
          </cell>
          <cell r="AI67" t="str">
            <v>Business Energy Management</v>
          </cell>
        </row>
        <row r="68">
          <cell r="AE68">
            <v>0</v>
          </cell>
          <cell r="AI68" t="str">
            <v>Pilots</v>
          </cell>
        </row>
        <row r="69">
          <cell r="AE69">
            <v>556387.91999999993</v>
          </cell>
          <cell r="AI69" t="str">
            <v>Energy Efficiency Portfolio Support</v>
          </cell>
        </row>
        <row r="70">
          <cell r="AE70">
            <v>592954.68000000005</v>
          </cell>
          <cell r="AI70" t="str">
            <v>Energy Efficiency Portfolio Support</v>
          </cell>
        </row>
        <row r="71">
          <cell r="AE71">
            <v>3110.8599999999942</v>
          </cell>
          <cell r="AI71" t="str">
            <v>Energy Efficiency Portfolio Support</v>
          </cell>
        </row>
        <row r="72">
          <cell r="AE72">
            <v>0</v>
          </cell>
          <cell r="AI72" t="str">
            <v>Other Electric Programs</v>
          </cell>
        </row>
        <row r="73">
          <cell r="AE73">
            <v>0</v>
          </cell>
          <cell r="AI73" t="str">
            <v>Business Energy Management</v>
          </cell>
        </row>
        <row r="74">
          <cell r="AE74">
            <v>0</v>
          </cell>
          <cell r="AI74" t="str">
            <v>Business Energy Management</v>
          </cell>
        </row>
        <row r="75">
          <cell r="AE75">
            <v>0</v>
          </cell>
          <cell r="AI75" t="str">
            <v>Pilots</v>
          </cell>
        </row>
        <row r="76">
          <cell r="AE76">
            <v>854822.66</v>
          </cell>
          <cell r="AI76" t="str">
            <v>Business Energy Management</v>
          </cell>
        </row>
        <row r="77">
          <cell r="AE77">
            <v>5355.99</v>
          </cell>
          <cell r="AI77" t="str">
            <v>Residential Energy Management</v>
          </cell>
        </row>
        <row r="78">
          <cell r="AE78">
            <v>0</v>
          </cell>
          <cell r="AI78" t="str">
            <v>Energy Efficiency Portfolio Support</v>
          </cell>
        </row>
        <row r="79">
          <cell r="AE79">
            <v>0</v>
          </cell>
          <cell r="AI79">
            <v>0</v>
          </cell>
        </row>
        <row r="80">
          <cell r="AE80">
            <v>0</v>
          </cell>
          <cell r="AI80">
            <v>0</v>
          </cell>
        </row>
        <row r="81">
          <cell r="AE81">
            <v>921070.40000000014</v>
          </cell>
          <cell r="AI81" t="str">
            <v>Energy Efficiency Portfolio Support</v>
          </cell>
        </row>
        <row r="82">
          <cell r="AE82">
            <v>6737232.29</v>
          </cell>
          <cell r="AI82" t="str">
            <v>Residential Energy Management</v>
          </cell>
        </row>
        <row r="83">
          <cell r="AE83">
            <v>0</v>
          </cell>
          <cell r="AI83" t="str">
            <v>Residential Energy Management</v>
          </cell>
        </row>
        <row r="84">
          <cell r="AE84">
            <v>0</v>
          </cell>
          <cell r="AI84" t="str">
            <v>Other Electric Programs</v>
          </cell>
        </row>
        <row r="85">
          <cell r="AE85">
            <v>0</v>
          </cell>
          <cell r="AI85"/>
        </row>
        <row r="86">
          <cell r="AE86">
            <v>0</v>
          </cell>
          <cell r="AI86"/>
        </row>
        <row r="87">
          <cell r="AE87">
            <v>0</v>
          </cell>
          <cell r="AI87" t="str">
            <v>Energy Efficiency Portfolio Support</v>
          </cell>
        </row>
        <row r="88">
          <cell r="AE88">
            <v>32457</v>
          </cell>
          <cell r="AI88" t="str">
            <v>Energy Efficiency Research &amp; Compliance</v>
          </cell>
        </row>
        <row r="89">
          <cell r="AE89">
            <v>2733746.1399999997</v>
          </cell>
          <cell r="AI89" t="str">
            <v>Residential Energy Management</v>
          </cell>
        </row>
        <row r="90">
          <cell r="AE90">
            <v>324272.27999999997</v>
          </cell>
          <cell r="AI90" t="str">
            <v>Residential Energy Management</v>
          </cell>
        </row>
        <row r="91">
          <cell r="AE91">
            <v>1029314.99</v>
          </cell>
          <cell r="AI91" t="str">
            <v>Residential Energy Management</v>
          </cell>
        </row>
        <row r="92">
          <cell r="AE92">
            <v>4321206.1800000006</v>
          </cell>
          <cell r="AI92" t="str">
            <v>Residential Energy Management</v>
          </cell>
        </row>
        <row r="93">
          <cell r="AE93">
            <v>0</v>
          </cell>
          <cell r="AI93"/>
        </row>
        <row r="94">
          <cell r="AE94">
            <v>0</v>
          </cell>
          <cell r="AI94">
            <v>0</v>
          </cell>
        </row>
        <row r="95">
          <cell r="AE95">
            <v>0</v>
          </cell>
          <cell r="AI95">
            <v>0</v>
          </cell>
        </row>
        <row r="96">
          <cell r="AE96">
            <v>0</v>
          </cell>
          <cell r="AI96">
            <v>0</v>
          </cell>
        </row>
        <row r="97">
          <cell r="AE97">
            <v>0</v>
          </cell>
          <cell r="AI97" t="str">
            <v>Residential Energy Management</v>
          </cell>
        </row>
        <row r="98">
          <cell r="AE98">
            <v>1298307.3399999999</v>
          </cell>
          <cell r="AI98" t="str">
            <v>Business Energy Management</v>
          </cell>
        </row>
        <row r="99">
          <cell r="AE99">
            <v>0</v>
          </cell>
          <cell r="AI99"/>
        </row>
        <row r="100">
          <cell r="AD100">
            <v>0</v>
          </cell>
          <cell r="AE100">
            <v>0</v>
          </cell>
          <cell r="AI100" t="str">
            <v>Regional Efficiency Programs</v>
          </cell>
        </row>
        <row r="101">
          <cell r="AE101">
            <v>704086.11999999988</v>
          </cell>
          <cell r="AI101" t="str">
            <v>Business Energy Management</v>
          </cell>
        </row>
        <row r="102">
          <cell r="AE102">
            <v>3458097.1399999997</v>
          </cell>
          <cell r="AI102" t="str">
            <v>Business Energy Management</v>
          </cell>
        </row>
        <row r="103">
          <cell r="AE103">
            <v>119302.59000000001</v>
          </cell>
          <cell r="AI103" t="str">
            <v>Business Energy Management</v>
          </cell>
        </row>
        <row r="104">
          <cell r="AE104">
            <v>0</v>
          </cell>
          <cell r="AI104" t="str">
            <v>Business Energy Management</v>
          </cell>
        </row>
        <row r="105">
          <cell r="AE105">
            <v>227268.03000000003</v>
          </cell>
          <cell r="AI105" t="str">
            <v>Business Energy Management</v>
          </cell>
        </row>
        <row r="106">
          <cell r="AE106">
            <v>2345440.94</v>
          </cell>
          <cell r="AI106" t="str">
            <v>Business Energy Management</v>
          </cell>
        </row>
        <row r="107">
          <cell r="AE107">
            <v>1042467.1699999999</v>
          </cell>
          <cell r="AI107" t="str">
            <v>Business Energy Management</v>
          </cell>
        </row>
        <row r="108">
          <cell r="AE108">
            <v>0</v>
          </cell>
          <cell r="AI108" t="str">
            <v>Business Energy Management</v>
          </cell>
        </row>
        <row r="109">
          <cell r="AE109">
            <v>1054635.23</v>
          </cell>
          <cell r="AI109" t="str">
            <v>Business Energy Management</v>
          </cell>
        </row>
        <row r="110">
          <cell r="AE110">
            <v>8318891.3400000008</v>
          </cell>
          <cell r="AI110" t="str">
            <v>Business Energy Management</v>
          </cell>
        </row>
        <row r="111">
          <cell r="AE111">
            <v>0</v>
          </cell>
          <cell r="AI111">
            <v>0</v>
          </cell>
        </row>
        <row r="112">
          <cell r="AE112">
            <v>0</v>
          </cell>
          <cell r="AI112">
            <v>0</v>
          </cell>
        </row>
        <row r="113">
          <cell r="AE113">
            <v>0</v>
          </cell>
          <cell r="AI113"/>
        </row>
        <row r="114">
          <cell r="AE114">
            <v>127484.82</v>
          </cell>
          <cell r="AI114" t="str">
            <v>Energy Efficiency Portfolio Support</v>
          </cell>
        </row>
        <row r="115">
          <cell r="AE115">
            <v>0</v>
          </cell>
          <cell r="AI115"/>
        </row>
        <row r="116">
          <cell r="AE116">
            <v>1067671.4500000002</v>
          </cell>
          <cell r="AI116" t="str">
            <v>Energy Efficiency Portfolio Support</v>
          </cell>
        </row>
        <row r="117">
          <cell r="AE117">
            <v>35683.069999999992</v>
          </cell>
          <cell r="AI117" t="str">
            <v>Energy Efficiency Portfolio Support</v>
          </cell>
        </row>
        <row r="118">
          <cell r="AE118">
            <v>-29035.370000000003</v>
          </cell>
          <cell r="AI118" t="str">
            <v>Residential Energy Management</v>
          </cell>
        </row>
        <row r="119">
          <cell r="AE119">
            <v>1687448.6400000001</v>
          </cell>
          <cell r="AI119" t="str">
            <v>Energy Efficiency Research &amp; Compliance</v>
          </cell>
        </row>
        <row r="120">
          <cell r="AE120">
            <v>183797.16</v>
          </cell>
          <cell r="AI120" t="str">
            <v>Energy Efficiency Research &amp; Compliance</v>
          </cell>
        </row>
        <row r="121">
          <cell r="AE121">
            <v>315449.91000000003</v>
          </cell>
          <cell r="AI121" t="str">
            <v>Energy Efficiency Portfolio Support</v>
          </cell>
        </row>
        <row r="122">
          <cell r="AE122">
            <v>837288.91999999993</v>
          </cell>
          <cell r="AI122" t="str">
            <v>Energy Efficiency Portfolio Support</v>
          </cell>
        </row>
        <row r="123">
          <cell r="AE123">
            <v>0</v>
          </cell>
          <cell r="AI123" t="str">
            <v>Business Energy Management</v>
          </cell>
        </row>
        <row r="124">
          <cell r="AE124">
            <v>28.67</v>
          </cell>
          <cell r="AI124" t="str">
            <v>Business Energy Management</v>
          </cell>
        </row>
        <row r="125">
          <cell r="AE125">
            <v>604055.52999999991</v>
          </cell>
          <cell r="AI125" t="str">
            <v>Business Energy Management</v>
          </cell>
        </row>
        <row r="126">
          <cell r="AE126">
            <v>3455377.21</v>
          </cell>
          <cell r="AI126" t="str">
            <v>Business Energy Management</v>
          </cell>
        </row>
        <row r="127">
          <cell r="AE127">
            <v>0</v>
          </cell>
          <cell r="AI127" t="str">
            <v>Business Energy Management</v>
          </cell>
        </row>
        <row r="128">
          <cell r="AE128">
            <v>0</v>
          </cell>
          <cell r="AI128" t="str">
            <v>Business Energy Management</v>
          </cell>
        </row>
        <row r="129">
          <cell r="AE129">
            <v>0</v>
          </cell>
          <cell r="AI129" t="str">
            <v>Energy Efficiency Research &amp; Compliance</v>
          </cell>
        </row>
        <row r="130">
          <cell r="AE130"/>
        </row>
      </sheetData>
      <sheetData sheetId="5">
        <row r="8">
          <cell r="AC8">
            <v>2648833</v>
          </cell>
          <cell r="AG8"/>
        </row>
        <row r="9">
          <cell r="AC9">
            <v>2648833</v>
          </cell>
          <cell r="AG9" t="str">
            <v>Residential Energy Management</v>
          </cell>
        </row>
        <row r="10">
          <cell r="AC10">
            <v>91893394</v>
          </cell>
          <cell r="AG10"/>
        </row>
        <row r="11">
          <cell r="AC11">
            <v>958559</v>
          </cell>
          <cell r="AG11" t="str">
            <v>Residential Energy Management</v>
          </cell>
        </row>
        <row r="12">
          <cell r="AC12">
            <v>0</v>
          </cell>
          <cell r="AG12" t="str">
            <v>Residential Energy Management</v>
          </cell>
        </row>
        <row r="13">
          <cell r="AC13">
            <v>5650934</v>
          </cell>
          <cell r="AG13" t="str">
            <v>Residential Energy Management</v>
          </cell>
        </row>
        <row r="14">
          <cell r="AC14">
            <v>534158</v>
          </cell>
          <cell r="AG14" t="str">
            <v>Residential Energy Management</v>
          </cell>
        </row>
        <row r="15">
          <cell r="AC15">
            <v>1890227</v>
          </cell>
          <cell r="AG15" t="str">
            <v>Residential Energy Management</v>
          </cell>
        </row>
        <row r="16">
          <cell r="AC16">
            <v>9292660</v>
          </cell>
          <cell r="AG16" t="str">
            <v>Residential Energy Management</v>
          </cell>
        </row>
        <row r="17">
          <cell r="AC17">
            <v>0</v>
          </cell>
          <cell r="AG17" t="str">
            <v>Residential Energy Management</v>
          </cell>
        </row>
        <row r="18">
          <cell r="AC18">
            <v>2481141</v>
          </cell>
          <cell r="AG18" t="str">
            <v>Residential Energy Management</v>
          </cell>
        </row>
        <row r="19">
          <cell r="AC19">
            <v>1368761</v>
          </cell>
          <cell r="AG19" t="str">
            <v>Residential Energy Management</v>
          </cell>
        </row>
        <row r="20">
          <cell r="AC20">
            <v>75827873</v>
          </cell>
          <cell r="AG20" t="str">
            <v>Residential Energy Management</v>
          </cell>
        </row>
        <row r="21">
          <cell r="AC21">
            <v>-6110919</v>
          </cell>
          <cell r="AG21" t="str">
            <v>Residential Energy Management</v>
          </cell>
        </row>
        <row r="22">
          <cell r="AC22">
            <v>0</v>
          </cell>
          <cell r="AG22"/>
        </row>
        <row r="23">
          <cell r="AC23">
            <v>0</v>
          </cell>
          <cell r="AG23" t="str">
            <v>Residential Energy Management</v>
          </cell>
        </row>
        <row r="24">
          <cell r="AC24"/>
          <cell r="AG24"/>
        </row>
        <row r="25">
          <cell r="AC25">
            <v>0</v>
          </cell>
          <cell r="AG25"/>
        </row>
        <row r="26">
          <cell r="AC26">
            <v>228245</v>
          </cell>
          <cell r="AG26"/>
        </row>
        <row r="27">
          <cell r="AC27">
            <v>90408</v>
          </cell>
          <cell r="AG27" t="str">
            <v>Residential Energy Management</v>
          </cell>
        </row>
        <row r="28">
          <cell r="AC28">
            <v>137837</v>
          </cell>
          <cell r="AG28" t="str">
            <v>Residential Energy Management</v>
          </cell>
        </row>
        <row r="29">
          <cell r="AC29">
            <v>13001543</v>
          </cell>
          <cell r="AG29"/>
        </row>
        <row r="30">
          <cell r="AC30">
            <v>13001543</v>
          </cell>
          <cell r="AG30" t="str">
            <v>Residential Energy Management</v>
          </cell>
        </row>
        <row r="31">
          <cell r="AC31"/>
          <cell r="AG31" t="str">
            <v>Residential Energy Management</v>
          </cell>
        </row>
        <row r="32">
          <cell r="AC32">
            <v>6165220</v>
          </cell>
          <cell r="AG32"/>
        </row>
        <row r="33">
          <cell r="AC33">
            <v>6165220</v>
          </cell>
          <cell r="AG33" t="str">
            <v>Residential Energy Management</v>
          </cell>
        </row>
        <row r="34">
          <cell r="AC34">
            <v>0</v>
          </cell>
          <cell r="AG34"/>
        </row>
        <row r="35">
          <cell r="AC35"/>
          <cell r="AG35"/>
        </row>
        <row r="36">
          <cell r="AC36"/>
          <cell r="AG36"/>
        </row>
        <row r="37">
          <cell r="AC37"/>
          <cell r="AG37"/>
        </row>
        <row r="38">
          <cell r="AC38">
            <v>59066893</v>
          </cell>
          <cell r="AG38"/>
        </row>
        <row r="39">
          <cell r="AC39">
            <v>8946481</v>
          </cell>
          <cell r="AG39" t="str">
            <v>Business Energy Management</v>
          </cell>
        </row>
        <row r="40">
          <cell r="AC40">
            <v>46010269</v>
          </cell>
          <cell r="AG40" t="str">
            <v>Business Energy Management</v>
          </cell>
        </row>
        <row r="41">
          <cell r="AC41">
            <v>0</v>
          </cell>
          <cell r="AG41" t="str">
            <v>Business Energy Management</v>
          </cell>
        </row>
        <row r="42">
          <cell r="AC42">
            <v>4110143</v>
          </cell>
          <cell r="AG42" t="str">
            <v>Business Energy Management</v>
          </cell>
        </row>
        <row r="43">
          <cell r="AC43">
            <v>0</v>
          </cell>
          <cell r="AG43" t="str">
            <v>Business Energy Management</v>
          </cell>
        </row>
        <row r="44">
          <cell r="AC44">
            <v>17038372</v>
          </cell>
          <cell r="AG44"/>
        </row>
        <row r="45">
          <cell r="AC45">
            <v>17038372</v>
          </cell>
          <cell r="AG45" t="str">
            <v>Business Energy Management</v>
          </cell>
        </row>
        <row r="46">
          <cell r="AC46">
            <v>0</v>
          </cell>
          <cell r="AG46" t="str">
            <v>Business Energy Management</v>
          </cell>
        </row>
        <row r="47">
          <cell r="AC47">
            <v>15349891</v>
          </cell>
          <cell r="AG47"/>
        </row>
        <row r="48">
          <cell r="AC48">
            <v>0</v>
          </cell>
          <cell r="AG48" t="str">
            <v>Business Energy Management</v>
          </cell>
        </row>
        <row r="49">
          <cell r="AC49">
            <v>0</v>
          </cell>
          <cell r="AG49" t="str">
            <v>Business Energy Management</v>
          </cell>
        </row>
        <row r="50">
          <cell r="AC50">
            <v>0</v>
          </cell>
          <cell r="AG50" t="str">
            <v>Business Energy Management</v>
          </cell>
        </row>
        <row r="51">
          <cell r="AC51">
            <v>15349891</v>
          </cell>
          <cell r="AG51" t="str">
            <v>Business Energy Management</v>
          </cell>
        </row>
        <row r="52">
          <cell r="AC52">
            <v>446060</v>
          </cell>
          <cell r="AG52"/>
        </row>
        <row r="53">
          <cell r="AC53">
            <v>0</v>
          </cell>
          <cell r="AG53" t="str">
            <v>Business Energy Management</v>
          </cell>
        </row>
        <row r="54">
          <cell r="AC54">
            <v>446060</v>
          </cell>
          <cell r="AG54" t="str">
            <v>Business Energy Management</v>
          </cell>
        </row>
        <row r="55">
          <cell r="AC55">
            <v>0</v>
          </cell>
          <cell r="AG55"/>
        </row>
        <row r="56">
          <cell r="AC56">
            <v>0</v>
          </cell>
          <cell r="AG56" t="str">
            <v>Business Energy Management</v>
          </cell>
        </row>
        <row r="57">
          <cell r="AC57">
            <v>0</v>
          </cell>
          <cell r="AG57"/>
        </row>
        <row r="58">
          <cell r="AC58">
            <v>0</v>
          </cell>
          <cell r="AG58"/>
        </row>
        <row r="59">
          <cell r="AC59">
            <v>20116635</v>
          </cell>
          <cell r="AG59"/>
        </row>
        <row r="60">
          <cell r="AC60">
            <v>0</v>
          </cell>
          <cell r="AG60" t="str">
            <v>Business Energy Management</v>
          </cell>
        </row>
        <row r="61">
          <cell r="AC61">
            <v>0</v>
          </cell>
          <cell r="AG61"/>
        </row>
        <row r="62">
          <cell r="AC62">
            <v>0</v>
          </cell>
          <cell r="AG62"/>
        </row>
        <row r="63">
          <cell r="AC63">
            <v>0</v>
          </cell>
          <cell r="AG63" t="str">
            <v>Business Energy Management</v>
          </cell>
        </row>
        <row r="64">
          <cell r="AC64">
            <v>0</v>
          </cell>
          <cell r="AG64"/>
        </row>
        <row r="65">
          <cell r="AC65">
            <v>0</v>
          </cell>
          <cell r="AG65"/>
        </row>
        <row r="66">
          <cell r="AC66">
            <v>0</v>
          </cell>
          <cell r="AG66"/>
        </row>
        <row r="67">
          <cell r="AC67">
            <v>1082861</v>
          </cell>
          <cell r="AG67" t="str">
            <v>Business Energy Management</v>
          </cell>
        </row>
        <row r="68">
          <cell r="AC68">
            <v>382525</v>
          </cell>
          <cell r="AG68" t="str">
            <v>Business Energy Management</v>
          </cell>
        </row>
        <row r="69">
          <cell r="AC69">
            <v>623354</v>
          </cell>
          <cell r="AG69" t="str">
            <v>Business Energy Management</v>
          </cell>
        </row>
        <row r="70">
          <cell r="AC70">
            <v>6666949</v>
          </cell>
          <cell r="AG70" t="str">
            <v>Business Energy Management</v>
          </cell>
        </row>
        <row r="71">
          <cell r="AC71">
            <v>11360946</v>
          </cell>
          <cell r="AG71" t="str">
            <v>Business Energy Management</v>
          </cell>
        </row>
        <row r="72">
          <cell r="AC72">
            <v>0</v>
          </cell>
          <cell r="AG72" t="str">
            <v>Business Energy Management</v>
          </cell>
        </row>
        <row r="73">
          <cell r="AC73">
            <v>0</v>
          </cell>
          <cell r="AG73"/>
        </row>
        <row r="74">
          <cell r="AC74"/>
          <cell r="AG74"/>
        </row>
        <row r="75">
          <cell r="AC75"/>
          <cell r="AG75"/>
        </row>
        <row r="76">
          <cell r="AC76">
            <v>11300000</v>
          </cell>
          <cell r="AG76" t="str">
            <v>Regional Efficiency Programs</v>
          </cell>
        </row>
        <row r="77">
          <cell r="AC77">
            <v>670392</v>
          </cell>
          <cell r="AG77" t="str">
            <v>Regional Efficiency Programs</v>
          </cell>
        </row>
        <row r="78">
          <cell r="AC78"/>
          <cell r="AG78"/>
        </row>
        <row r="79">
          <cell r="AC79"/>
          <cell r="AG79"/>
        </row>
        <row r="80">
          <cell r="AC80">
            <v>0</v>
          </cell>
          <cell r="AG80" t="str">
            <v>Pilots</v>
          </cell>
        </row>
        <row r="81">
          <cell r="AC81">
            <v>0</v>
          </cell>
          <cell r="AG81" t="str">
            <v>Pilots</v>
          </cell>
        </row>
        <row r="82">
          <cell r="AC82"/>
          <cell r="AG82"/>
        </row>
        <row r="83">
          <cell r="AC83">
            <v>237925478</v>
          </cell>
          <cell r="AG83"/>
        </row>
        <row r="84">
          <cell r="AC84"/>
          <cell r="AG84"/>
        </row>
        <row r="85">
          <cell r="AC85"/>
          <cell r="AG85"/>
        </row>
        <row r="86">
          <cell r="AC86">
            <v>112017850</v>
          </cell>
          <cell r="AG86"/>
        </row>
        <row r="87">
          <cell r="AC87">
            <v>112017851</v>
          </cell>
          <cell r="AG87"/>
        </row>
        <row r="88">
          <cell r="AC88">
            <v>-1</v>
          </cell>
          <cell r="AG88"/>
        </row>
        <row r="89">
          <cell r="AC89"/>
          <cell r="AG89"/>
        </row>
        <row r="90">
          <cell r="AC90">
            <v>113937235</v>
          </cell>
          <cell r="AG90"/>
        </row>
        <row r="91">
          <cell r="AC91">
            <v>113938628</v>
          </cell>
          <cell r="AG91"/>
        </row>
        <row r="92">
          <cell r="AC92">
            <v>-1393</v>
          </cell>
          <cell r="AG92"/>
        </row>
        <row r="93">
          <cell r="AC93"/>
          <cell r="AG93"/>
        </row>
        <row r="94">
          <cell r="AC94"/>
          <cell r="AG94"/>
        </row>
        <row r="95">
          <cell r="AC95">
            <v>671894</v>
          </cell>
          <cell r="AG95"/>
        </row>
        <row r="96">
          <cell r="AC96">
            <v>526194893</v>
          </cell>
          <cell r="AG96"/>
        </row>
        <row r="97">
          <cell r="AC97"/>
          <cell r="AG97"/>
        </row>
        <row r="98">
          <cell r="AC98"/>
          <cell r="AG98"/>
        </row>
        <row r="99">
          <cell r="AC99">
            <v>113937235</v>
          </cell>
          <cell r="AG99"/>
        </row>
        <row r="100">
          <cell r="AC100">
            <v>112344495</v>
          </cell>
          <cell r="AG100"/>
        </row>
        <row r="101">
          <cell r="AC101">
            <v>11300000</v>
          </cell>
          <cell r="AG101"/>
        </row>
        <row r="102">
          <cell r="AC102">
            <v>343748</v>
          </cell>
          <cell r="AG102"/>
        </row>
        <row r="103">
          <cell r="AC103">
            <v>0</v>
          </cell>
          <cell r="AG103"/>
        </row>
        <row r="104">
          <cell r="AC104">
            <v>237925478</v>
          </cell>
          <cell r="AG104"/>
        </row>
        <row r="105">
          <cell r="AC105">
            <v>0</v>
          </cell>
          <cell r="AG105"/>
        </row>
        <row r="106">
          <cell r="AC106"/>
          <cell r="AG106"/>
        </row>
        <row r="107">
          <cell r="AG107"/>
        </row>
        <row r="109">
          <cell r="AC109"/>
        </row>
      </sheetData>
      <sheetData sheetId="6">
        <row r="7">
          <cell r="AD7">
            <v>0</v>
          </cell>
          <cell r="AH7"/>
        </row>
        <row r="8">
          <cell r="AD8">
            <v>0</v>
          </cell>
          <cell r="AH8" t="str">
            <v>Business Energy Management</v>
          </cell>
        </row>
        <row r="9">
          <cell r="AD9">
            <v>0</v>
          </cell>
          <cell r="AH9" t="str">
            <v>Business Energy Management</v>
          </cell>
        </row>
        <row r="10">
          <cell r="AD10">
            <v>5356.3899999999994</v>
          </cell>
          <cell r="AH10" t="str">
            <v>Residential Energy Management</v>
          </cell>
        </row>
        <row r="11">
          <cell r="AD11">
            <v>2013049.0499999998</v>
          </cell>
          <cell r="AH11" t="str">
            <v>Business Energy Management</v>
          </cell>
        </row>
        <row r="12">
          <cell r="AD12">
            <v>365492.27</v>
          </cell>
          <cell r="AH12" t="str">
            <v>Residential Energy Management</v>
          </cell>
        </row>
        <row r="13">
          <cell r="AD13">
            <v>0</v>
          </cell>
          <cell r="AH13">
            <v>0</v>
          </cell>
        </row>
        <row r="14">
          <cell r="AD14">
            <v>0</v>
          </cell>
          <cell r="AH14">
            <v>0</v>
          </cell>
        </row>
        <row r="15">
          <cell r="AD15">
            <v>0</v>
          </cell>
          <cell r="AH15">
            <v>0</v>
          </cell>
        </row>
        <row r="16">
          <cell r="AD16">
            <v>0</v>
          </cell>
          <cell r="AH16" t="str">
            <v>Pilots</v>
          </cell>
        </row>
        <row r="17">
          <cell r="AD17">
            <v>2572549.48</v>
          </cell>
          <cell r="AH17" t="str">
            <v>Residential Energy Management</v>
          </cell>
        </row>
        <row r="18">
          <cell r="AD18">
            <v>2194959.2299999995</v>
          </cell>
          <cell r="AH18" t="str">
            <v>Residential Energy Management</v>
          </cell>
        </row>
        <row r="19">
          <cell r="AD19">
            <v>0</v>
          </cell>
          <cell r="AH19">
            <v>0</v>
          </cell>
        </row>
        <row r="20">
          <cell r="AD20">
            <v>0</v>
          </cell>
          <cell r="AH20">
            <v>0</v>
          </cell>
        </row>
        <row r="21">
          <cell r="AD21">
            <v>132693</v>
          </cell>
          <cell r="AH21" t="str">
            <v>Energy Efficiency Portfolio Support</v>
          </cell>
        </row>
        <row r="22">
          <cell r="AD22">
            <v>86303.60000000002</v>
          </cell>
          <cell r="AH22" t="str">
            <v>Energy Efficiency Portfolio Support</v>
          </cell>
        </row>
        <row r="23">
          <cell r="AD23">
            <v>2227812.52</v>
          </cell>
          <cell r="AH23" t="str">
            <v>Regional Efficiency Programs</v>
          </cell>
        </row>
        <row r="24">
          <cell r="AD24">
            <v>914253.10999999987</v>
          </cell>
          <cell r="AH24" t="str">
            <v>Residential Energy Management</v>
          </cell>
        </row>
        <row r="25">
          <cell r="AD25">
            <v>3323.7200000000007</v>
          </cell>
          <cell r="AH25" t="str">
            <v>Energy Efficiency Portfolio Support</v>
          </cell>
        </row>
        <row r="26">
          <cell r="AD26">
            <v>36197.289999999994</v>
          </cell>
          <cell r="AH26" t="str">
            <v>Energy Efficiency Portfolio Support</v>
          </cell>
        </row>
        <row r="27">
          <cell r="AD27">
            <v>108105.18</v>
          </cell>
          <cell r="AH27" t="str">
            <v>Energy Efficiency Portfolio Support</v>
          </cell>
        </row>
        <row r="28">
          <cell r="AD28">
            <v>55825.170000000013</v>
          </cell>
          <cell r="AH28" t="str">
            <v>Energy Efficiency Portfolio Support</v>
          </cell>
        </row>
        <row r="29">
          <cell r="AD29">
            <v>25310.799999999999</v>
          </cell>
          <cell r="AH29" t="str">
            <v>Energy Efficiency Research &amp; Compliance</v>
          </cell>
        </row>
        <row r="30">
          <cell r="AD30">
            <v>0</v>
          </cell>
          <cell r="AH30" t="str">
            <v>Energy Efficiency Portfolio Support</v>
          </cell>
        </row>
        <row r="31">
          <cell r="AD31">
            <v>1064468.49</v>
          </cell>
          <cell r="AH31" t="str">
            <v>Residential Energy Management</v>
          </cell>
        </row>
        <row r="32">
          <cell r="AD32">
            <v>0</v>
          </cell>
          <cell r="AH32" t="str">
            <v>Business Energy Management</v>
          </cell>
        </row>
        <row r="33">
          <cell r="AD33">
            <v>97441.55</v>
          </cell>
          <cell r="AH33" t="str">
            <v>Energy Efficiency Portfolio Support</v>
          </cell>
        </row>
        <row r="34">
          <cell r="AD34">
            <v>0</v>
          </cell>
          <cell r="AH34">
            <v>0</v>
          </cell>
        </row>
        <row r="35">
          <cell r="AD35">
            <v>46511.469999999994</v>
          </cell>
          <cell r="AH35" t="str">
            <v>Energy Efficiency Research &amp; Compliance</v>
          </cell>
        </row>
        <row r="36">
          <cell r="AD36">
            <v>0</v>
          </cell>
          <cell r="AH36">
            <v>0</v>
          </cell>
        </row>
        <row r="37">
          <cell r="AD37">
            <v>21763.420000000002</v>
          </cell>
          <cell r="AH37" t="str">
            <v>Residential Energy Management</v>
          </cell>
        </row>
        <row r="38">
          <cell r="AD38">
            <v>7171.1899999999987</v>
          </cell>
          <cell r="AH38" t="str">
            <v>Energy Efficiency Portfolio Support</v>
          </cell>
        </row>
        <row r="39">
          <cell r="AD39">
            <v>0</v>
          </cell>
          <cell r="AH39">
            <v>0</v>
          </cell>
        </row>
        <row r="40">
          <cell r="AD40">
            <v>669986.49</v>
          </cell>
          <cell r="AH40" t="str">
            <v>Residential Energy Management</v>
          </cell>
        </row>
        <row r="41">
          <cell r="AD41">
            <v>47028.5</v>
          </cell>
          <cell r="AH41" t="str">
            <v>Energy Efficiency Portfolio Support</v>
          </cell>
        </row>
        <row r="42">
          <cell r="AD42">
            <v>0</v>
          </cell>
          <cell r="AH42" t="str">
            <v>Energy Efficiency Portfolio Support</v>
          </cell>
        </row>
        <row r="43">
          <cell r="AD43">
            <v>108845.84000000001</v>
          </cell>
          <cell r="AH43" t="str">
            <v>Energy Efficiency Portfolio Support</v>
          </cell>
        </row>
        <row r="44">
          <cell r="AD44">
            <v>469246.68000000005</v>
          </cell>
          <cell r="AH44" t="str">
            <v>Business Energy Management</v>
          </cell>
        </row>
        <row r="45">
          <cell r="AD45">
            <v>0</v>
          </cell>
          <cell r="AH45">
            <v>0</v>
          </cell>
        </row>
        <row r="46">
          <cell r="AD46">
            <v>0</v>
          </cell>
          <cell r="AH46">
            <v>0</v>
          </cell>
        </row>
        <row r="47">
          <cell r="AD47">
            <v>14498.68</v>
          </cell>
          <cell r="AH47" t="str">
            <v>Energy Efficiency Portfolio Support</v>
          </cell>
        </row>
        <row r="48">
          <cell r="AD48">
            <v>269895.36</v>
          </cell>
          <cell r="AH48" t="str">
            <v>Energy Efficiency Research &amp; Compliance</v>
          </cell>
        </row>
        <row r="49">
          <cell r="AD49">
            <v>153232.39999999997</v>
          </cell>
          <cell r="AH49" t="str">
            <v>Residential Energy Management</v>
          </cell>
        </row>
        <row r="50">
          <cell r="AD50">
            <v>26360.04</v>
          </cell>
          <cell r="AH50" t="str">
            <v>Energy Efficiency Research &amp; Compliance</v>
          </cell>
        </row>
        <row r="51">
          <cell r="AD51">
            <v>192894.92</v>
          </cell>
          <cell r="AH51" t="str">
            <v>Energy Efficiency Portfolio Support</v>
          </cell>
        </row>
        <row r="52">
          <cell r="AD52">
            <v>493837.56000000006</v>
          </cell>
          <cell r="AH52" t="str">
            <v>Business Energy Management</v>
          </cell>
        </row>
        <row r="53">
          <cell r="AD53">
            <v>0</v>
          </cell>
          <cell r="AH53">
            <v>0</v>
          </cell>
        </row>
        <row r="54">
          <cell r="AD54">
            <v>1658873.04</v>
          </cell>
          <cell r="AH54" t="str">
            <v>Business Energy Management</v>
          </cell>
        </row>
        <row r="55">
          <cell r="AD55">
            <v>35642.92</v>
          </cell>
          <cell r="AH55" t="str">
            <v>Energy Efficiency Portfolio Support</v>
          </cell>
        </row>
        <row r="56">
          <cell r="AD56">
            <v>0</v>
          </cell>
          <cell r="AH56">
            <v>0</v>
          </cell>
        </row>
        <row r="57">
          <cell r="AD57">
            <v>308936.64999999997</v>
          </cell>
          <cell r="AH57" t="str">
            <v>Residential Energy Management</v>
          </cell>
        </row>
        <row r="58">
          <cell r="AD58">
            <v>91335.7</v>
          </cell>
          <cell r="AH58" t="str">
            <v>Energy Efficiency Portfolio Support</v>
          </cell>
        </row>
        <row r="59">
          <cell r="AD59">
            <v>594880</v>
          </cell>
          <cell r="AH59" t="str">
            <v>Residential Energy Management</v>
          </cell>
        </row>
        <row r="60">
          <cell r="AD60">
            <v>0</v>
          </cell>
          <cell r="AH60">
            <v>0</v>
          </cell>
        </row>
        <row r="61">
          <cell r="AD61">
            <v>159536.11000000002</v>
          </cell>
          <cell r="AH61" t="str">
            <v>Energy Efficiency Portfolio Support</v>
          </cell>
        </row>
        <row r="62">
          <cell r="AD62">
            <v>0</v>
          </cell>
          <cell r="AH62" t="str">
            <v>Business Energy Management</v>
          </cell>
        </row>
        <row r="63">
          <cell r="AD63">
            <v>88675.44</v>
          </cell>
          <cell r="AH63" t="str">
            <v>Business Energy Management</v>
          </cell>
        </row>
        <row r="64">
          <cell r="AD64">
            <v>0</v>
          </cell>
          <cell r="AH64" t="str">
            <v>Business Energy Management</v>
          </cell>
        </row>
        <row r="65">
          <cell r="AD65">
            <v>0</v>
          </cell>
          <cell r="AH65">
            <v>0</v>
          </cell>
        </row>
        <row r="66">
          <cell r="AD66">
            <v>354313.79999999993</v>
          </cell>
          <cell r="AH66" t="str">
            <v>Business Energy Management</v>
          </cell>
        </row>
        <row r="67">
          <cell r="AD67">
            <v>0</v>
          </cell>
          <cell r="AH67" t="str">
            <v>Business Energy Management</v>
          </cell>
        </row>
        <row r="68">
          <cell r="AD68">
            <v>47032.62</v>
          </cell>
          <cell r="AH68" t="str">
            <v>Business Energy Management</v>
          </cell>
        </row>
        <row r="69">
          <cell r="AD69">
            <v>-8514.880000000001</v>
          </cell>
          <cell r="AH69" t="str">
            <v>Energy Efficiency Portfolio Support</v>
          </cell>
        </row>
        <row r="70">
          <cell r="AD70">
            <v>0</v>
          </cell>
          <cell r="AH70"/>
        </row>
        <row r="71">
          <cell r="AD71">
            <v>0</v>
          </cell>
          <cell r="AH71" t="str">
            <v>Business Energy Management</v>
          </cell>
        </row>
        <row r="72">
          <cell r="AD72">
            <v>0</v>
          </cell>
          <cell r="AH72" t="str">
            <v>Business Energy Management</v>
          </cell>
        </row>
        <row r="73">
          <cell r="AD73">
            <v>385939.07000000007</v>
          </cell>
          <cell r="AH73" t="str">
            <v>Shareholder Funding</v>
          </cell>
        </row>
        <row r="74">
          <cell r="AD74">
            <v>18141063.870000001</v>
          </cell>
        </row>
        <row r="75">
          <cell r="AD75">
            <v>17755124.799999997</v>
          </cell>
        </row>
        <row r="76">
          <cell r="AD76">
            <v>385939.07000000007</v>
          </cell>
        </row>
        <row r="77">
          <cell r="AD77">
            <v>3.9581209421157837E-9</v>
          </cell>
        </row>
        <row r="78">
          <cell r="AD78"/>
        </row>
        <row r="79">
          <cell r="AD79">
            <v>1498000.92</v>
          </cell>
        </row>
        <row r="80">
          <cell r="AD80">
            <v>2938324</v>
          </cell>
        </row>
        <row r="81">
          <cell r="AD81">
            <v>-1440323.08</v>
          </cell>
        </row>
        <row r="82">
          <cell r="AD82"/>
        </row>
        <row r="83">
          <cell r="AD83"/>
        </row>
        <row r="86">
          <cell r="AD86"/>
        </row>
      </sheetData>
      <sheetData sheetId="7">
        <row r="8">
          <cell r="AC8">
            <v>18830</v>
          </cell>
          <cell r="AG8"/>
        </row>
        <row r="9">
          <cell r="AC9">
            <v>18830</v>
          </cell>
          <cell r="AG9" t="str">
            <v>Residential Energy Management</v>
          </cell>
        </row>
        <row r="10">
          <cell r="AC10">
            <v>0</v>
          </cell>
          <cell r="AG10" t="str">
            <v>Residential Energy Management</v>
          </cell>
        </row>
        <row r="11">
          <cell r="AC11">
            <v>1218898</v>
          </cell>
          <cell r="AG11"/>
        </row>
        <row r="12">
          <cell r="AC12">
            <v>0</v>
          </cell>
          <cell r="AG12" t="str">
            <v>Residential Energy Management</v>
          </cell>
        </row>
        <row r="13">
          <cell r="AC13">
            <v>0</v>
          </cell>
          <cell r="AG13" t="str">
            <v>Residential Energy Management</v>
          </cell>
        </row>
        <row r="14">
          <cell r="AC14">
            <v>0</v>
          </cell>
          <cell r="AG14" t="str">
            <v>Residential Energy Management</v>
          </cell>
        </row>
        <row r="15">
          <cell r="AC15">
            <v>66093</v>
          </cell>
          <cell r="AG15" t="str">
            <v>Residential Energy Management</v>
          </cell>
        </row>
        <row r="16">
          <cell r="AC16">
            <v>392942</v>
          </cell>
          <cell r="AG16" t="str">
            <v>Residential Energy Management</v>
          </cell>
        </row>
        <row r="17">
          <cell r="AC17">
            <v>629030</v>
          </cell>
          <cell r="AG17" t="str">
            <v>Residential Energy Management</v>
          </cell>
        </row>
        <row r="18">
          <cell r="AC18">
            <v>16950</v>
          </cell>
          <cell r="AG18" t="str">
            <v>Residential Energy Management</v>
          </cell>
        </row>
        <row r="19">
          <cell r="AC19">
            <v>239865</v>
          </cell>
          <cell r="AG19" t="str">
            <v>Residential Energy Management</v>
          </cell>
        </row>
        <row r="20">
          <cell r="AC20">
            <v>38765</v>
          </cell>
          <cell r="AG20" t="str">
            <v>Residential Energy Management</v>
          </cell>
        </row>
        <row r="21">
          <cell r="AC21">
            <v>-164747</v>
          </cell>
          <cell r="AG21" t="str">
            <v>Residential Energy Management</v>
          </cell>
        </row>
        <row r="22">
          <cell r="AC22"/>
          <cell r="AG22"/>
        </row>
        <row r="23">
          <cell r="AC23">
            <v>987</v>
          </cell>
          <cell r="AG23"/>
        </row>
        <row r="24">
          <cell r="AC24">
            <v>987</v>
          </cell>
          <cell r="AG24" t="str">
            <v>Residential Energy Management</v>
          </cell>
        </row>
        <row r="25">
          <cell r="AC25">
            <v>34433</v>
          </cell>
          <cell r="AG25"/>
        </row>
        <row r="26">
          <cell r="AC26">
            <v>34433</v>
          </cell>
          <cell r="AG26" t="str">
            <v>Residential Energy Management</v>
          </cell>
        </row>
        <row r="27">
          <cell r="AC27"/>
          <cell r="AG27" t="str">
            <v>Residential Energy Management</v>
          </cell>
        </row>
        <row r="28">
          <cell r="AC28">
            <v>181981</v>
          </cell>
          <cell r="AG28"/>
        </row>
        <row r="29">
          <cell r="AC29">
            <v>181981</v>
          </cell>
          <cell r="AG29" t="str">
            <v>Residential Energy Management</v>
          </cell>
        </row>
        <row r="30">
          <cell r="AC30">
            <v>0</v>
          </cell>
          <cell r="AG30" t="str">
            <v>Residential Energy Management</v>
          </cell>
        </row>
        <row r="31">
          <cell r="AC31"/>
          <cell r="AG31"/>
        </row>
        <row r="32">
          <cell r="AC32"/>
          <cell r="AG32"/>
        </row>
        <row r="33">
          <cell r="AC33">
            <v>405298</v>
          </cell>
          <cell r="AG33"/>
        </row>
        <row r="34">
          <cell r="AC34">
            <v>392393</v>
          </cell>
          <cell r="AG34" t="str">
            <v>Business Energy Management</v>
          </cell>
        </row>
        <row r="35">
          <cell r="AC35">
            <v>0</v>
          </cell>
          <cell r="AG35" t="str">
            <v>Business Energy Management</v>
          </cell>
        </row>
        <row r="36">
          <cell r="AC36">
            <v>12905</v>
          </cell>
          <cell r="AG36" t="str">
            <v>Business Energy Management</v>
          </cell>
        </row>
        <row r="37">
          <cell r="AC37">
            <v>68545</v>
          </cell>
          <cell r="AG37"/>
        </row>
        <row r="38">
          <cell r="AC38">
            <v>68545</v>
          </cell>
          <cell r="AG38" t="str">
            <v>Business Energy Management</v>
          </cell>
        </row>
        <row r="39">
          <cell r="AC39">
            <v>0</v>
          </cell>
          <cell r="AG39" t="str">
            <v>Business Energy Management</v>
          </cell>
        </row>
        <row r="40">
          <cell r="AC40">
            <v>0</v>
          </cell>
          <cell r="AG40" t="str">
            <v>Business Energy Management</v>
          </cell>
        </row>
        <row r="41">
          <cell r="AC41">
            <v>596042</v>
          </cell>
          <cell r="AG41"/>
        </row>
        <row r="42">
          <cell r="AC42">
            <v>596042</v>
          </cell>
          <cell r="AG42" t="str">
            <v>Business Energy Management</v>
          </cell>
        </row>
        <row r="43">
          <cell r="AC43">
            <v>0</v>
          </cell>
          <cell r="AG43" t="str">
            <v>Business Energy Management</v>
          </cell>
        </row>
        <row r="44">
          <cell r="AC44">
            <v>0</v>
          </cell>
          <cell r="AG44" t="str">
            <v>Business Energy Management</v>
          </cell>
        </row>
        <row r="45">
          <cell r="AC45">
            <v>0</v>
          </cell>
          <cell r="AG45" t="str">
            <v>Business Energy Management</v>
          </cell>
        </row>
        <row r="46">
          <cell r="AC46">
            <v>703145</v>
          </cell>
          <cell r="AG46"/>
        </row>
        <row r="47">
          <cell r="AC47">
            <v>587522</v>
          </cell>
          <cell r="AG47" t="str">
            <v>Business Energy Management</v>
          </cell>
        </row>
        <row r="48">
          <cell r="AC48">
            <v>0</v>
          </cell>
          <cell r="AG48" t="str">
            <v>Business Energy Management</v>
          </cell>
        </row>
        <row r="49">
          <cell r="AC49">
            <v>0</v>
          </cell>
          <cell r="AG49" t="str">
            <v>Business Energy Management</v>
          </cell>
        </row>
        <row r="50">
          <cell r="AC50">
            <v>689</v>
          </cell>
          <cell r="AG50" t="str">
            <v>Business Energy Management</v>
          </cell>
        </row>
        <row r="51">
          <cell r="AC51">
            <v>113058</v>
          </cell>
          <cell r="AG51" t="str">
            <v>Business Energy Management</v>
          </cell>
        </row>
        <row r="52">
          <cell r="AC52">
            <v>1876</v>
          </cell>
          <cell r="AG52" t="str">
            <v>Business Energy Management</v>
          </cell>
        </row>
        <row r="53">
          <cell r="AC53"/>
          <cell r="AG53"/>
        </row>
        <row r="54">
          <cell r="AC54"/>
          <cell r="AG54"/>
        </row>
        <row r="55">
          <cell r="AC55">
            <v>0</v>
          </cell>
          <cell r="AG55" t="str">
            <v>Regional Efficiency Programs</v>
          </cell>
        </row>
        <row r="56">
          <cell r="AC56"/>
          <cell r="AG56"/>
        </row>
        <row r="57">
          <cell r="AC57"/>
          <cell r="AG57"/>
        </row>
        <row r="58">
          <cell r="AC58">
            <v>0</v>
          </cell>
          <cell r="AG58" t="str">
            <v>Pilots</v>
          </cell>
        </row>
        <row r="59">
          <cell r="AC59">
            <v>0</v>
          </cell>
          <cell r="AG59" t="str">
            <v>Pilots</v>
          </cell>
        </row>
        <row r="60">
          <cell r="AC60"/>
          <cell r="AG60"/>
        </row>
        <row r="61">
          <cell r="AB61">
            <v>3771315</v>
          </cell>
          <cell r="AC61">
            <v>3228159</v>
          </cell>
          <cell r="AG61"/>
        </row>
        <row r="62">
          <cell r="AC62"/>
          <cell r="AG62"/>
        </row>
        <row r="63">
          <cell r="AC63">
            <v>1773031</v>
          </cell>
          <cell r="AG63"/>
        </row>
        <row r="64">
          <cell r="AC64">
            <v>1773030</v>
          </cell>
          <cell r="AG64"/>
        </row>
        <row r="65">
          <cell r="AC65">
            <v>1</v>
          </cell>
          <cell r="AG65"/>
        </row>
        <row r="66">
          <cell r="AC66"/>
          <cell r="AG66"/>
        </row>
        <row r="67">
          <cell r="AC67">
            <v>1455133</v>
          </cell>
          <cell r="AG67"/>
        </row>
        <row r="68">
          <cell r="AC68">
            <v>1455129</v>
          </cell>
          <cell r="AG68"/>
        </row>
        <row r="69">
          <cell r="AC69">
            <v>-4</v>
          </cell>
          <cell r="AG69"/>
        </row>
        <row r="70">
          <cell r="AC70"/>
          <cell r="AG70"/>
        </row>
        <row r="71">
          <cell r="AC71">
            <v>1455129</v>
          </cell>
          <cell r="AG71"/>
        </row>
        <row r="72">
          <cell r="AC72">
            <v>1773030</v>
          </cell>
          <cell r="AG72"/>
        </row>
        <row r="73">
          <cell r="AC73">
            <v>0</v>
          </cell>
          <cell r="AG73"/>
        </row>
        <row r="74">
          <cell r="AC74">
            <v>3228159</v>
          </cell>
          <cell r="AG74"/>
        </row>
        <row r="75">
          <cell r="AC75">
            <v>0</v>
          </cell>
          <cell r="AG75"/>
        </row>
        <row r="76">
          <cell r="AC76"/>
        </row>
        <row r="77">
          <cell r="AC77"/>
        </row>
        <row r="78">
          <cell r="AC78"/>
        </row>
        <row r="79">
          <cell r="AC79"/>
        </row>
        <row r="80">
          <cell r="AC80"/>
        </row>
        <row r="81">
          <cell r="AC81"/>
        </row>
        <row r="82">
          <cell r="AC82"/>
        </row>
        <row r="83">
          <cell r="AC83"/>
        </row>
        <row r="84">
          <cell r="AC84"/>
        </row>
        <row r="85">
          <cell r="AC85"/>
        </row>
        <row r="86">
          <cell r="AC86"/>
        </row>
        <row r="87">
          <cell r="AC87"/>
        </row>
        <row r="88">
          <cell r="AC88"/>
        </row>
        <row r="89">
          <cell r="AC89"/>
        </row>
        <row r="90">
          <cell r="AC90"/>
        </row>
        <row r="91">
          <cell r="AC91"/>
        </row>
        <row r="92">
          <cell r="AC92"/>
        </row>
        <row r="93">
          <cell r="AC93"/>
        </row>
        <row r="94">
          <cell r="AC94"/>
        </row>
        <row r="95">
          <cell r="AC95"/>
        </row>
        <row r="96">
          <cell r="AC96"/>
        </row>
        <row r="97">
          <cell r="AC97"/>
        </row>
        <row r="98">
          <cell r="AC98"/>
        </row>
        <row r="99">
          <cell r="AC99"/>
        </row>
        <row r="100">
          <cell r="AC100"/>
        </row>
        <row r="101">
          <cell r="AC101"/>
        </row>
        <row r="102">
          <cell r="AC102"/>
        </row>
        <row r="103">
          <cell r="AC103"/>
        </row>
        <row r="104">
          <cell r="AC104"/>
        </row>
        <row r="105">
          <cell r="AC105"/>
        </row>
        <row r="106">
          <cell r="AC106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N149"/>
  <sheetViews>
    <sheetView showGridLines="0" tabSelected="1" topLeftCell="C91" workbookViewId="0">
      <pane xSplit="3" topLeftCell="I1" activePane="topRight" state="frozen"/>
      <selection activeCell="C19" sqref="C19"/>
      <selection pane="topRight" activeCell="S106" sqref="S106"/>
    </sheetView>
  </sheetViews>
  <sheetFormatPr defaultColWidth="9.109375" defaultRowHeight="13.2" x14ac:dyDescent="0.25"/>
  <cols>
    <col min="1" max="1" width="9.109375" style="5"/>
    <col min="2" max="2" width="5.44140625" style="1" customWidth="1"/>
    <col min="3" max="3" width="12.88671875" style="2" customWidth="1"/>
    <col min="4" max="4" width="5.33203125" style="2" customWidth="1"/>
    <col min="5" max="5" width="17.4414062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2" customWidth="1"/>
    <col min="10" max="10" width="16" style="2" customWidth="1"/>
    <col min="11" max="11" width="11.88671875" style="2" customWidth="1"/>
    <col min="12" max="12" width="20.88671875" style="2" customWidth="1"/>
    <col min="13" max="13" width="19.44140625" style="2" customWidth="1"/>
    <col min="14" max="15" width="1.44140625" style="3" customWidth="1"/>
    <col min="16" max="16" width="19.33203125" style="2" customWidth="1"/>
    <col min="17" max="17" width="22.5546875" style="2" customWidth="1"/>
    <col min="18" max="18" width="9" style="2" customWidth="1"/>
    <col min="19" max="19" width="16.88671875" style="2" customWidth="1"/>
    <col min="20" max="20" width="17.88671875" style="2" bestFit="1" customWidth="1"/>
    <col min="21" max="21" width="26.6640625" style="2" customWidth="1"/>
    <col min="22" max="22" width="39.88671875" style="3" customWidth="1"/>
    <col min="23" max="40" width="9.109375" style="2"/>
    <col min="41" max="16384" width="9.109375" style="5"/>
  </cols>
  <sheetData>
    <row r="2" spans="2:40" x14ac:dyDescent="0.25">
      <c r="Q2" s="4"/>
    </row>
    <row r="3" spans="2:40" ht="33" x14ac:dyDescent="0.6">
      <c r="L3" s="6">
        <v>2019</v>
      </c>
      <c r="Q3" s="7"/>
    </row>
    <row r="4" spans="2:40" s="16" customFormat="1" ht="15" x14ac:dyDescent="0.25">
      <c r="B4" s="8"/>
      <c r="C4" s="9"/>
      <c r="D4" s="9"/>
      <c r="E4" s="9"/>
      <c r="F4" s="9"/>
      <c r="G4" s="10"/>
      <c r="H4" s="11"/>
      <c r="I4" s="12"/>
      <c r="J4" s="13"/>
      <c r="K4" s="9"/>
      <c r="L4" s="9"/>
      <c r="M4" s="13"/>
      <c r="N4" s="14"/>
      <c r="O4" s="14"/>
      <c r="P4" s="15"/>
      <c r="Q4" s="13"/>
      <c r="R4" s="13"/>
      <c r="S4" s="9"/>
      <c r="T4" s="9"/>
      <c r="U4" s="13"/>
      <c r="V4" s="14"/>
      <c r="W4" s="9"/>
      <c r="X4" s="13"/>
      <c r="Y4" s="13"/>
      <c r="Z4" s="8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0" s="16" customFormat="1" ht="15" x14ac:dyDescent="0.25">
      <c r="B5" s="8"/>
      <c r="C5" s="9"/>
      <c r="D5" s="9"/>
      <c r="E5" s="9"/>
      <c r="F5" s="9"/>
      <c r="G5" s="10"/>
      <c r="H5" s="11"/>
      <c r="J5" s="13"/>
      <c r="K5" s="9"/>
      <c r="L5" s="486" t="s">
        <v>196</v>
      </c>
      <c r="M5" s="13"/>
      <c r="N5" s="14"/>
      <c r="O5" s="14"/>
      <c r="P5" s="15"/>
      <c r="Q5" s="13"/>
      <c r="R5" s="13"/>
      <c r="S5" s="9"/>
      <c r="T5" s="9"/>
      <c r="U5" s="13"/>
      <c r="V5" s="14"/>
      <c r="W5" s="9"/>
      <c r="X5" s="13"/>
      <c r="Y5" s="13"/>
      <c r="Z5" s="8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2:40" s="16" customFormat="1" ht="15" x14ac:dyDescent="0.25">
      <c r="B6" s="8"/>
      <c r="C6" s="12" t="s">
        <v>0</v>
      </c>
      <c r="D6" s="9"/>
      <c r="E6" s="9"/>
      <c r="F6" s="9"/>
      <c r="G6" s="10"/>
      <c r="H6" s="11"/>
      <c r="J6" s="13"/>
      <c r="K6" s="9"/>
      <c r="L6" s="9"/>
      <c r="M6" s="13"/>
      <c r="N6" s="14"/>
      <c r="O6" s="14"/>
      <c r="P6" s="15"/>
      <c r="Q6" s="13"/>
      <c r="R6" s="13"/>
      <c r="S6" s="9"/>
      <c r="T6" s="9"/>
      <c r="U6" s="13"/>
      <c r="V6" s="14"/>
      <c r="W6" s="9"/>
      <c r="X6" s="13"/>
      <c r="Y6" s="13"/>
      <c r="Z6" s="8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2:40" s="16" customFormat="1" ht="15" x14ac:dyDescent="0.25">
      <c r="B7" s="8"/>
      <c r="C7" s="12" t="s">
        <v>1</v>
      </c>
      <c r="D7" s="9"/>
      <c r="E7" s="9"/>
      <c r="F7" s="9"/>
      <c r="G7" s="10"/>
      <c r="H7" s="15"/>
      <c r="I7" s="13"/>
      <c r="J7" s="13"/>
      <c r="K7" s="9"/>
      <c r="L7" s="9"/>
      <c r="M7" s="13"/>
      <c r="N7" s="14"/>
      <c r="O7" s="14"/>
      <c r="P7" s="17"/>
      <c r="Q7" s="13"/>
      <c r="R7" s="13"/>
      <c r="S7" s="9"/>
      <c r="T7" s="9"/>
      <c r="U7" s="13"/>
      <c r="V7" s="14"/>
      <c r="W7" s="9"/>
      <c r="X7" s="13"/>
      <c r="Y7" s="13"/>
      <c r="Z7" s="8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9" spans="2:40" ht="10.5" customHeight="1" thickBot="1" x14ac:dyDescent="0.3"/>
    <row r="10" spans="2:40" s="26" customFormat="1" ht="20.25" customHeight="1" thickBot="1" x14ac:dyDescent="0.35">
      <c r="B10" s="18"/>
      <c r="C10" s="19">
        <f>12/12</f>
        <v>1</v>
      </c>
      <c r="D10" s="20"/>
      <c r="E10" s="20"/>
      <c r="F10" s="21" t="s">
        <v>2</v>
      </c>
      <c r="G10" s="22"/>
      <c r="H10" s="494" t="s">
        <v>3</v>
      </c>
      <c r="I10" s="495"/>
      <c r="J10" s="495"/>
      <c r="K10" s="495"/>
      <c r="L10" s="495"/>
      <c r="M10" s="496"/>
      <c r="N10" s="23"/>
      <c r="O10" s="24"/>
      <c r="P10" s="494" t="s">
        <v>4</v>
      </c>
      <c r="Q10" s="495"/>
      <c r="R10" s="495"/>
      <c r="S10" s="495"/>
      <c r="T10" s="495"/>
      <c r="U10" s="496"/>
      <c r="V10" s="24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</row>
    <row r="11" spans="2:40" s="31" customFormat="1" ht="46.5" customHeight="1" x14ac:dyDescent="0.3">
      <c r="B11" s="27" t="s">
        <v>5</v>
      </c>
      <c r="C11" s="497" t="s">
        <v>6</v>
      </c>
      <c r="D11" s="499" t="s">
        <v>7</v>
      </c>
      <c r="E11" s="500"/>
      <c r="F11" s="501"/>
      <c r="G11" s="28"/>
      <c r="H11" s="505" t="s">
        <v>8</v>
      </c>
      <c r="I11" s="505"/>
      <c r="J11" s="506" t="s">
        <v>9</v>
      </c>
      <c r="K11" s="506"/>
      <c r="L11" s="507" t="s">
        <v>10</v>
      </c>
      <c r="M11" s="508"/>
      <c r="N11" s="28"/>
      <c r="O11" s="29"/>
      <c r="P11" s="505" t="s">
        <v>8</v>
      </c>
      <c r="Q11" s="505"/>
      <c r="R11" s="506" t="s">
        <v>9</v>
      </c>
      <c r="S11" s="506"/>
      <c r="T11" s="509" t="s">
        <v>11</v>
      </c>
      <c r="U11" s="509"/>
      <c r="V11" s="29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2:40" s="31" customFormat="1" ht="16.5" customHeight="1" thickBot="1" x14ac:dyDescent="0.35">
      <c r="B12" s="27"/>
      <c r="C12" s="498"/>
      <c r="D12" s="502"/>
      <c r="E12" s="503"/>
      <c r="F12" s="504"/>
      <c r="G12" s="28"/>
      <c r="H12" s="487" t="s">
        <v>12</v>
      </c>
      <c r="I12" s="488"/>
      <c r="J12" s="488"/>
      <c r="K12" s="488"/>
      <c r="L12" s="488"/>
      <c r="M12" s="489"/>
      <c r="N12" s="28"/>
      <c r="O12" s="29"/>
      <c r="P12" s="487" t="s">
        <v>12</v>
      </c>
      <c r="Q12" s="488"/>
      <c r="R12" s="488"/>
      <c r="S12" s="488"/>
      <c r="T12" s="488"/>
      <c r="U12" s="489"/>
      <c r="V12" s="2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2:40" s="47" customFormat="1" ht="41.25" customHeight="1" x14ac:dyDescent="0.3">
      <c r="B13" s="32" t="s">
        <v>13</v>
      </c>
      <c r="C13" s="33"/>
      <c r="D13" s="34"/>
      <c r="E13" s="34"/>
      <c r="F13" s="35"/>
      <c r="G13" s="36"/>
      <c r="H13" s="37" t="s">
        <v>14</v>
      </c>
      <c r="I13" s="38" t="s">
        <v>15</v>
      </c>
      <c r="J13" s="39" t="s">
        <v>16</v>
      </c>
      <c r="K13" s="40" t="s">
        <v>17</v>
      </c>
      <c r="L13" s="41" t="s">
        <v>18</v>
      </c>
      <c r="M13" s="42" t="s">
        <v>19</v>
      </c>
      <c r="N13" s="43"/>
      <c r="O13" s="44"/>
      <c r="P13" s="37" t="s">
        <v>14</v>
      </c>
      <c r="Q13" s="38" t="s">
        <v>20</v>
      </c>
      <c r="R13" s="39" t="s">
        <v>16</v>
      </c>
      <c r="S13" s="40" t="s">
        <v>17</v>
      </c>
      <c r="T13" s="41" t="s">
        <v>18</v>
      </c>
      <c r="U13" s="45" t="s">
        <v>21</v>
      </c>
      <c r="V13" s="44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</row>
    <row r="14" spans="2:40" ht="15.75" customHeight="1" x14ac:dyDescent="0.25">
      <c r="B14" s="48"/>
      <c r="C14" s="49"/>
      <c r="D14" s="50"/>
      <c r="E14" s="50"/>
      <c r="F14" s="51" t="s">
        <v>22</v>
      </c>
      <c r="G14" s="52"/>
      <c r="H14" s="53"/>
      <c r="I14" s="54"/>
      <c r="J14" s="55"/>
      <c r="K14" s="50"/>
      <c r="L14" s="56"/>
      <c r="M14" s="57"/>
      <c r="N14" s="58"/>
      <c r="O14" s="58"/>
      <c r="P14" s="53"/>
      <c r="Q14" s="54"/>
      <c r="R14" s="55"/>
      <c r="S14" s="50"/>
      <c r="T14" s="56"/>
      <c r="U14" s="57"/>
      <c r="V14" s="59"/>
    </row>
    <row r="15" spans="2:40" x14ac:dyDescent="0.25">
      <c r="B15" s="48" t="s">
        <v>23</v>
      </c>
      <c r="C15" s="60">
        <v>201</v>
      </c>
      <c r="D15" s="61" t="s">
        <v>24</v>
      </c>
      <c r="E15" s="62"/>
      <c r="F15" s="63"/>
      <c r="G15" s="64"/>
      <c r="H15" s="65">
        <f>'[1]Elec Cost '!AE82</f>
        <v>6737232.29</v>
      </c>
      <c r="I15" s="66">
        <f>'[1]kWh Data Entry'!AC9/1000</f>
        <v>2648.8330000000001</v>
      </c>
      <c r="J15" s="67">
        <f>IF(L15=0, " ", H15/L15)</f>
        <v>1.4369877513655391</v>
      </c>
      <c r="K15" s="68">
        <f>IF(M15=0, " ", I15/M15)</f>
        <v>1.3542091002044989</v>
      </c>
      <c r="L15" s="69">
        <v>4688441</v>
      </c>
      <c r="M15" s="70">
        <v>1956</v>
      </c>
      <c r="N15" s="71"/>
      <c r="O15" s="71"/>
      <c r="P15" s="65">
        <f>'[1]Gas Cost '!AD24</f>
        <v>914253.10999999987</v>
      </c>
      <c r="Q15" s="72">
        <f>'[1]Therms Data Entry'!AC8</f>
        <v>18830</v>
      </c>
      <c r="R15" s="67">
        <f>P15/T15</f>
        <v>1.3935085812705765</v>
      </c>
      <c r="S15" s="68">
        <f>Q15/U15</f>
        <v>1.1710199004975124</v>
      </c>
      <c r="T15" s="69">
        <v>656080</v>
      </c>
      <c r="U15" s="73">
        <v>16080</v>
      </c>
      <c r="V15" s="71"/>
    </row>
    <row r="16" spans="2:40" x14ac:dyDescent="0.25">
      <c r="B16" s="48"/>
      <c r="C16" s="60"/>
      <c r="D16" s="62"/>
      <c r="E16" s="62"/>
      <c r="F16" s="61"/>
      <c r="G16" s="64"/>
      <c r="H16" s="65"/>
      <c r="I16" s="72"/>
      <c r="J16" s="67"/>
      <c r="K16" s="68"/>
      <c r="L16" s="69"/>
      <c r="M16" s="70"/>
      <c r="N16" s="71"/>
      <c r="O16" s="71"/>
      <c r="P16" s="65"/>
      <c r="Q16" s="72"/>
      <c r="R16" s="67"/>
      <c r="S16" s="68"/>
      <c r="T16" s="69"/>
      <c r="U16" s="73"/>
      <c r="V16" s="71"/>
    </row>
    <row r="17" spans="2:40" x14ac:dyDescent="0.25">
      <c r="B17" s="48" t="s">
        <v>25</v>
      </c>
      <c r="C17" s="60">
        <v>214</v>
      </c>
      <c r="D17" s="74" t="s">
        <v>26</v>
      </c>
      <c r="F17" s="63"/>
      <c r="G17" s="75"/>
      <c r="H17" s="76">
        <f>SUM(H18:H27)</f>
        <v>20405172.189999998</v>
      </c>
      <c r="I17" s="77">
        <f>SUM(I18:I27)</f>
        <v>91893.394</v>
      </c>
      <c r="J17" s="78">
        <f>IF(L17=0, " ", H17/L17)</f>
        <v>0.95455193181810727</v>
      </c>
      <c r="K17" s="79">
        <f>IF($M$17=0, " ",I17/$M$17)</f>
        <v>1.1487105016438117</v>
      </c>
      <c r="L17" s="80">
        <f>SUM(L18:L27)</f>
        <v>21376702</v>
      </c>
      <c r="M17" s="81">
        <f>SUM(M18:M27)</f>
        <v>79997</v>
      </c>
      <c r="N17" s="71"/>
      <c r="O17" s="71"/>
      <c r="P17" s="76">
        <f>SUM(P18:P27)</f>
        <v>6556456.2599999998</v>
      </c>
      <c r="Q17" s="77">
        <f>SUM(Q18:Q27)</f>
        <v>1218898</v>
      </c>
      <c r="R17" s="67">
        <f>P17/T17</f>
        <v>1.0362953564996771</v>
      </c>
      <c r="S17" s="68">
        <f>Q17/U17</f>
        <v>0.85953015941070365</v>
      </c>
      <c r="T17" s="80">
        <f>SUM(T18:T27)</f>
        <v>6326822</v>
      </c>
      <c r="U17" s="82">
        <f>SUM(U18:U27)</f>
        <v>1418098</v>
      </c>
      <c r="V17" s="71"/>
    </row>
    <row r="18" spans="2:40" s="98" customFormat="1" x14ac:dyDescent="0.25">
      <c r="B18" s="83" t="s">
        <v>27</v>
      </c>
      <c r="C18" s="84"/>
      <c r="D18" s="85"/>
      <c r="E18" s="86" t="s">
        <v>28</v>
      </c>
      <c r="F18" s="87"/>
      <c r="G18" s="88"/>
      <c r="H18" s="89">
        <f>'[1]Elec Cost '!AE37</f>
        <v>9487158.8299999982</v>
      </c>
      <c r="I18" s="90">
        <f>'[1]kWh Data Entry'!AC20/1000</f>
        <v>75827.873000000007</v>
      </c>
      <c r="J18" s="91">
        <f>IF(L18=0, " ", H18/L18)</f>
        <v>0.81311413901850604</v>
      </c>
      <c r="K18" s="92">
        <f>IF(M18=0, " ",I18/M18)</f>
        <v>1.2622621310738602</v>
      </c>
      <c r="L18" s="93">
        <v>11667684</v>
      </c>
      <c r="M18" s="94">
        <v>60073</v>
      </c>
      <c r="N18" s="95"/>
      <c r="O18" s="95"/>
      <c r="P18" s="89"/>
      <c r="Q18" s="90"/>
      <c r="R18" s="91"/>
      <c r="S18" s="96"/>
      <c r="T18" s="93"/>
      <c r="U18" s="97"/>
      <c r="V18" s="95"/>
    </row>
    <row r="19" spans="2:40" s="98" customFormat="1" x14ac:dyDescent="0.25">
      <c r="B19" s="83" t="s">
        <v>29</v>
      </c>
      <c r="C19" s="84"/>
      <c r="D19" s="85"/>
      <c r="E19" s="86" t="s">
        <v>30</v>
      </c>
      <c r="F19" s="87"/>
      <c r="G19" s="88"/>
      <c r="H19" s="89">
        <f>'[1]Elec Cost '!AE92</f>
        <v>4321206.1800000006</v>
      </c>
      <c r="I19" s="90">
        <f>'[1]kWh Data Entry'!AC16/1000</f>
        <v>9292.66</v>
      </c>
      <c r="J19" s="91">
        <f t="shared" ref="J19:J32" si="0">IF(L19=0, " ", H19/L19)</f>
        <v>1.2488652601972312</v>
      </c>
      <c r="K19" s="92">
        <f t="shared" ref="K19:K32" si="1">IF(M19=0, " ",I19/M19)</f>
        <v>1.2771660252886201</v>
      </c>
      <c r="L19" s="93">
        <v>3460106</v>
      </c>
      <c r="M19" s="94">
        <v>7276</v>
      </c>
      <c r="N19" s="95"/>
      <c r="O19" s="95"/>
      <c r="P19" s="89">
        <f>'[1]Gas Cost '!AD18</f>
        <v>2194959.2299999995</v>
      </c>
      <c r="Q19" s="90">
        <f>'[1]Therms Data Entry'!AC17</f>
        <v>629030</v>
      </c>
      <c r="R19" s="91">
        <f>P19/T19</f>
        <v>1.4503688630747067</v>
      </c>
      <c r="S19" s="96">
        <f>Q19/U19</f>
        <v>1.2476768333925075</v>
      </c>
      <c r="T19" s="93">
        <v>1513380</v>
      </c>
      <c r="U19" s="97">
        <v>504161</v>
      </c>
      <c r="V19" s="95"/>
    </row>
    <row r="20" spans="2:40" s="98" customFormat="1" x14ac:dyDescent="0.25">
      <c r="B20" s="83" t="s">
        <v>31</v>
      </c>
      <c r="C20" s="84"/>
      <c r="D20" s="85"/>
      <c r="E20" s="86" t="s">
        <v>32</v>
      </c>
      <c r="F20" s="87"/>
      <c r="G20" s="88"/>
      <c r="H20" s="89">
        <f>'[1]Elec Cost '!AE90</f>
        <v>324272.27999999997</v>
      </c>
      <c r="I20" s="90">
        <f>'[1]kWh Data Entry'!AC14/1000</f>
        <v>534.15800000000002</v>
      </c>
      <c r="J20" s="91">
        <f t="shared" si="0"/>
        <v>0.80696864423651193</v>
      </c>
      <c r="K20" s="92">
        <f t="shared" si="1"/>
        <v>0.70469393139841696</v>
      </c>
      <c r="L20" s="93">
        <v>401840</v>
      </c>
      <c r="M20" s="94">
        <v>758</v>
      </c>
      <c r="N20" s="95"/>
      <c r="O20" s="95"/>
      <c r="P20" s="89">
        <f>'[1]Gas Cost '!AD12</f>
        <v>365492.27</v>
      </c>
      <c r="Q20" s="90">
        <f>'[1]Therms Data Entry'!AC15</f>
        <v>66093</v>
      </c>
      <c r="R20" s="91" t="s">
        <v>33</v>
      </c>
      <c r="S20" s="96">
        <v>0</v>
      </c>
      <c r="T20" s="93">
        <v>341556</v>
      </c>
      <c r="U20" s="97">
        <v>109907</v>
      </c>
      <c r="V20" s="95"/>
    </row>
    <row r="21" spans="2:40" s="98" customFormat="1" x14ac:dyDescent="0.25">
      <c r="B21" s="83" t="s">
        <v>34</v>
      </c>
      <c r="C21" s="84"/>
      <c r="D21" s="85"/>
      <c r="E21" s="86" t="s">
        <v>35</v>
      </c>
      <c r="F21" s="87"/>
      <c r="G21" s="88"/>
      <c r="H21" s="89">
        <f>'[1]Elec Cost '!AE77</f>
        <v>5355.99</v>
      </c>
      <c r="I21" s="90"/>
      <c r="J21" s="91"/>
      <c r="K21" s="92"/>
      <c r="L21" s="93">
        <v>104586</v>
      </c>
      <c r="M21" s="94">
        <v>0</v>
      </c>
      <c r="N21" s="95"/>
      <c r="O21" s="95"/>
      <c r="P21" s="89">
        <f>'[1]Gas Cost '!AD10</f>
        <v>5356.3899999999994</v>
      </c>
      <c r="Q21" s="90">
        <f>'[1]Therms Data Entry'!AC59</f>
        <v>0</v>
      </c>
      <c r="R21" s="91"/>
      <c r="S21" s="96"/>
      <c r="T21" s="93">
        <v>94586</v>
      </c>
      <c r="U21" s="97"/>
      <c r="V21" s="95"/>
    </row>
    <row r="22" spans="2:40" s="98" customFormat="1" x14ac:dyDescent="0.25">
      <c r="B22" s="83" t="s">
        <v>36</v>
      </c>
      <c r="C22" s="84"/>
      <c r="D22" s="85"/>
      <c r="E22" s="86" t="s">
        <v>37</v>
      </c>
      <c r="F22" s="87"/>
      <c r="G22" s="88"/>
      <c r="H22" s="89">
        <f>'[1]Elec Cost '!AE89</f>
        <v>2733746.1399999997</v>
      </c>
      <c r="I22" s="90">
        <f>'[1]kWh Data Entry'!AC13/1000</f>
        <v>5650.9340000000002</v>
      </c>
      <c r="J22" s="91">
        <f t="shared" si="0"/>
        <v>1.0909090742214278</v>
      </c>
      <c r="K22" s="92">
        <f t="shared" si="1"/>
        <v>1.1814622621785491</v>
      </c>
      <c r="L22" s="93">
        <v>2505934</v>
      </c>
      <c r="M22" s="94">
        <v>4783</v>
      </c>
      <c r="N22" s="95"/>
      <c r="O22" s="95"/>
      <c r="P22" s="89"/>
      <c r="Q22" s="90"/>
      <c r="R22" s="91" t="s">
        <v>33</v>
      </c>
      <c r="S22" s="96">
        <v>0</v>
      </c>
      <c r="T22" s="93">
        <v>0</v>
      </c>
      <c r="U22" s="97">
        <v>0</v>
      </c>
      <c r="V22" s="95"/>
    </row>
    <row r="23" spans="2:40" s="98" customFormat="1" x14ac:dyDescent="0.25">
      <c r="B23" s="83" t="s">
        <v>38</v>
      </c>
      <c r="C23" s="84"/>
      <c r="D23" s="85"/>
      <c r="E23" s="86" t="s">
        <v>39</v>
      </c>
      <c r="F23" s="87"/>
      <c r="G23" s="88"/>
      <c r="H23" s="89">
        <f>'[1]Elec Cost '!AE31</f>
        <v>1057618.73</v>
      </c>
      <c r="I23" s="90">
        <f>'[1]kWh Data Entry'!AC18/1000</f>
        <v>2481.1410000000001</v>
      </c>
      <c r="J23" s="91">
        <f t="shared" si="0"/>
        <v>1.244220734684274</v>
      </c>
      <c r="K23" s="92">
        <f t="shared" si="1"/>
        <v>1.21149462890625</v>
      </c>
      <c r="L23" s="93">
        <v>850025</v>
      </c>
      <c r="M23" s="94">
        <v>2048</v>
      </c>
      <c r="N23" s="95"/>
      <c r="O23" s="95"/>
      <c r="P23" s="99"/>
      <c r="Q23" s="90">
        <f>'[1]Therms Data Entry'!AC18</f>
        <v>16950</v>
      </c>
      <c r="R23" s="91" t="s">
        <v>33</v>
      </c>
      <c r="S23" s="96">
        <f>Q23/U23</f>
        <v>1.3882063882063882</v>
      </c>
      <c r="T23" s="93">
        <v>0</v>
      </c>
      <c r="U23" s="97">
        <v>12210</v>
      </c>
      <c r="V23" s="95"/>
    </row>
    <row r="24" spans="2:40" s="98" customFormat="1" x14ac:dyDescent="0.25">
      <c r="B24" s="83" t="s">
        <v>40</v>
      </c>
      <c r="C24" s="84"/>
      <c r="D24" s="85"/>
      <c r="E24" s="86" t="s">
        <v>41</v>
      </c>
      <c r="F24" s="87"/>
      <c r="G24" s="88"/>
      <c r="H24" s="89">
        <f>'[1]Elec Cost '!AE7</f>
        <v>219774.32000000004</v>
      </c>
      <c r="I24" s="90">
        <f>'[1]kWh Data Entry'!AC11/1000</f>
        <v>958.55899999999997</v>
      </c>
      <c r="J24" s="91">
        <f t="shared" si="0"/>
        <v>0.51874062062600768</v>
      </c>
      <c r="K24" s="92">
        <f t="shared" si="1"/>
        <v>0.5848438071995119</v>
      </c>
      <c r="L24" s="93">
        <v>423669</v>
      </c>
      <c r="M24" s="94">
        <v>1639</v>
      </c>
      <c r="N24" s="95"/>
      <c r="O24" s="95"/>
      <c r="P24" s="89">
        <f>'[1]Gas Cost '!AD40</f>
        <v>669986.49</v>
      </c>
      <c r="Q24" s="90">
        <f>'[1]Therms Data Entry'!AC19</f>
        <v>239865</v>
      </c>
      <c r="R24" s="91">
        <f t="shared" ref="R24:S27" si="2">P24/T24</f>
        <v>0.63372296100255099</v>
      </c>
      <c r="S24" s="96">
        <f t="shared" si="2"/>
        <v>0.92945712403611425</v>
      </c>
      <c r="T24" s="93">
        <v>1057223</v>
      </c>
      <c r="U24" s="97">
        <v>258070</v>
      </c>
      <c r="V24" s="95"/>
    </row>
    <row r="25" spans="2:40" s="98" customFormat="1" x14ac:dyDescent="0.25">
      <c r="B25" s="83" t="s">
        <v>42</v>
      </c>
      <c r="C25" s="84"/>
      <c r="D25" s="85"/>
      <c r="E25" s="86" t="s">
        <v>43</v>
      </c>
      <c r="F25" s="87"/>
      <c r="G25" s="88"/>
      <c r="H25" s="89">
        <f>'[1]Elec Cost '!AE32</f>
        <v>329871.62</v>
      </c>
      <c r="I25" s="90">
        <f>'[1]kWh Data Entry'!AC19/1000</f>
        <v>1368.761</v>
      </c>
      <c r="J25" s="91">
        <f t="shared" si="0"/>
        <v>0.81580311213991763</v>
      </c>
      <c r="K25" s="92">
        <f t="shared" si="1"/>
        <v>0.87293431122448972</v>
      </c>
      <c r="L25" s="93">
        <v>404352</v>
      </c>
      <c r="M25" s="94">
        <v>1568</v>
      </c>
      <c r="N25" s="95"/>
      <c r="O25" s="95"/>
      <c r="P25" s="89">
        <f>'[1]Gas Cost '!AD49</f>
        <v>153232.39999999997</v>
      </c>
      <c r="Q25" s="90">
        <f>'[1]Therms Data Entry'!AC20</f>
        <v>38765</v>
      </c>
      <c r="R25" s="91">
        <f t="shared" si="2"/>
        <v>0.40757416972991944</v>
      </c>
      <c r="S25" s="96">
        <f t="shared" si="2"/>
        <v>0.33217367460433073</v>
      </c>
      <c r="T25" s="93">
        <v>375962</v>
      </c>
      <c r="U25" s="97">
        <v>116701</v>
      </c>
      <c r="V25" s="95"/>
    </row>
    <row r="26" spans="2:40" s="98" customFormat="1" x14ac:dyDescent="0.25">
      <c r="B26" s="83" t="s">
        <v>44</v>
      </c>
      <c r="C26" s="84"/>
      <c r="D26" s="85"/>
      <c r="E26" s="86" t="s">
        <v>45</v>
      </c>
      <c r="F26" s="87"/>
      <c r="G26" s="88"/>
      <c r="H26" s="89">
        <f>'[1]Elec Cost '!AE65+'[1]Elec Cost '!AE91</f>
        <v>1029314.99</v>
      </c>
      <c r="I26" s="90">
        <f>SUM('[1]kWh Data Entry'!AC12+'[1]kWh Data Entry'!AC15)/1000</f>
        <v>1890.2270000000001</v>
      </c>
      <c r="J26" s="91">
        <f t="shared" si="0"/>
        <v>1.2199823755234303</v>
      </c>
      <c r="K26" s="92">
        <f t="shared" si="1"/>
        <v>1.0206409287257019</v>
      </c>
      <c r="L26" s="100">
        <v>843713</v>
      </c>
      <c r="M26" s="94">
        <v>1852</v>
      </c>
      <c r="N26" s="95"/>
      <c r="O26" s="95"/>
      <c r="P26" s="89">
        <f>'[1]Gas Cost '!AD56+'[1]Gas Cost '!AD17</f>
        <v>2572549.48</v>
      </c>
      <c r="Q26" s="90">
        <f>'[1]Therms Data Entry'!AC16</f>
        <v>392942</v>
      </c>
      <c r="R26" s="91">
        <f>P26/T26</f>
        <v>1.0940794450136242</v>
      </c>
      <c r="S26" s="96">
        <f t="shared" si="2"/>
        <v>0.94219624072950658</v>
      </c>
      <c r="T26" s="93">
        <v>2351337</v>
      </c>
      <c r="U26" s="97">
        <v>417049</v>
      </c>
      <c r="V26" s="95"/>
    </row>
    <row r="27" spans="2:40" s="107" customFormat="1" x14ac:dyDescent="0.25">
      <c r="B27" s="83" t="s">
        <v>46</v>
      </c>
      <c r="C27" s="84"/>
      <c r="D27" s="101"/>
      <c r="E27" s="86" t="s">
        <v>47</v>
      </c>
      <c r="F27" s="86"/>
      <c r="G27" s="102"/>
      <c r="H27" s="89">
        <f>'[1]Elec Cost '!AE42</f>
        <v>896853.10999999987</v>
      </c>
      <c r="I27" s="90">
        <f>'[1]kWh Data Entry'!AC21/1000</f>
        <v>-6110.9189999999999</v>
      </c>
      <c r="J27" s="91">
        <f t="shared" si="0"/>
        <v>1.2547032637420903</v>
      </c>
      <c r="K27" s="92" t="str">
        <f t="shared" si="1"/>
        <v xml:space="preserve"> </v>
      </c>
      <c r="L27" s="100">
        <v>714793</v>
      </c>
      <c r="M27" s="94">
        <v>0</v>
      </c>
      <c r="N27" s="103"/>
      <c r="O27" s="103"/>
      <c r="P27" s="104">
        <f>'[1]Gas Cost '!AD59</f>
        <v>594880</v>
      </c>
      <c r="Q27" s="105">
        <f>'[1]Therms Data Entry'!AC21</f>
        <v>-164747</v>
      </c>
      <c r="R27" s="106">
        <f t="shared" si="2"/>
        <v>1.0035460155403877</v>
      </c>
      <c r="S27" s="96"/>
      <c r="T27" s="93">
        <v>592778</v>
      </c>
      <c r="U27" s="97">
        <v>0</v>
      </c>
      <c r="V27" s="103" t="s">
        <v>48</v>
      </c>
    </row>
    <row r="28" spans="2:40" s="121" customFormat="1" x14ac:dyDescent="0.25">
      <c r="B28" s="108" t="s">
        <v>49</v>
      </c>
      <c r="C28" s="109">
        <v>215</v>
      </c>
      <c r="D28" s="110" t="s">
        <v>50</v>
      </c>
      <c r="E28" s="3"/>
      <c r="F28" s="111"/>
      <c r="G28" s="112"/>
      <c r="H28" s="113">
        <f>'[1]Elec Cost '!AE13</f>
        <v>97240.00999999998</v>
      </c>
      <c r="I28" s="114">
        <f>'[1]kWh Data Entry'!AC28/1000</f>
        <v>137.83699999999999</v>
      </c>
      <c r="J28" s="115">
        <f t="shared" si="0"/>
        <v>0.51883752447724074</v>
      </c>
      <c r="K28" s="116">
        <f t="shared" si="1"/>
        <v>0.48194755244755239</v>
      </c>
      <c r="L28" s="117">
        <v>187419</v>
      </c>
      <c r="M28" s="118">
        <v>286</v>
      </c>
      <c r="N28" s="119"/>
      <c r="O28" s="119"/>
      <c r="P28" s="65">
        <f>'[1]Gas Cost '!AD37</f>
        <v>21763.420000000002</v>
      </c>
      <c r="Q28" s="72">
        <f>'[1]Therms Data Entry'!AC24</f>
        <v>987</v>
      </c>
      <c r="R28" s="91">
        <f>P28/T28</f>
        <v>0.19264437205679286</v>
      </c>
      <c r="S28" s="96">
        <f t="shared" ref="S28" si="3">Q28/U28</f>
        <v>6.1514490495481459E-2</v>
      </c>
      <c r="T28" s="69">
        <v>112972</v>
      </c>
      <c r="U28" s="73">
        <v>16045</v>
      </c>
      <c r="V28" s="119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</row>
    <row r="29" spans="2:40" s="121" customFormat="1" x14ac:dyDescent="0.25">
      <c r="B29" s="108" t="s">
        <v>51</v>
      </c>
      <c r="C29" s="1">
        <v>215</v>
      </c>
      <c r="D29" s="122"/>
      <c r="E29" s="123" t="s">
        <v>52</v>
      </c>
      <c r="F29" s="63"/>
      <c r="G29" s="112"/>
      <c r="H29" s="113">
        <f>'[1]Elec Cost '!AE8</f>
        <v>56662.849999999991</v>
      </c>
      <c r="I29" s="114">
        <f>'[1]kWh Data Entry'!AC27/1000</f>
        <v>90.408000000000001</v>
      </c>
      <c r="J29" s="115">
        <f t="shared" si="0"/>
        <v>0.66283192569543536</v>
      </c>
      <c r="K29" s="116">
        <f t="shared" si="1"/>
        <v>0.94174999999999998</v>
      </c>
      <c r="L29" s="117">
        <v>85486</v>
      </c>
      <c r="M29" s="118">
        <v>96</v>
      </c>
      <c r="N29" s="119"/>
      <c r="O29" s="119"/>
      <c r="P29" s="65">
        <f>'[1]Gas Cost '!AD14</f>
        <v>0</v>
      </c>
      <c r="Q29" s="72"/>
      <c r="R29" s="67"/>
      <c r="S29" s="68"/>
      <c r="T29" s="69"/>
      <c r="U29" s="73"/>
      <c r="V29" s="119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2:40" s="121" customFormat="1" hidden="1" x14ac:dyDescent="0.25">
      <c r="B30" s="108" t="s">
        <v>53</v>
      </c>
      <c r="C30" s="1">
        <v>216</v>
      </c>
      <c r="D30" s="74" t="s">
        <v>54</v>
      </c>
      <c r="E30" s="2"/>
      <c r="F30" s="63"/>
      <c r="G30" s="112"/>
      <c r="H30" s="113">
        <f>'[1]Elec Cost '!AE83</f>
        <v>0</v>
      </c>
      <c r="I30" s="114">
        <f>'[1]kWh Data Entry'!AC23/1000</f>
        <v>0</v>
      </c>
      <c r="J30" s="115" t="str">
        <f t="shared" si="0"/>
        <v xml:space="preserve"> </v>
      </c>
      <c r="K30" s="116" t="str">
        <f t="shared" si="1"/>
        <v xml:space="preserve"> </v>
      </c>
      <c r="L30" s="117">
        <v>0</v>
      </c>
      <c r="M30" s="118">
        <v>0</v>
      </c>
      <c r="N30" s="119"/>
      <c r="O30" s="119"/>
      <c r="P30" s="65"/>
      <c r="Q30" s="72"/>
      <c r="R30" s="67"/>
      <c r="S30" s="68"/>
      <c r="T30" s="69"/>
      <c r="U30" s="73"/>
      <c r="V30" s="119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spans="2:40" x14ac:dyDescent="0.25">
      <c r="B31" s="108" t="s">
        <v>53</v>
      </c>
      <c r="C31" s="1">
        <v>217</v>
      </c>
      <c r="D31" s="74" t="s">
        <v>56</v>
      </c>
      <c r="E31" s="124"/>
      <c r="F31" s="63"/>
      <c r="G31" s="75"/>
      <c r="H31" s="113">
        <f>'[1]Elec Cost '!AE14+'[1]Elec Cost '!AE118</f>
        <v>6015736.7599999998</v>
      </c>
      <c r="I31" s="114">
        <f>'[1]kWh Data Entry'!AC29/1000</f>
        <v>13001.543</v>
      </c>
      <c r="J31" s="115">
        <f t="shared" si="0"/>
        <v>0.64579743209141782</v>
      </c>
      <c r="K31" s="116">
        <f t="shared" si="1"/>
        <v>0.88271729241632158</v>
      </c>
      <c r="L31" s="69">
        <v>9315207</v>
      </c>
      <c r="M31" s="118">
        <v>14729</v>
      </c>
      <c r="N31" s="71"/>
      <c r="O31" s="71"/>
      <c r="P31" s="113">
        <f>'[1]Gas Cost '!AD57</f>
        <v>308936.64999999997</v>
      </c>
      <c r="Q31" s="72">
        <f>'[1]Therms Data Entry'!AC26</f>
        <v>34433</v>
      </c>
      <c r="R31" s="67">
        <f t="shared" ref="R31:R32" si="4">P31/T31</f>
        <v>0.76874581644358508</v>
      </c>
      <c r="S31" s="68">
        <f>Q31/U31</f>
        <v>0.68823329535687872</v>
      </c>
      <c r="T31" s="125">
        <v>401871</v>
      </c>
      <c r="U31" s="126">
        <v>50031</v>
      </c>
      <c r="V31" s="71"/>
    </row>
    <row r="32" spans="2:40" x14ac:dyDescent="0.25">
      <c r="B32" s="108" t="s">
        <v>55</v>
      </c>
      <c r="C32" s="109">
        <v>218</v>
      </c>
      <c r="D32" s="127" t="s">
        <v>58</v>
      </c>
      <c r="E32" s="128"/>
      <c r="F32" s="111"/>
      <c r="G32" s="75"/>
      <c r="H32" s="113">
        <f>'[1]Elec Cost '!AE53</f>
        <v>1904569.0200000003</v>
      </c>
      <c r="I32" s="114">
        <f>'[1]kWh Data Entry'!AC33/1000</f>
        <v>6165.22</v>
      </c>
      <c r="J32" s="115">
        <f t="shared" si="0"/>
        <v>0.97466875257155849</v>
      </c>
      <c r="K32" s="116">
        <f t="shared" si="1"/>
        <v>1.6431823027718551</v>
      </c>
      <c r="L32" s="69">
        <v>1954068</v>
      </c>
      <c r="M32" s="118">
        <v>3752</v>
      </c>
      <c r="N32" s="71"/>
      <c r="O32" s="71"/>
      <c r="P32" s="113">
        <f>'[1]Gas Cost '!AD31</f>
        <v>1064468.49</v>
      </c>
      <c r="Q32" s="72">
        <f>'[1]Therms Data Entry'!AC29</f>
        <v>181981</v>
      </c>
      <c r="R32" s="67">
        <f t="shared" si="4"/>
        <v>2.2940982924679365</v>
      </c>
      <c r="S32" s="68">
        <f>Q32/U32</f>
        <v>2.1664404761904761</v>
      </c>
      <c r="T32" s="125">
        <v>464003</v>
      </c>
      <c r="U32" s="126">
        <v>84000</v>
      </c>
      <c r="V32" s="71"/>
    </row>
    <row r="33" spans="2:40" x14ac:dyDescent="0.25">
      <c r="B33" s="108"/>
      <c r="C33" s="1"/>
      <c r="D33" s="129"/>
      <c r="E33" s="128"/>
      <c r="F33" s="63"/>
      <c r="G33" s="75"/>
      <c r="H33" s="130"/>
      <c r="I33" s="72"/>
      <c r="J33" s="67"/>
      <c r="K33" s="116"/>
      <c r="L33" s="125"/>
      <c r="M33" s="131"/>
      <c r="N33" s="71"/>
      <c r="O33" s="71"/>
      <c r="P33" s="132"/>
      <c r="Q33" s="133"/>
      <c r="R33" s="115"/>
      <c r="S33" s="68"/>
      <c r="T33" s="125"/>
      <c r="U33" s="126"/>
      <c r="V33" s="71"/>
    </row>
    <row r="34" spans="2:40" x14ac:dyDescent="0.25">
      <c r="B34" s="48" t="s">
        <v>57</v>
      </c>
      <c r="C34" s="60"/>
      <c r="D34" s="1"/>
      <c r="E34" s="1"/>
      <c r="F34" s="134" t="s">
        <v>60</v>
      </c>
      <c r="G34" s="135"/>
      <c r="H34" s="136">
        <f>H15+H17+SUM(H28:H32)</f>
        <v>35216613.119999997</v>
      </c>
      <c r="I34" s="137">
        <f>I15+I17+SUM(I28:I32)</f>
        <v>113937.235</v>
      </c>
      <c r="J34" s="78">
        <f>H34/L34</f>
        <v>0.93642967142330225</v>
      </c>
      <c r="K34" s="79">
        <f>I34/M34</f>
        <v>1.1301503233613712</v>
      </c>
      <c r="L34" s="80">
        <f>SUM(L15,L17,L28:L32)</f>
        <v>37607323</v>
      </c>
      <c r="M34" s="138">
        <f>SUM(M15,M17,M28:M32)</f>
        <v>100816</v>
      </c>
      <c r="N34" s="139"/>
      <c r="O34" s="139"/>
      <c r="P34" s="136">
        <f>SUM(P15,P17,P28:P32)</f>
        <v>8865877.9299999997</v>
      </c>
      <c r="Q34" s="140">
        <f>SUM(Q15,Q17,Q28:Q32)</f>
        <v>1455129</v>
      </c>
      <c r="R34" s="78">
        <f>P34/T34</f>
        <v>1.113559224682821</v>
      </c>
      <c r="S34" s="79">
        <f>Q34/U34</f>
        <v>0.91849476157232368</v>
      </c>
      <c r="T34" s="80">
        <f>SUM(T15,T17,T28:T33)</f>
        <v>7961748</v>
      </c>
      <c r="U34" s="141">
        <f>SUM(U15,U17,U28:U32)</f>
        <v>1584254</v>
      </c>
      <c r="V34" s="139"/>
    </row>
    <row r="35" spans="2:40" s="158" customFormat="1" x14ac:dyDescent="0.25">
      <c r="B35" s="142"/>
      <c r="C35" s="143"/>
      <c r="D35" s="144"/>
      <c r="E35" s="144"/>
      <c r="F35" s="145"/>
      <c r="G35" s="146"/>
      <c r="H35" s="147" t="e">
        <f>SUMIF('[1]Elec Cost '!$AI$6:$AI$129,"Residential Energy Management",'[1]Elec Cost '!$AE$6:$AE$129)</f>
        <v>#VALUE!</v>
      </c>
      <c r="I35" s="148" t="e">
        <f>(SUMIF('[1]kWh Data Entry'!AG8:AG108,"Residential Energy Management",'[1]kWh Data Entry'!AC8:AC109)/1000)</f>
        <v>#VALUE!</v>
      </c>
      <c r="J35" s="149"/>
      <c r="K35" s="150"/>
      <c r="L35" s="151"/>
      <c r="M35" s="152"/>
      <c r="N35" s="153"/>
      <c r="O35" s="153"/>
      <c r="P35" s="154" t="e">
        <f>SUMIF('[1]Gas Cost '!AH8:AH90,"Residential Energy Management",'[1]Gas Cost '!AD8:AD91)</f>
        <v>#VALUE!</v>
      </c>
      <c r="Q35" s="155" t="e">
        <f>SUMIF('[1]Therms Data Entry'!AG8:AG106,"Residential Energy Management",'[1]Therms Data Entry'!AC8:AC106)</f>
        <v>#VALUE!</v>
      </c>
      <c r="R35" s="156" t="e">
        <f>Q34-Q35</f>
        <v>#VALUE!</v>
      </c>
      <c r="S35" s="150"/>
      <c r="T35" s="151"/>
      <c r="U35" s="157"/>
      <c r="V35" s="153"/>
    </row>
    <row r="36" spans="2:40" x14ac:dyDescent="0.25">
      <c r="B36" s="48" t="s">
        <v>59</v>
      </c>
      <c r="C36" s="159"/>
      <c r="D36" s="160"/>
      <c r="E36" s="160"/>
      <c r="F36" s="161" t="s">
        <v>62</v>
      </c>
      <c r="G36" s="162"/>
      <c r="H36" s="163"/>
      <c r="I36" s="164"/>
      <c r="J36" s="165"/>
      <c r="K36" s="164" t="s">
        <v>63</v>
      </c>
      <c r="L36" s="166"/>
      <c r="M36" s="167"/>
      <c r="N36" s="168"/>
      <c r="O36" s="168"/>
      <c r="P36" s="163"/>
      <c r="Q36" s="169"/>
      <c r="R36" s="165"/>
      <c r="S36" s="160"/>
      <c r="T36" s="170"/>
      <c r="U36" s="167"/>
      <c r="V36" s="168"/>
    </row>
    <row r="37" spans="2:40" x14ac:dyDescent="0.25">
      <c r="B37" s="48" t="s">
        <v>61</v>
      </c>
      <c r="C37" s="60">
        <v>250</v>
      </c>
      <c r="D37" s="171" t="s">
        <v>65</v>
      </c>
      <c r="E37" s="1"/>
      <c r="F37" s="171"/>
      <c r="G37" s="172"/>
      <c r="H37" s="113">
        <f>SUM('[1]Elec Cost '!AE98,'[1]Elec Cost '!AE110,'[1]Elec Cost '!AE124,'[1]Elec Cost '!AE125,'[1]Elec Cost '!AE127)</f>
        <v>10221282.879999999</v>
      </c>
      <c r="I37" s="173">
        <f>'[1]kWh Data Entry'!AC38/1000</f>
        <v>59066.892999999996</v>
      </c>
      <c r="J37" s="67">
        <f t="shared" ref="J37:K44" si="5">IF(L37=0, " ", H37/L37)</f>
        <v>0.6645471582016671</v>
      </c>
      <c r="K37" s="68">
        <f t="shared" si="5"/>
        <v>0.97229453497942386</v>
      </c>
      <c r="L37" s="69">
        <f>5291461+10089363</f>
        <v>15380824</v>
      </c>
      <c r="M37" s="70">
        <f>17000+43750</f>
        <v>60750</v>
      </c>
      <c r="N37" s="71"/>
      <c r="O37" s="71"/>
      <c r="P37" s="65">
        <f>'[1]Gas Cost '!AD62+'[1]Gas Cost '!AD54+'[1]Gas Cost '!AD72</f>
        <v>1658873.04</v>
      </c>
      <c r="Q37" s="72">
        <f>'[1]Therms Data Entry'!AC33</f>
        <v>405298</v>
      </c>
      <c r="R37" s="174">
        <f t="shared" ref="R37:S39" si="6">P37/T37</f>
        <v>1.0062313720732743</v>
      </c>
      <c r="S37" s="68">
        <f t="shared" si="6"/>
        <v>0.9536423529411765</v>
      </c>
      <c r="T37" s="69">
        <v>1648600</v>
      </c>
      <c r="U37" s="73">
        <v>425000</v>
      </c>
      <c r="V37" s="71"/>
    </row>
    <row r="38" spans="2:40" x14ac:dyDescent="0.25">
      <c r="B38" s="48" t="s">
        <v>64</v>
      </c>
      <c r="C38" s="60">
        <v>251</v>
      </c>
      <c r="D38" s="175" t="s">
        <v>67</v>
      </c>
      <c r="E38" s="62"/>
      <c r="F38" s="175"/>
      <c r="G38" s="176"/>
      <c r="H38" s="113">
        <f>SUM('[1]Elec Cost '!AE102,'[1]Elec Cost '!AE128)</f>
        <v>3458097.1399999997</v>
      </c>
      <c r="I38" s="173">
        <f>'[1]kWh Data Entry'!AC44/1000</f>
        <v>17038.371999999999</v>
      </c>
      <c r="J38" s="177">
        <f>IF(L38=0, " ", H38/L38)</f>
        <v>0.72113430113038479</v>
      </c>
      <c r="K38" s="68">
        <f t="shared" si="5"/>
        <v>0.85191859999999997</v>
      </c>
      <c r="L38" s="69">
        <v>4795358</v>
      </c>
      <c r="M38" s="70">
        <v>20000</v>
      </c>
      <c r="N38" s="71"/>
      <c r="O38" s="71"/>
      <c r="P38" s="65">
        <f>'[1]Gas Cost '!AD64+'[1]Gas Cost '!AD52</f>
        <v>493837.56000000006</v>
      </c>
      <c r="Q38" s="72">
        <f>'[1]Therms Data Entry'!AC37</f>
        <v>68545</v>
      </c>
      <c r="R38" s="67">
        <f t="shared" si="6"/>
        <v>0.98826808084850926</v>
      </c>
      <c r="S38" s="68">
        <f t="shared" si="6"/>
        <v>0.65280952380952384</v>
      </c>
      <c r="T38" s="69">
        <v>499700</v>
      </c>
      <c r="U38" s="73">
        <v>105000</v>
      </c>
      <c r="V38" s="71"/>
    </row>
    <row r="39" spans="2:40" x14ac:dyDescent="0.25">
      <c r="B39" s="48" t="s">
        <v>66</v>
      </c>
      <c r="C39" s="60">
        <v>253</v>
      </c>
      <c r="D39" s="175" t="s">
        <v>69</v>
      </c>
      <c r="E39" s="1"/>
      <c r="F39" s="175"/>
      <c r="G39" s="176"/>
      <c r="H39" s="113">
        <f>SUM('[1]Elec Cost '!AE23,'[1]Elec Cost '!AE66,'[1]Elec Cost '!AE67,'[1]Elec Cost '!AE109)</f>
        <v>1054635.23</v>
      </c>
      <c r="I39" s="173">
        <f>'[1]kWh Data Entry'!AC47/1000</f>
        <v>15349.891</v>
      </c>
      <c r="J39" s="67">
        <f t="shared" si="5"/>
        <v>0.74388532021761411</v>
      </c>
      <c r="K39" s="68">
        <f t="shared" si="5"/>
        <v>1.1807608461538461</v>
      </c>
      <c r="L39" s="69">
        <v>1417739</v>
      </c>
      <c r="M39" s="70">
        <v>13000</v>
      </c>
      <c r="N39" s="71"/>
      <c r="O39" s="71"/>
      <c r="P39" s="65">
        <f>'[1]Gas Cost '!AD44+'[1]Gas Cost '!AD71</f>
        <v>469246.68000000005</v>
      </c>
      <c r="Q39" s="72">
        <f>'[1]Therms Data Entry'!AC41</f>
        <v>596042</v>
      </c>
      <c r="R39" s="67">
        <f t="shared" si="6"/>
        <v>0.82369932699295401</v>
      </c>
      <c r="S39" s="68">
        <f t="shared" si="6"/>
        <v>0.88961492537313436</v>
      </c>
      <c r="T39" s="69">
        <v>569682</v>
      </c>
      <c r="U39" s="73">
        <v>670000</v>
      </c>
      <c r="V39" s="71"/>
    </row>
    <row r="40" spans="2:40" s="191" customFormat="1" hidden="1" x14ac:dyDescent="0.25">
      <c r="B40" s="178"/>
      <c r="C40" s="179">
        <v>255</v>
      </c>
      <c r="D40" s="180" t="s">
        <v>70</v>
      </c>
      <c r="E40" s="181"/>
      <c r="F40" s="180"/>
      <c r="G40" s="182"/>
      <c r="H40" s="183"/>
      <c r="I40" s="173"/>
      <c r="J40" s="184" t="str">
        <f t="shared" si="5"/>
        <v xml:space="preserve"> </v>
      </c>
      <c r="K40" s="185" t="str">
        <f t="shared" si="5"/>
        <v xml:space="preserve"> </v>
      </c>
      <c r="L40" s="186">
        <v>0</v>
      </c>
      <c r="M40" s="187">
        <v>0</v>
      </c>
      <c r="N40" s="188"/>
      <c r="O40" s="188"/>
      <c r="P40" s="183"/>
      <c r="Q40" s="189"/>
      <c r="R40" s="184"/>
      <c r="S40" s="185"/>
      <c r="T40" s="186"/>
      <c r="U40" s="190"/>
      <c r="V40" s="188"/>
    </row>
    <row r="41" spans="2:40" x14ac:dyDescent="0.25">
      <c r="B41" s="48" t="s">
        <v>68</v>
      </c>
      <c r="C41" s="60">
        <v>258</v>
      </c>
      <c r="D41" s="61" t="s">
        <v>72</v>
      </c>
      <c r="E41" s="62"/>
      <c r="F41" s="61"/>
      <c r="G41" s="64"/>
      <c r="H41" s="65">
        <f>'[1]Elec Cost '!AE106</f>
        <v>2345440.94</v>
      </c>
      <c r="I41" s="173">
        <f>'[1]kWh Data Entry'!AC53/1000</f>
        <v>0</v>
      </c>
      <c r="J41" s="67">
        <f>IF(L41=0, " ", H41/L41)</f>
        <v>3.7635505512685352</v>
      </c>
      <c r="K41" s="68">
        <f t="shared" si="5"/>
        <v>0</v>
      </c>
      <c r="L41" s="192">
        <v>623199</v>
      </c>
      <c r="M41" s="118">
        <v>500</v>
      </c>
      <c r="N41" s="71"/>
      <c r="O41" s="71"/>
      <c r="P41" s="65"/>
      <c r="Q41" s="72"/>
      <c r="R41" s="67"/>
      <c r="S41" s="68"/>
      <c r="T41" s="69"/>
      <c r="U41" s="73">
        <v>0</v>
      </c>
      <c r="V41" s="71"/>
    </row>
    <row r="42" spans="2:40" x14ac:dyDescent="0.25">
      <c r="B42" s="48" t="s">
        <v>71</v>
      </c>
      <c r="C42" s="60">
        <v>258</v>
      </c>
      <c r="D42" s="61" t="s">
        <v>74</v>
      </c>
      <c r="E42" s="62"/>
      <c r="F42" s="61"/>
      <c r="G42" s="64"/>
      <c r="H42" s="65">
        <f>'[1]Elec Cost '!AE107</f>
        <v>1042467.1699999999</v>
      </c>
      <c r="I42" s="173">
        <f>'[1]kWh Data Entry'!AC54/1000</f>
        <v>446.06</v>
      </c>
      <c r="J42" s="174">
        <f>IF(L42=0, " ", H42/L42)</f>
        <v>0.8035680082756621</v>
      </c>
      <c r="K42" s="68">
        <f t="shared" si="5"/>
        <v>0.89212000000000002</v>
      </c>
      <c r="L42" s="192">
        <v>1297298</v>
      </c>
      <c r="M42" s="118">
        <v>500</v>
      </c>
      <c r="N42" s="71"/>
      <c r="O42" s="71"/>
      <c r="P42" s="65"/>
      <c r="Q42" s="72"/>
      <c r="R42" s="67"/>
      <c r="S42" s="68"/>
      <c r="T42" s="69"/>
      <c r="U42" s="73">
        <v>0</v>
      </c>
      <c r="V42" s="71"/>
    </row>
    <row r="43" spans="2:40" x14ac:dyDescent="0.25">
      <c r="B43" s="48" t="s">
        <v>73</v>
      </c>
      <c r="C43" s="60">
        <v>261</v>
      </c>
      <c r="D43" s="61" t="s">
        <v>76</v>
      </c>
      <c r="E43" s="62"/>
      <c r="F43" s="61"/>
      <c r="G43" s="64"/>
      <c r="H43" s="65">
        <f>'[1]Elec Cost '!AE39</f>
        <v>0</v>
      </c>
      <c r="I43" s="173">
        <f>'[1]kWh Data Entry'!AC56/1000</f>
        <v>0</v>
      </c>
      <c r="J43" s="193" t="str">
        <f>IF(L43=0, " ", H43/L43)</f>
        <v xml:space="preserve"> </v>
      </c>
      <c r="K43" s="68"/>
      <c r="L43" s="69"/>
      <c r="M43" s="70">
        <v>0</v>
      </c>
      <c r="N43" s="71"/>
      <c r="O43" s="71"/>
      <c r="P43" s="65">
        <f>'[1]Gas Cost '!AD45</f>
        <v>0</v>
      </c>
      <c r="Q43" s="72"/>
      <c r="R43" s="193"/>
      <c r="S43" s="68"/>
      <c r="T43" s="192">
        <v>0</v>
      </c>
      <c r="U43" s="73" t="s">
        <v>33</v>
      </c>
      <c r="V43" s="71"/>
    </row>
    <row r="44" spans="2:40" x14ac:dyDescent="0.25">
      <c r="B44" s="48" t="s">
        <v>75</v>
      </c>
      <c r="C44" s="60">
        <v>262</v>
      </c>
      <c r="D44" s="175" t="s">
        <v>78</v>
      </c>
      <c r="E44" s="1"/>
      <c r="F44" s="175"/>
      <c r="G44" s="176"/>
      <c r="H44" s="76">
        <f>SUM(H45:H52)</f>
        <v>5360856.6099999994</v>
      </c>
      <c r="I44" s="194">
        <f>SUM(I45:I53)</f>
        <v>20116.634999999998</v>
      </c>
      <c r="J44" s="78">
        <f>IF(L44=0, " ", H44/L44)</f>
        <v>0.9274692405361783</v>
      </c>
      <c r="K44" s="79">
        <f t="shared" si="5"/>
        <v>1.0233827644096249</v>
      </c>
      <c r="L44" s="80">
        <f>SUM(L45:L52)</f>
        <v>5780091</v>
      </c>
      <c r="M44" s="81">
        <f>SUM(M45:M52)</f>
        <v>19657</v>
      </c>
      <c r="N44" s="71"/>
      <c r="O44" s="71"/>
      <c r="P44" s="76">
        <f>SUM(P45:P52)</f>
        <v>2503070.9099999997</v>
      </c>
      <c r="Q44" s="77">
        <f>SUM(Q45:Q52)</f>
        <v>703145</v>
      </c>
      <c r="R44" s="78">
        <f>P44/T44</f>
        <v>2.0666194762015238</v>
      </c>
      <c r="S44" s="79">
        <f>Q44/U44</f>
        <v>1.9470311820721775</v>
      </c>
      <c r="T44" s="80">
        <f>SUM(T45:T52)</f>
        <v>1211191</v>
      </c>
      <c r="U44" s="82">
        <f>SUM(U45:U52)</f>
        <v>361137</v>
      </c>
      <c r="V44" s="71"/>
    </row>
    <row r="45" spans="2:40" s="98" customFormat="1" x14ac:dyDescent="0.25">
      <c r="B45" s="48" t="s">
        <v>77</v>
      </c>
      <c r="C45" s="60"/>
      <c r="D45" s="62"/>
      <c r="E45" s="86" t="s">
        <v>80</v>
      </c>
      <c r="F45" s="63"/>
      <c r="G45" s="75"/>
      <c r="H45" s="113">
        <f>'[1]Elec Cost '!AE101</f>
        <v>704086.11999999988</v>
      </c>
      <c r="I45" s="173">
        <f>'[1]kWh Data Entry'!AC71/1000</f>
        <v>11360.946</v>
      </c>
      <c r="J45" s="115">
        <f>H45/L45</f>
        <v>1.4672618075121282</v>
      </c>
      <c r="K45" s="116">
        <f>I45/M45</f>
        <v>1.2665491638795987</v>
      </c>
      <c r="L45" s="125">
        <v>479864</v>
      </c>
      <c r="M45" s="131">
        <v>8970</v>
      </c>
      <c r="N45" s="71"/>
      <c r="O45" s="71"/>
      <c r="P45" s="113"/>
      <c r="Q45" s="114"/>
      <c r="R45" s="115"/>
      <c r="S45" s="68"/>
      <c r="T45" s="125"/>
      <c r="U45" s="126"/>
      <c r="V45" s="7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 s="98" customFormat="1" x14ac:dyDescent="0.25">
      <c r="B46" s="48" t="s">
        <v>79</v>
      </c>
      <c r="C46" s="60"/>
      <c r="D46" s="62"/>
      <c r="E46" s="86" t="s">
        <v>82</v>
      </c>
      <c r="F46" s="63"/>
      <c r="G46" s="75"/>
      <c r="H46" s="113">
        <f>'[1]Elec Cost '!AE103</f>
        <v>119302.59000000001</v>
      </c>
      <c r="I46" s="173">
        <f>'[1]kWh Data Entry'!AC68/1000</f>
        <v>382.52499999999998</v>
      </c>
      <c r="J46" s="115">
        <f>H46/L46</f>
        <v>0.78064328059361632</v>
      </c>
      <c r="K46" s="116">
        <f>I46/M46</f>
        <v>0.84629424778761053</v>
      </c>
      <c r="L46" s="125">
        <v>152826</v>
      </c>
      <c r="M46" s="131">
        <v>452</v>
      </c>
      <c r="N46" s="71"/>
      <c r="O46" s="71"/>
      <c r="P46" s="113">
        <f>'[1]Gas Cost '!AD66</f>
        <v>354313.79999999993</v>
      </c>
      <c r="Q46" s="114">
        <f>'[1]Therms Data Entry'!AC51</f>
        <v>113058</v>
      </c>
      <c r="R46" s="115">
        <f>P46/T46</f>
        <v>1.3209377062137202</v>
      </c>
      <c r="S46" s="68">
        <f>Q46/U46</f>
        <v>1.3075730940044412</v>
      </c>
      <c r="T46" s="125">
        <v>268229</v>
      </c>
      <c r="U46" s="126">
        <v>86464</v>
      </c>
      <c r="V46" s="7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 s="98" customFormat="1" hidden="1" x14ac:dyDescent="0.25">
      <c r="B47" s="48"/>
      <c r="C47" s="60"/>
      <c r="D47" s="62"/>
      <c r="E47" s="86" t="s">
        <v>83</v>
      </c>
      <c r="F47" s="63"/>
      <c r="G47" s="75"/>
      <c r="H47" s="113"/>
      <c r="I47" s="173"/>
      <c r="J47" s="115"/>
      <c r="K47" s="116"/>
      <c r="L47" s="125"/>
      <c r="M47" s="131"/>
      <c r="N47" s="71"/>
      <c r="O47" s="71"/>
      <c r="P47" s="113">
        <f>'[1]Gas Cost '!AD67</f>
        <v>0</v>
      </c>
      <c r="Q47" s="114">
        <f>'[1]Therms Data Entry'!AC49</f>
        <v>0</v>
      </c>
      <c r="R47" s="115"/>
      <c r="S47" s="68"/>
      <c r="T47" s="125"/>
      <c r="U47" s="126"/>
      <c r="V47" s="7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 s="98" customFormat="1" x14ac:dyDescent="0.25">
      <c r="B48" s="48" t="s">
        <v>81</v>
      </c>
      <c r="C48" s="60"/>
      <c r="D48" s="62"/>
      <c r="E48" s="86" t="s">
        <v>85</v>
      </c>
      <c r="F48" s="63"/>
      <c r="G48" s="75"/>
      <c r="H48" s="113">
        <f>'[1]Elec Cost '!AE105</f>
        <v>227268.03000000003</v>
      </c>
      <c r="I48" s="173">
        <f>'[1]kWh Data Entry'!AC69/1000</f>
        <v>623.35400000000004</v>
      </c>
      <c r="J48" s="115">
        <f t="shared" ref="J48:K50" si="7">H48/L48</f>
        <v>0.61677168367346946</v>
      </c>
      <c r="K48" s="116">
        <f t="shared" si="7"/>
        <v>0.57504981549815504</v>
      </c>
      <c r="L48" s="125">
        <v>368480</v>
      </c>
      <c r="M48" s="131">
        <v>1084</v>
      </c>
      <c r="N48" s="71"/>
      <c r="O48" s="71"/>
      <c r="P48" s="113">
        <f>'[1]Gas Cost '!AD68</f>
        <v>47032.62</v>
      </c>
      <c r="Q48" s="114">
        <f>'[1]Therms Data Entry'!AC52</f>
        <v>1876</v>
      </c>
      <c r="R48" s="115">
        <f t="shared" ref="R48:S50" si="8">P48/T48</f>
        <v>0.35954361985138983</v>
      </c>
      <c r="S48" s="68">
        <f t="shared" si="8"/>
        <v>6.3647158608990673E-2</v>
      </c>
      <c r="T48" s="125">
        <v>130812</v>
      </c>
      <c r="U48" s="126">
        <v>29475</v>
      </c>
      <c r="V48" s="7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 s="98" customFormat="1" x14ac:dyDescent="0.25">
      <c r="B49" s="48" t="s">
        <v>84</v>
      </c>
      <c r="C49" s="60"/>
      <c r="D49" s="62"/>
      <c r="E49" s="86" t="s">
        <v>87</v>
      </c>
      <c r="F49" s="63"/>
      <c r="G49" s="75"/>
      <c r="H49" s="113">
        <f>'[1]Elec Cost '!AE76</f>
        <v>854822.66</v>
      </c>
      <c r="I49" s="195">
        <f>'[1]kWh Data Entry'!AC67/1000</f>
        <v>1082.8610000000001</v>
      </c>
      <c r="J49" s="115">
        <f t="shared" si="7"/>
        <v>1.1285651706665329</v>
      </c>
      <c r="K49" s="116">
        <f t="shared" si="7"/>
        <v>1.2432388059701494</v>
      </c>
      <c r="L49" s="125">
        <v>757442</v>
      </c>
      <c r="M49" s="131">
        <v>871</v>
      </c>
      <c r="N49" s="71"/>
      <c r="O49" s="71"/>
      <c r="P49" s="113">
        <f>'[1]Gas Cost '!AD11</f>
        <v>2013049.0499999998</v>
      </c>
      <c r="Q49" s="114">
        <f>'[1]Therms Data Entry'!AC47</f>
        <v>587522</v>
      </c>
      <c r="R49" s="115">
        <f t="shared" si="8"/>
        <v>3.4052524697205491</v>
      </c>
      <c r="S49" s="68">
        <f t="shared" si="8"/>
        <v>2.8534614226461645</v>
      </c>
      <c r="T49" s="125">
        <v>591160</v>
      </c>
      <c r="U49" s="126">
        <v>205898</v>
      </c>
      <c r="V49" s="7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 s="98" customFormat="1" x14ac:dyDescent="0.25">
      <c r="B50" s="48" t="s">
        <v>86</v>
      </c>
      <c r="C50" s="60"/>
      <c r="D50" s="62"/>
      <c r="E50" s="86" t="s">
        <v>89</v>
      </c>
      <c r="F50" s="63"/>
      <c r="G50" s="75"/>
      <c r="H50" s="113">
        <f>'[1]Elec Cost '!AE126</f>
        <v>3455377.21</v>
      </c>
      <c r="I50" s="173">
        <f>'[1]kWh Data Entry'!AC70/1000</f>
        <v>6666.9489999999996</v>
      </c>
      <c r="J50" s="115">
        <f t="shared" si="7"/>
        <v>0.85923044979222818</v>
      </c>
      <c r="K50" s="116">
        <f t="shared" si="7"/>
        <v>0.80518707729468597</v>
      </c>
      <c r="L50" s="125">
        <v>4021479</v>
      </c>
      <c r="M50" s="131">
        <v>8280</v>
      </c>
      <c r="N50" s="71"/>
      <c r="O50" s="71"/>
      <c r="P50" s="113">
        <f>'[1]Gas Cost '!AD63</f>
        <v>88675.44</v>
      </c>
      <c r="Q50" s="114">
        <f>'[1]Therms Data Entry'!AC50</f>
        <v>689</v>
      </c>
      <c r="R50" s="115">
        <f t="shared" si="8"/>
        <v>0.40126449160595501</v>
      </c>
      <c r="S50" s="68">
        <f t="shared" si="8"/>
        <v>1.753180661577608E-2</v>
      </c>
      <c r="T50" s="125">
        <v>220990</v>
      </c>
      <c r="U50" s="126">
        <v>39300</v>
      </c>
      <c r="V50" s="7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s="98" customFormat="1" x14ac:dyDescent="0.25">
      <c r="B51" s="48" t="s">
        <v>88</v>
      </c>
      <c r="C51" s="60"/>
      <c r="D51" s="62"/>
      <c r="E51" s="86" t="s">
        <v>91</v>
      </c>
      <c r="F51" s="63"/>
      <c r="G51" s="75"/>
      <c r="H51" s="113">
        <f>'[1]Elec Cost '!AE74</f>
        <v>0</v>
      </c>
      <c r="I51" s="173">
        <f>'[1]kWh Data Entry'!AC63/1000</f>
        <v>0</v>
      </c>
      <c r="J51" s="115"/>
      <c r="K51" s="116"/>
      <c r="L51" s="125">
        <v>0</v>
      </c>
      <c r="M51" s="131">
        <v>0</v>
      </c>
      <c r="N51" s="71"/>
      <c r="O51" s="71"/>
      <c r="P51" s="113">
        <f>'[1]Gas Cost '!AD9</f>
        <v>0</v>
      </c>
      <c r="Q51" s="114">
        <f>'[1]Therms Data Entry'!AC49</f>
        <v>0</v>
      </c>
      <c r="R51" s="115"/>
      <c r="S51" s="68"/>
      <c r="T51" s="125">
        <v>0</v>
      </c>
      <c r="U51" s="126">
        <v>0</v>
      </c>
      <c r="V51" s="7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 s="98" customFormat="1" x14ac:dyDescent="0.25">
      <c r="B52" s="48" t="s">
        <v>90</v>
      </c>
      <c r="C52" s="60"/>
      <c r="D52" s="62"/>
      <c r="E52" s="86" t="s">
        <v>93</v>
      </c>
      <c r="F52" s="63"/>
      <c r="G52" s="75"/>
      <c r="H52" s="113">
        <f>'[1]Elec Cost '!AE73</f>
        <v>0</v>
      </c>
      <c r="I52" s="173">
        <f>'[1]kWh Data Entry'!AC60/1000</f>
        <v>0</v>
      </c>
      <c r="J52" s="115"/>
      <c r="K52" s="116"/>
      <c r="L52" s="125">
        <v>0</v>
      </c>
      <c r="M52" s="131">
        <v>0</v>
      </c>
      <c r="N52" s="71"/>
      <c r="O52" s="71"/>
      <c r="P52" s="113">
        <f>'[1]Gas Cost '!AD8</f>
        <v>0</v>
      </c>
      <c r="Q52" s="114">
        <f>'[1]Therms Data Entry'!AC48</f>
        <v>0</v>
      </c>
      <c r="R52" s="115"/>
      <c r="S52" s="68"/>
      <c r="T52" s="125">
        <v>0</v>
      </c>
      <c r="U52" s="126">
        <v>0</v>
      </c>
      <c r="V52" s="7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 x14ac:dyDescent="0.25">
      <c r="B53" s="48"/>
      <c r="C53" s="60"/>
      <c r="D53" s="62"/>
      <c r="E53" s="62"/>
      <c r="F53" s="61"/>
      <c r="G53" s="64"/>
      <c r="H53" s="130"/>
      <c r="I53" s="196"/>
      <c r="J53" s="67"/>
      <c r="K53" s="68" t="str">
        <f t="shared" ref="K53:K54" si="9">IF(M53=0, " ", I53/M53)</f>
        <v xml:space="preserve"> </v>
      </c>
      <c r="L53" s="69"/>
      <c r="M53" s="70"/>
      <c r="N53" s="71"/>
      <c r="O53" s="71"/>
      <c r="P53" s="130"/>
      <c r="Q53" s="133"/>
      <c r="R53" s="67"/>
      <c r="S53" s="68"/>
      <c r="T53" s="69"/>
      <c r="U53" s="73"/>
      <c r="V53" s="71"/>
    </row>
    <row r="54" spans="2:40" x14ac:dyDescent="0.25">
      <c r="B54" s="48" t="s">
        <v>92</v>
      </c>
      <c r="C54" s="60"/>
      <c r="D54" s="1"/>
      <c r="E54" s="1"/>
      <c r="F54" s="134" t="s">
        <v>95</v>
      </c>
      <c r="G54" s="135"/>
      <c r="H54" s="136">
        <f>SUM(H37:H43)+H44</f>
        <v>23482779.969999999</v>
      </c>
      <c r="I54" s="197">
        <f>SUM(I37:I43)+I44</f>
        <v>112017.851</v>
      </c>
      <c r="J54" s="198">
        <f>H54/L54</f>
        <v>0.80161029392914551</v>
      </c>
      <c r="K54" s="79">
        <f t="shared" si="9"/>
        <v>0.97911710821890263</v>
      </c>
      <c r="L54" s="80">
        <f>SUM(L37:L44)</f>
        <v>29294509</v>
      </c>
      <c r="M54" s="138">
        <f>SUM(M37:M44)</f>
        <v>114407</v>
      </c>
      <c r="N54" s="139"/>
      <c r="O54" s="139"/>
      <c r="P54" s="136">
        <f>SUM(P37:P44)</f>
        <v>5125028.1899999995</v>
      </c>
      <c r="Q54" s="140">
        <f>SUM(Q37:Q44)</f>
        <v>1773030</v>
      </c>
      <c r="R54" s="78">
        <f>P54/T54</f>
        <v>1.3043528981798458</v>
      </c>
      <c r="S54" s="79">
        <f>Q54/U54</f>
        <v>1.1357299199237478</v>
      </c>
      <c r="T54" s="80">
        <f>SUM(T37:T44)</f>
        <v>3929173</v>
      </c>
      <c r="U54" s="141">
        <f>SUM(U37:U44)</f>
        <v>1561137</v>
      </c>
      <c r="V54" s="139"/>
    </row>
    <row r="55" spans="2:40" s="158" customFormat="1" x14ac:dyDescent="0.25">
      <c r="B55" s="142"/>
      <c r="C55" s="143"/>
      <c r="D55" s="144"/>
      <c r="E55" s="144"/>
      <c r="F55" s="199"/>
      <c r="G55" s="146"/>
      <c r="H55" s="154" t="e">
        <f>SUMIF('[1]Elec Cost '!$AI$6:$AI$129,"Business Energy Management",'[1]Elec Cost '!$AE$6:$AE$129)</f>
        <v>#VALUE!</v>
      </c>
      <c r="I55" s="200" t="e">
        <f>(SUMIF('[1]kWh Data Entry'!AG10:AG81,"Business Energy Management",'[1]kWh Data Entry'!AC10:AC81)/1000)</f>
        <v>#VALUE!</v>
      </c>
      <c r="J55" s="149" t="e">
        <f>I55-I54</f>
        <v>#VALUE!</v>
      </c>
      <c r="K55" s="150"/>
      <c r="L55" s="151"/>
      <c r="M55" s="152"/>
      <c r="N55" s="153"/>
      <c r="O55" s="153"/>
      <c r="P55" s="154" t="e">
        <f>SUMIF('[1]Gas Cost '!AH7:AH102,"Business Energy Management",'[1]Gas Cost '!AD7:AD102)</f>
        <v>#VALUE!</v>
      </c>
      <c r="Q55" s="201" t="e">
        <f>SUMIF('[1]Therms Data Entry'!AG8:AG106,"Business Energy Management",'[1]Therms Data Entry'!AC8:AC106)</f>
        <v>#VALUE!</v>
      </c>
      <c r="R55" s="202"/>
      <c r="S55" s="150"/>
      <c r="T55" s="151"/>
      <c r="U55" s="157"/>
      <c r="V55" s="153"/>
    </row>
    <row r="56" spans="2:40" x14ac:dyDescent="0.25">
      <c r="B56" s="48" t="s">
        <v>94</v>
      </c>
      <c r="C56" s="203"/>
      <c r="D56" s="204"/>
      <c r="E56" s="204"/>
      <c r="F56" s="205" t="s">
        <v>97</v>
      </c>
      <c r="G56" s="135"/>
      <c r="H56" s="206"/>
      <c r="I56" s="207"/>
      <c r="J56" s="208"/>
      <c r="K56" s="209"/>
      <c r="L56" s="210"/>
      <c r="M56" s="211"/>
      <c r="N56" s="139"/>
      <c r="O56" s="139"/>
      <c r="P56" s="206"/>
      <c r="Q56" s="212"/>
      <c r="R56" s="213"/>
      <c r="S56" s="209"/>
      <c r="T56" s="210"/>
      <c r="U56" s="214"/>
      <c r="V56" s="139"/>
    </row>
    <row r="57" spans="2:40" x14ac:dyDescent="0.25">
      <c r="B57" s="48" t="s">
        <v>96</v>
      </c>
      <c r="C57" s="60">
        <v>249</v>
      </c>
      <c r="D57" s="171" t="s">
        <v>99</v>
      </c>
      <c r="E57" s="1"/>
      <c r="F57" s="171"/>
      <c r="G57" s="135"/>
      <c r="H57" s="65">
        <f>'[1]Elec Cost '!AE75</f>
        <v>0</v>
      </c>
      <c r="I57" s="72">
        <f>'[1]kWh Data Entry'!AC81/1000</f>
        <v>0</v>
      </c>
      <c r="J57" s="215" t="str">
        <f t="shared" ref="J57:J58" si="10">IF(L57=0, " ", H57/L57)</f>
        <v xml:space="preserve"> </v>
      </c>
      <c r="K57" s="68"/>
      <c r="L57" s="69">
        <v>0</v>
      </c>
      <c r="M57" s="216">
        <v>0</v>
      </c>
      <c r="N57" s="139"/>
      <c r="O57" s="139"/>
      <c r="P57" s="65">
        <f>'[1]Gas Cost '!AD16</f>
        <v>0</v>
      </c>
      <c r="Q57" s="217">
        <f>'[1]Therms Data Entry'!AC59</f>
        <v>0</v>
      </c>
      <c r="R57" s="115"/>
      <c r="S57" s="68"/>
      <c r="T57" s="69">
        <v>0</v>
      </c>
      <c r="U57" s="218">
        <v>0</v>
      </c>
      <c r="V57" s="139"/>
    </row>
    <row r="58" spans="2:40" x14ac:dyDescent="0.25">
      <c r="B58" s="48" t="s">
        <v>98</v>
      </c>
      <c r="C58" s="60">
        <v>249</v>
      </c>
      <c r="D58" s="171" t="s">
        <v>101</v>
      </c>
      <c r="E58" s="1"/>
      <c r="F58" s="171"/>
      <c r="G58" s="135"/>
      <c r="H58" s="65">
        <f>'[1]Elec Cost '!AE10</f>
        <v>20564.870000000003</v>
      </c>
      <c r="I58" s="72">
        <f>('[1]kWh Data Entry'!AC80)/1000</f>
        <v>0</v>
      </c>
      <c r="J58" s="219">
        <f t="shared" si="10"/>
        <v>8.4237373530496054E-2</v>
      </c>
      <c r="K58" s="68"/>
      <c r="L58" s="69">
        <v>244130</v>
      </c>
      <c r="M58" s="216">
        <v>750</v>
      </c>
      <c r="N58" s="139"/>
      <c r="O58" s="139"/>
      <c r="P58" s="65">
        <f>'[1]Gas Cost '!AD65</f>
        <v>0</v>
      </c>
      <c r="Q58" s="220">
        <f>'[1]Therms Data Entry'!AC58</f>
        <v>0</v>
      </c>
      <c r="R58" s="78"/>
      <c r="S58" s="79"/>
      <c r="T58" s="69">
        <v>10000</v>
      </c>
      <c r="U58" s="218">
        <v>2000</v>
      </c>
      <c r="V58" s="139"/>
    </row>
    <row r="59" spans="2:40" x14ac:dyDescent="0.25">
      <c r="B59" s="48"/>
      <c r="C59" s="60"/>
      <c r="D59" s="1"/>
      <c r="E59" s="1"/>
      <c r="F59" s="171"/>
      <c r="G59" s="135"/>
      <c r="H59" s="130"/>
      <c r="I59" s="221"/>
      <c r="J59" s="215"/>
      <c r="K59" s="68"/>
      <c r="L59" s="69"/>
      <c r="M59" s="216"/>
      <c r="N59" s="139"/>
      <c r="O59" s="139"/>
      <c r="P59" s="136"/>
      <c r="Q59" s="220"/>
      <c r="R59" s="78"/>
      <c r="S59" s="79"/>
      <c r="T59" s="80"/>
      <c r="U59" s="141"/>
      <c r="V59" s="139"/>
    </row>
    <row r="60" spans="2:40" x14ac:dyDescent="0.25">
      <c r="B60" s="48" t="s">
        <v>100</v>
      </c>
      <c r="C60" s="60"/>
      <c r="D60" s="1"/>
      <c r="E60" s="1"/>
      <c r="F60" s="134" t="s">
        <v>103</v>
      </c>
      <c r="G60" s="135"/>
      <c r="H60" s="136">
        <f>SUM(H57:H58)</f>
        <v>20564.870000000003</v>
      </c>
      <c r="I60" s="137">
        <f>SUM(I57:I59)</f>
        <v>0</v>
      </c>
      <c r="J60" s="198">
        <f>H60/L60</f>
        <v>8.4237373530496054E-2</v>
      </c>
      <c r="K60" s="79">
        <f>I60/M60</f>
        <v>0</v>
      </c>
      <c r="L60" s="80">
        <f>SUM(L57:L58)</f>
        <v>244130</v>
      </c>
      <c r="M60" s="138">
        <f>SUM(M57:M58)</f>
        <v>750</v>
      </c>
      <c r="N60" s="139"/>
      <c r="O60" s="139"/>
      <c r="P60" s="136">
        <f>SUM(P57:P58)</f>
        <v>0</v>
      </c>
      <c r="Q60" s="220">
        <f>SUM(Q57:Q59)</f>
        <v>0</v>
      </c>
      <c r="R60" s="78">
        <f>P60/T60</f>
        <v>0</v>
      </c>
      <c r="S60" s="79">
        <f>Q60/U60</f>
        <v>0</v>
      </c>
      <c r="T60" s="80">
        <f>SUM(T57:T58)</f>
        <v>10000</v>
      </c>
      <c r="U60" s="141">
        <f>SUM(U57:U58)</f>
        <v>2000</v>
      </c>
      <c r="V60" s="139"/>
    </row>
    <row r="61" spans="2:40" s="158" customFormat="1" x14ac:dyDescent="0.25">
      <c r="B61" s="142"/>
      <c r="C61" s="143"/>
      <c r="D61" s="144"/>
      <c r="E61" s="144"/>
      <c r="F61" s="199"/>
      <c r="G61" s="146"/>
      <c r="H61" s="154" t="e">
        <f>SUMIF('[1]Elec Cost '!$AI$9:$AI$129,"Pilots",'[1]Elec Cost '!$AE$9:$AE$129)</f>
        <v>#VALUE!</v>
      </c>
      <c r="I61" s="148" t="e">
        <f>(SUMIF('[1]kWh Data Entry'!AG10:AG108,"Pilots",'[1]kWh Data Entry'!AC10:AC109)/1000)</f>
        <v>#VALUE!</v>
      </c>
      <c r="J61" s="149"/>
      <c r="K61" s="150"/>
      <c r="L61" s="151"/>
      <c r="M61" s="152"/>
      <c r="N61" s="153"/>
      <c r="O61" s="153"/>
      <c r="P61" s="154" t="e">
        <f>SUMIF('[1]Gas Cost '!AH8:AH102,"Pilots",'[1]Gas Cost '!AD8:AD102)</f>
        <v>#VALUE!</v>
      </c>
      <c r="Q61" s="201" t="e">
        <f>SUMIF('[1]Therms Data Entry'!AG8:AG90,"Regional Efficiency Programs",'[1]Therms Data Entry'!AC8:AC105)</f>
        <v>#VALUE!</v>
      </c>
      <c r="R61" s="202"/>
      <c r="S61" s="150"/>
      <c r="T61" s="151"/>
      <c r="U61" s="157"/>
      <c r="V61" s="153"/>
    </row>
    <row r="62" spans="2:40" s="237" customFormat="1" x14ac:dyDescent="0.25">
      <c r="B62" s="222" t="s">
        <v>102</v>
      </c>
      <c r="C62" s="223"/>
      <c r="D62" s="224"/>
      <c r="E62" s="224"/>
      <c r="F62" s="225" t="s">
        <v>105</v>
      </c>
      <c r="G62" s="226"/>
      <c r="H62" s="227"/>
      <c r="I62" s="228"/>
      <c r="J62" s="229"/>
      <c r="K62" s="228"/>
      <c r="L62" s="230"/>
      <c r="M62" s="231"/>
      <c r="N62" s="232"/>
      <c r="O62" s="232"/>
      <c r="P62" s="227"/>
      <c r="Q62" s="233"/>
      <c r="R62" s="229"/>
      <c r="S62" s="228"/>
      <c r="T62" s="234"/>
      <c r="U62" s="235"/>
      <c r="V62" s="232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</row>
    <row r="63" spans="2:40" s="240" customFormat="1" x14ac:dyDescent="0.25">
      <c r="B63" s="48" t="s">
        <v>104</v>
      </c>
      <c r="C63" s="60">
        <v>254</v>
      </c>
      <c r="D63" s="63" t="s">
        <v>107</v>
      </c>
      <c r="E63" s="1"/>
      <c r="F63" s="63"/>
      <c r="G63" s="3"/>
      <c r="H63" s="65">
        <f>'[1]Elec Cost '!AE25</f>
        <v>4052906.7799999993</v>
      </c>
      <c r="I63" s="72">
        <f>'[1]kWh Data Entry'!AC76/1000</f>
        <v>11300</v>
      </c>
      <c r="J63" s="177">
        <f>IF(L63=0, " ", H63/L63)</f>
        <v>0.77940514999999988</v>
      </c>
      <c r="K63" s="68">
        <f>I63/M63</f>
        <v>1</v>
      </c>
      <c r="L63" s="69">
        <v>5200000</v>
      </c>
      <c r="M63" s="73">
        <v>11300</v>
      </c>
      <c r="N63" s="238"/>
      <c r="O63" s="238"/>
      <c r="P63" s="130"/>
      <c r="Q63" s="133"/>
      <c r="R63" s="177"/>
      <c r="S63" s="68"/>
      <c r="T63" s="69"/>
      <c r="U63" s="73"/>
      <c r="V63" s="238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</row>
    <row r="64" spans="2:40" s="240" customFormat="1" x14ac:dyDescent="0.25">
      <c r="B64" s="48" t="s">
        <v>106</v>
      </c>
      <c r="C64" s="60"/>
      <c r="D64" s="63" t="s">
        <v>109</v>
      </c>
      <c r="E64" s="1"/>
      <c r="F64" s="63"/>
      <c r="G64" s="3"/>
      <c r="H64" s="65"/>
      <c r="I64" s="72"/>
      <c r="J64" s="177"/>
      <c r="K64" s="68"/>
      <c r="L64" s="69"/>
      <c r="M64" s="73"/>
      <c r="N64" s="238"/>
      <c r="O64" s="238"/>
      <c r="P64" s="65">
        <f>'[1]Gas Cost '!AD23</f>
        <v>2227812.52</v>
      </c>
      <c r="Q64" s="133">
        <f>'[1]Therms Data Entry'!AC55</f>
        <v>0</v>
      </c>
      <c r="R64" s="177">
        <f>P64/T64</f>
        <v>0.91519688248178899</v>
      </c>
      <c r="S64" s="68"/>
      <c r="T64" s="69">
        <v>2434244</v>
      </c>
      <c r="U64" s="73"/>
      <c r="V64" s="238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</row>
    <row r="65" spans="1:40" s="240" customFormat="1" x14ac:dyDescent="0.25">
      <c r="B65" s="48" t="s">
        <v>108</v>
      </c>
      <c r="C65" s="60">
        <v>292</v>
      </c>
      <c r="D65" s="63" t="s">
        <v>111</v>
      </c>
      <c r="E65" s="1"/>
      <c r="F65" s="63"/>
      <c r="G65" s="3"/>
      <c r="H65" s="65">
        <f>'[1]Elec Cost '!AD100</f>
        <v>0</v>
      </c>
      <c r="I65" s="72">
        <f>'[1]kWh Data Entry'!AC77/1000</f>
        <v>670.39200000000005</v>
      </c>
      <c r="J65" s="177" t="str">
        <f>IF(L65=0, " ", H65/L65)</f>
        <v xml:space="preserve"> </v>
      </c>
      <c r="K65" s="68">
        <f>I65/M65</f>
        <v>0.44692800000000005</v>
      </c>
      <c r="L65" s="69">
        <v>0</v>
      </c>
      <c r="M65" s="73">
        <v>1500</v>
      </c>
      <c r="N65" s="238"/>
      <c r="O65" s="238"/>
      <c r="P65" s="130"/>
      <c r="Q65" s="133"/>
      <c r="R65" s="177"/>
      <c r="S65" s="68"/>
      <c r="T65" s="69"/>
      <c r="U65" s="73"/>
      <c r="V65" s="238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</row>
    <row r="66" spans="1:40" s="240" customFormat="1" ht="9" customHeight="1" x14ac:dyDescent="0.25">
      <c r="B66" s="48"/>
      <c r="C66" s="60"/>
      <c r="D66" s="1"/>
      <c r="E66" s="1"/>
      <c r="F66" s="63"/>
      <c r="G66" s="3"/>
      <c r="H66" s="130"/>
      <c r="I66" s="133"/>
      <c r="J66" s="177"/>
      <c r="K66" s="68"/>
      <c r="L66" s="69"/>
      <c r="M66" s="73"/>
      <c r="N66" s="238"/>
      <c r="O66" s="238"/>
      <c r="P66" s="130"/>
      <c r="Q66" s="133"/>
      <c r="R66" s="177"/>
      <c r="S66" s="68"/>
      <c r="T66" s="69"/>
      <c r="U66" s="73"/>
      <c r="V66" s="238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</row>
    <row r="67" spans="1:40" s="240" customFormat="1" ht="13.8" thickBot="1" x14ac:dyDescent="0.3">
      <c r="B67" s="48" t="s">
        <v>110</v>
      </c>
      <c r="C67" s="60"/>
      <c r="D67" s="1"/>
      <c r="E67" s="1"/>
      <c r="F67" s="134" t="s">
        <v>113</v>
      </c>
      <c r="G67" s="3"/>
      <c r="H67" s="136">
        <f>SUM(H63:H65)</f>
        <v>4052906.7799999993</v>
      </c>
      <c r="I67" s="137">
        <f>SUM(I63:I66)</f>
        <v>11970.392</v>
      </c>
      <c r="J67" s="241">
        <f>H67/L67</f>
        <v>0.77940514999999988</v>
      </c>
      <c r="K67" s="79">
        <f>I67/M67</f>
        <v>0.93518687499999997</v>
      </c>
      <c r="L67" s="80">
        <f>SUM(L63:L65)</f>
        <v>5200000</v>
      </c>
      <c r="M67" s="82">
        <f>SUM(M63:M65)</f>
        <v>12800</v>
      </c>
      <c r="N67" s="238"/>
      <c r="O67" s="238"/>
      <c r="P67" s="136">
        <f>SUM(P63:P65)</f>
        <v>2227812.52</v>
      </c>
      <c r="Q67" s="242"/>
      <c r="R67" s="241">
        <f>P67/T67</f>
        <v>0.91519688248178899</v>
      </c>
      <c r="S67" s="79"/>
      <c r="T67" s="80">
        <f>SUM(T63:T65)</f>
        <v>2434244</v>
      </c>
      <c r="U67" s="82"/>
      <c r="V67" s="238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</row>
    <row r="68" spans="1:40" s="261" customFormat="1" ht="13.8" thickBot="1" x14ac:dyDescent="0.3">
      <c r="A68" s="243"/>
      <c r="B68" s="244"/>
      <c r="C68" s="245"/>
      <c r="D68" s="246"/>
      <c r="E68" s="246"/>
      <c r="F68" s="247"/>
      <c r="G68" s="248"/>
      <c r="H68" s="249" t="e">
        <f>SUMIF('[1]Elec Cost '!$AI$9:$AI$129,"Regional Efficiency Programs",'[1]Elec Cost '!$AE$9:$AE$129)</f>
        <v>#VALUE!</v>
      </c>
      <c r="I68" s="250" t="e">
        <f>(SUMIF('[1]kWh Data Entry'!AG10:AG108,"Regional Efficiency Programs",'[1]kWh Data Entry'!AC10:AC109)/1000)</f>
        <v>#VALUE!</v>
      </c>
      <c r="J68" s="251"/>
      <c r="K68" s="252"/>
      <c r="L68" s="253"/>
      <c r="M68" s="254"/>
      <c r="N68" s="255"/>
      <c r="O68" s="256"/>
      <c r="P68" s="257" t="e">
        <f>SUMIF('[1]Gas Cost '!AH8:AH102,"Regional Efficiency Programs",'[1]Gas Cost '!AD8:AD102)</f>
        <v>#VALUE!</v>
      </c>
      <c r="Q68" s="258"/>
      <c r="R68" s="251"/>
      <c r="S68" s="259"/>
      <c r="T68" s="253"/>
      <c r="U68" s="260"/>
      <c r="V68" s="255"/>
      <c r="W68" s="243"/>
      <c r="X68" s="243"/>
      <c r="Y68" s="243"/>
      <c r="Z68" s="243"/>
      <c r="AA68" s="243"/>
      <c r="AB68" s="243"/>
      <c r="AC68" s="243"/>
      <c r="AD68" s="243"/>
    </row>
    <row r="69" spans="1:40" s="240" customFormat="1" x14ac:dyDescent="0.25">
      <c r="B69" s="48"/>
      <c r="C69" s="239"/>
      <c r="D69" s="1"/>
      <c r="E69" s="1"/>
      <c r="F69" s="262"/>
      <c r="G69" s="3"/>
      <c r="H69" s="263"/>
      <c r="I69" s="137"/>
      <c r="J69" s="79"/>
      <c r="K69" s="68"/>
      <c r="L69" s="264"/>
      <c r="M69" s="140"/>
      <c r="N69" s="238"/>
      <c r="O69" s="238"/>
      <c r="P69" s="263"/>
      <c r="Q69" s="242"/>
      <c r="R69" s="79"/>
      <c r="S69" s="79"/>
      <c r="T69" s="264"/>
      <c r="U69" s="140"/>
      <c r="V69" s="238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</row>
    <row r="70" spans="1:40" s="240" customFormat="1" ht="13.8" x14ac:dyDescent="0.25">
      <c r="B70" s="48"/>
      <c r="C70" s="265" t="s">
        <v>114</v>
      </c>
      <c r="D70" s="1"/>
      <c r="E70" s="1"/>
      <c r="F70" s="262"/>
      <c r="G70" s="3"/>
      <c r="H70" s="263"/>
      <c r="I70" s="137"/>
      <c r="J70" s="79"/>
      <c r="K70" s="68"/>
      <c r="L70" s="264"/>
      <c r="M70" s="140"/>
      <c r="N70" s="238"/>
      <c r="O70" s="238"/>
      <c r="P70" s="263"/>
      <c r="Q70" s="242"/>
      <c r="R70" s="79"/>
      <c r="S70" s="79"/>
      <c r="T70" s="264"/>
      <c r="U70" s="140"/>
      <c r="V70" s="238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</row>
    <row r="71" spans="1:40" s="240" customFormat="1" ht="4.5" customHeight="1" thickBot="1" x14ac:dyDescent="0.3">
      <c r="B71" s="48"/>
      <c r="C71" s="266"/>
      <c r="D71" s="267"/>
      <c r="E71" s="267"/>
      <c r="F71" s="268"/>
      <c r="G71" s="3"/>
      <c r="H71" s="269"/>
      <c r="I71" s="270"/>
      <c r="J71" s="271"/>
      <c r="K71" s="272"/>
      <c r="L71" s="273"/>
      <c r="M71" s="274"/>
      <c r="N71" s="238"/>
      <c r="O71" s="238"/>
      <c r="P71" s="269"/>
      <c r="Q71" s="275"/>
      <c r="R71" s="271"/>
      <c r="S71" s="271"/>
      <c r="T71" s="273"/>
      <c r="U71" s="274"/>
      <c r="V71" s="238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</row>
    <row r="72" spans="1:40" ht="18" customHeight="1" x14ac:dyDescent="0.25">
      <c r="B72" s="490" t="s">
        <v>115</v>
      </c>
      <c r="C72" s="276"/>
      <c r="D72" s="277"/>
      <c r="E72" s="277"/>
      <c r="F72" s="278" t="s">
        <v>116</v>
      </c>
      <c r="G72" s="279"/>
      <c r="H72" s="280">
        <f>H123</f>
        <v>73398438.120000005</v>
      </c>
      <c r="I72" s="281">
        <f>I123</f>
        <v>237925.478</v>
      </c>
      <c r="J72" s="282">
        <f t="shared" ref="J72:M72" si="11">J123</f>
        <v>0</v>
      </c>
      <c r="K72" s="283">
        <f t="shared" si="11"/>
        <v>0</v>
      </c>
      <c r="L72" s="282">
        <f t="shared" si="11"/>
        <v>83793666</v>
      </c>
      <c r="M72" s="284">
        <f t="shared" si="11"/>
        <v>228773</v>
      </c>
      <c r="N72" s="285"/>
      <c r="O72" s="285"/>
      <c r="P72" s="280">
        <f>P123</f>
        <v>17755124.800000001</v>
      </c>
      <c r="Q72" s="281">
        <f t="shared" ref="Q72:S72" si="12">Q123</f>
        <v>3228159</v>
      </c>
      <c r="R72" s="282">
        <f t="shared" si="12"/>
        <v>0</v>
      </c>
      <c r="S72" s="283">
        <f t="shared" si="12"/>
        <v>0</v>
      </c>
      <c r="T72" s="282">
        <f>T123</f>
        <v>15910511</v>
      </c>
      <c r="U72" s="284">
        <f>U123</f>
        <v>3147391</v>
      </c>
      <c r="V72" s="285"/>
      <c r="X72" s="286"/>
    </row>
    <row r="73" spans="1:40" ht="14.25" customHeight="1" x14ac:dyDescent="0.25">
      <c r="B73" s="490"/>
      <c r="C73" s="287"/>
      <c r="D73" s="288"/>
      <c r="E73" s="288"/>
      <c r="F73" s="289" t="s">
        <v>117</v>
      </c>
      <c r="G73" s="135"/>
      <c r="H73" s="290"/>
      <c r="I73" s="291">
        <f>I124</f>
        <v>27.160442694063928</v>
      </c>
      <c r="J73" s="292"/>
      <c r="K73" s="293"/>
      <c r="L73" s="294"/>
      <c r="M73" s="295">
        <f>M124</f>
        <v>26.115639269406394</v>
      </c>
      <c r="N73" s="296"/>
      <c r="O73" s="296"/>
      <c r="P73" s="290"/>
      <c r="Q73" s="291"/>
      <c r="R73" s="292"/>
      <c r="S73" s="293"/>
      <c r="T73" s="294"/>
      <c r="U73" s="295"/>
      <c r="V73" s="296"/>
      <c r="X73" s="286"/>
    </row>
    <row r="74" spans="1:40" s="297" customFormat="1" ht="15" customHeight="1" x14ac:dyDescent="0.25">
      <c r="B74" s="490"/>
      <c r="C74" s="298"/>
      <c r="D74" s="299"/>
      <c r="E74" s="299"/>
      <c r="F74" s="300"/>
      <c r="G74" s="301"/>
      <c r="H74" s="302">
        <f>H125</f>
        <v>0.87594255775848262</v>
      </c>
      <c r="I74" s="303">
        <f>I125</f>
        <v>1.0400068102442159</v>
      </c>
      <c r="J74" s="304"/>
      <c r="K74" s="305"/>
      <c r="L74" s="306"/>
      <c r="M74" s="307"/>
      <c r="N74" s="308"/>
      <c r="O74" s="308"/>
      <c r="P74" s="302">
        <f>P125</f>
        <v>1.115936804292458</v>
      </c>
      <c r="Q74" s="303">
        <f>Q125</f>
        <v>1.0256618894824316</v>
      </c>
      <c r="R74" s="304"/>
      <c r="S74" s="305"/>
      <c r="T74" s="306"/>
      <c r="U74" s="307"/>
      <c r="V74" s="308"/>
      <c r="W74" s="309"/>
      <c r="X74" s="310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</row>
    <row r="75" spans="1:40" x14ac:dyDescent="0.25">
      <c r="B75" s="490"/>
      <c r="C75" s="287"/>
      <c r="D75" s="288"/>
      <c r="E75" s="288"/>
      <c r="F75" s="311"/>
      <c r="G75" s="109"/>
      <c r="H75" s="287"/>
      <c r="I75" s="288"/>
      <c r="J75" s="312"/>
      <c r="K75" s="288"/>
      <c r="L75" s="312"/>
      <c r="M75" s="313"/>
      <c r="P75" s="287"/>
      <c r="Q75" s="288"/>
      <c r="R75" s="312"/>
      <c r="S75" s="288"/>
      <c r="T75" s="312"/>
      <c r="U75" s="313"/>
    </row>
    <row r="76" spans="1:40" s="240" customFormat="1" ht="15.6" x14ac:dyDescent="0.25">
      <c r="B76" s="490"/>
      <c r="C76" s="314"/>
      <c r="D76" s="313" t="s">
        <v>118</v>
      </c>
      <c r="E76" s="315"/>
      <c r="F76" s="313"/>
      <c r="G76" s="3"/>
      <c r="H76" s="316"/>
      <c r="I76" s="317"/>
      <c r="J76" s="318"/>
      <c r="K76" s="317"/>
      <c r="L76" s="319"/>
      <c r="M76" s="320"/>
      <c r="N76" s="321"/>
      <c r="O76" s="321"/>
      <c r="P76" s="316">
        <f t="shared" ref="P76:U76" si="13">P127</f>
        <v>385939.07000000007</v>
      </c>
      <c r="Q76" s="317" t="str">
        <f t="shared" si="13"/>
        <v>n/a</v>
      </c>
      <c r="R76" s="318">
        <f t="shared" si="13"/>
        <v>0.96484767500000013</v>
      </c>
      <c r="S76" s="317" t="str">
        <f t="shared" si="13"/>
        <v>n/a</v>
      </c>
      <c r="T76" s="319">
        <f t="shared" si="13"/>
        <v>400000</v>
      </c>
      <c r="U76" s="320" t="str">
        <f t="shared" si="13"/>
        <v>n/a</v>
      </c>
      <c r="V76" s="321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</row>
    <row r="77" spans="1:40" ht="13.8" thickBot="1" x14ac:dyDescent="0.3">
      <c r="B77" s="490"/>
      <c r="C77" s="322"/>
      <c r="D77" s="323"/>
      <c r="E77" s="323"/>
      <c r="F77" s="324"/>
      <c r="G77" s="127"/>
      <c r="H77" s="325"/>
      <c r="I77" s="326"/>
      <c r="J77" s="327"/>
      <c r="K77" s="328"/>
      <c r="L77" s="329"/>
      <c r="M77" s="330"/>
      <c r="N77" s="331"/>
      <c r="O77" s="331"/>
      <c r="P77" s="325"/>
      <c r="Q77" s="326"/>
      <c r="R77" s="327"/>
      <c r="S77" s="328"/>
      <c r="T77" s="329"/>
      <c r="U77" s="330"/>
      <c r="V77" s="331"/>
    </row>
    <row r="78" spans="1:40" s="240" customFormat="1" x14ac:dyDescent="0.25">
      <c r="B78" s="48"/>
      <c r="C78" s="1"/>
      <c r="D78" s="1"/>
      <c r="E78" s="1"/>
      <c r="F78" s="332"/>
      <c r="G78" s="3"/>
      <c r="H78" s="263"/>
      <c r="I78" s="137"/>
      <c r="J78" s="79"/>
      <c r="K78" s="68"/>
      <c r="L78" s="264"/>
      <c r="M78" s="333"/>
      <c r="N78" s="238"/>
      <c r="O78" s="238"/>
      <c r="P78" s="263"/>
      <c r="Q78" s="242"/>
      <c r="R78" s="79"/>
      <c r="S78" s="79"/>
      <c r="T78" s="264"/>
      <c r="U78" s="333"/>
      <c r="V78" s="238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</row>
    <row r="79" spans="1:40" s="240" customFormat="1" x14ac:dyDescent="0.25">
      <c r="B79" s="48"/>
      <c r="C79" s="1"/>
      <c r="D79" s="1"/>
      <c r="E79" s="1"/>
      <c r="F79" s="262"/>
      <c r="G79" s="3"/>
      <c r="H79" s="263"/>
      <c r="I79" s="137"/>
      <c r="J79" s="79"/>
      <c r="K79" s="68"/>
      <c r="L79" s="264"/>
      <c r="M79" s="140"/>
      <c r="N79" s="238"/>
      <c r="O79" s="238"/>
      <c r="P79" s="263"/>
      <c r="Q79" s="242"/>
      <c r="R79" s="79"/>
      <c r="S79" s="79"/>
      <c r="T79" s="264"/>
      <c r="U79" s="140"/>
      <c r="V79" s="238"/>
      <c r="W79" s="239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</row>
    <row r="80" spans="1:40" s="240" customFormat="1" ht="14.25" customHeight="1" x14ac:dyDescent="0.25">
      <c r="B80" s="48" t="s">
        <v>112</v>
      </c>
      <c r="C80" s="334"/>
      <c r="D80" s="335"/>
      <c r="E80" s="335"/>
      <c r="F80" s="336" t="s">
        <v>120</v>
      </c>
      <c r="G80" s="226"/>
      <c r="H80" s="337"/>
      <c r="I80" s="338"/>
      <c r="J80" s="339"/>
      <c r="K80" s="340"/>
      <c r="L80" s="341"/>
      <c r="M80" s="342"/>
      <c r="N80" s="238"/>
      <c r="O80" s="238"/>
      <c r="P80" s="337"/>
      <c r="Q80" s="343"/>
      <c r="R80" s="339"/>
      <c r="S80" s="340"/>
      <c r="T80" s="341"/>
      <c r="U80" s="342"/>
      <c r="V80" s="238"/>
      <c r="W80" s="239"/>
      <c r="X80" s="239"/>
      <c r="Y80" s="239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</row>
    <row r="81" spans="2:40" s="239" customFormat="1" ht="13.5" customHeight="1" x14ac:dyDescent="0.25">
      <c r="B81" s="344" t="s">
        <v>119</v>
      </c>
      <c r="C81" s="345"/>
      <c r="D81" s="74" t="s">
        <v>122</v>
      </c>
      <c r="F81" s="74"/>
      <c r="G81" s="346"/>
      <c r="H81" s="65">
        <f>'[1]Elec Cost '!AE116+'[1]Elec Cost '!AE18</f>
        <v>1067671.4500000002</v>
      </c>
      <c r="I81" s="347"/>
      <c r="J81" s="177">
        <f>IF(L81=0, " ", H81/L81)</f>
        <v>0.97469793780645575</v>
      </c>
      <c r="K81" s="347"/>
      <c r="L81" s="192">
        <v>1095387</v>
      </c>
      <c r="M81" s="348"/>
      <c r="N81" s="349"/>
      <c r="O81" s="349"/>
      <c r="P81" s="65">
        <f>'[1]Gas Cost '!AD61</f>
        <v>159536.11000000002</v>
      </c>
      <c r="Q81" s="347"/>
      <c r="R81" s="177">
        <f t="shared" ref="R81:R97" si="14">P81/T81</f>
        <v>0.9746889338277972</v>
      </c>
      <c r="S81" s="347"/>
      <c r="T81" s="192">
        <v>163679</v>
      </c>
      <c r="U81" s="73"/>
      <c r="V81" s="349"/>
    </row>
    <row r="82" spans="2:40" s="352" customFormat="1" ht="15.75" customHeight="1" x14ac:dyDescent="0.25">
      <c r="B82" s="48" t="s">
        <v>121</v>
      </c>
      <c r="C82" s="345"/>
      <c r="D82" s="74" t="s">
        <v>124</v>
      </c>
      <c r="E82" s="239"/>
      <c r="F82" s="350"/>
      <c r="G82" s="346"/>
      <c r="H82" s="65">
        <f>'[1]Elec Cost '!AE69</f>
        <v>556387.91999999993</v>
      </c>
      <c r="I82" s="72"/>
      <c r="J82" s="174"/>
      <c r="K82" s="347"/>
      <c r="L82" s="192">
        <v>558344</v>
      </c>
      <c r="M82" s="348"/>
      <c r="N82" s="349"/>
      <c r="O82" s="349"/>
      <c r="P82" s="65">
        <f>'[1]Gas Cost '!AD22</f>
        <v>86303.60000000002</v>
      </c>
      <c r="Q82" s="72"/>
      <c r="R82" s="177">
        <f t="shared" si="14"/>
        <v>1.0414838413824732</v>
      </c>
      <c r="S82" s="351"/>
      <c r="T82" s="192">
        <v>82866</v>
      </c>
      <c r="U82" s="73"/>
      <c r="V82" s="34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</row>
    <row r="83" spans="2:40" s="240" customFormat="1" ht="15.75" customHeight="1" x14ac:dyDescent="0.25">
      <c r="B83" s="344" t="s">
        <v>123</v>
      </c>
      <c r="C83" s="60"/>
      <c r="D83" s="63" t="s">
        <v>126</v>
      </c>
      <c r="E83" s="1"/>
      <c r="F83" s="63"/>
      <c r="G83" s="3"/>
      <c r="H83" s="65">
        <f>'[1]Elec Cost '!AE24</f>
        <v>463416.07</v>
      </c>
      <c r="I83" s="353"/>
      <c r="J83" s="177">
        <f>IF(L83=0, " ", H83/L83)</f>
        <v>0.86548161055425132</v>
      </c>
      <c r="K83" s="347"/>
      <c r="L83" s="69">
        <v>535443</v>
      </c>
      <c r="M83" s="348" t="s">
        <v>33</v>
      </c>
      <c r="N83" s="321"/>
      <c r="O83" s="321"/>
      <c r="P83" s="65">
        <f>'[1]Gas Cost '!AD28</f>
        <v>55825.170000000013</v>
      </c>
      <c r="Q83" s="347"/>
      <c r="R83" s="193">
        <f t="shared" si="14"/>
        <v>0.70362835427721571</v>
      </c>
      <c r="S83" s="347"/>
      <c r="T83" s="69">
        <v>79339</v>
      </c>
      <c r="U83" s="73" t="s">
        <v>33</v>
      </c>
      <c r="V83" s="321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</row>
    <row r="84" spans="2:40" s="240" customFormat="1" ht="16.5" customHeight="1" x14ac:dyDescent="0.25">
      <c r="B84" s="344" t="s">
        <v>125</v>
      </c>
      <c r="C84" s="60"/>
      <c r="D84" s="111" t="s">
        <v>128</v>
      </c>
      <c r="E84" s="109"/>
      <c r="F84" s="111"/>
      <c r="G84" s="3"/>
      <c r="H84" s="65">
        <f>'[1]Elec Cost '!AE121</f>
        <v>315449.91000000003</v>
      </c>
      <c r="I84" s="347"/>
      <c r="J84" s="177">
        <f>IF(L84=0, " ", H84/L84)</f>
        <v>0.7667084149584138</v>
      </c>
      <c r="K84" s="347"/>
      <c r="L84" s="69">
        <v>411434</v>
      </c>
      <c r="M84" s="348" t="s">
        <v>33</v>
      </c>
      <c r="N84" s="321"/>
      <c r="O84" s="321"/>
      <c r="P84" s="65">
        <f>'[1]Gas Cost '!AD41</f>
        <v>47028.5</v>
      </c>
      <c r="Q84" s="347"/>
      <c r="R84" s="177">
        <f t="shared" si="14"/>
        <v>0.76238530622831757</v>
      </c>
      <c r="S84" s="347"/>
      <c r="T84" s="69">
        <v>61686</v>
      </c>
      <c r="U84" s="73" t="s">
        <v>33</v>
      </c>
      <c r="V84" s="321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</row>
    <row r="85" spans="2:40" s="240" customFormat="1" x14ac:dyDescent="0.25">
      <c r="B85" s="48" t="s">
        <v>127</v>
      </c>
      <c r="C85" s="60"/>
      <c r="D85" s="63" t="s">
        <v>130</v>
      </c>
      <c r="E85" s="1"/>
      <c r="F85" s="63"/>
      <c r="G85" s="3"/>
      <c r="H85" s="65">
        <f>'[1]Elec Cost '!AE114</f>
        <v>127484.82</v>
      </c>
      <c r="I85" s="347"/>
      <c r="J85" s="193">
        <f>IF(L85=0, " ", H85/L85)</f>
        <v>1.0803798305084746</v>
      </c>
      <c r="K85" s="347"/>
      <c r="L85" s="69">
        <v>118000</v>
      </c>
      <c r="M85" s="348" t="s">
        <v>33</v>
      </c>
      <c r="N85" s="321"/>
      <c r="O85" s="321"/>
      <c r="P85" s="65">
        <f>'[1]Gas Cost '!AD47</f>
        <v>14498.68</v>
      </c>
      <c r="Q85" s="347"/>
      <c r="R85" s="177">
        <f t="shared" si="14"/>
        <v>0.65903090909090911</v>
      </c>
      <c r="S85" s="347"/>
      <c r="T85" s="69">
        <v>22000</v>
      </c>
      <c r="U85" s="73" t="s">
        <v>33</v>
      </c>
      <c r="V85" s="354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</row>
    <row r="86" spans="2:40" s="240" customFormat="1" x14ac:dyDescent="0.25">
      <c r="B86" s="48" t="s">
        <v>129</v>
      </c>
      <c r="C86" s="60"/>
      <c r="D86" s="2" t="s">
        <v>132</v>
      </c>
      <c r="E86" s="1"/>
      <c r="F86" s="63"/>
      <c r="G86" s="3"/>
      <c r="H86" s="65">
        <f>'[1]Elec Cost '!AE117</f>
        <v>35683.069999999992</v>
      </c>
      <c r="I86" s="347"/>
      <c r="J86" s="193">
        <f>IF(L86=0, " ", H86/L86)</f>
        <v>1.0847236746108948</v>
      </c>
      <c r="K86" s="347"/>
      <c r="L86" s="69">
        <v>32896</v>
      </c>
      <c r="M86" s="348"/>
      <c r="N86" s="321"/>
      <c r="O86" s="321"/>
      <c r="P86" s="65">
        <f>'[1]Gas Cost '!AD69</f>
        <v>-8514.880000000001</v>
      </c>
      <c r="Q86" s="347"/>
      <c r="R86" s="177">
        <f t="shared" si="14"/>
        <v>-0.25884241245136191</v>
      </c>
      <c r="S86" s="347"/>
      <c r="T86" s="69">
        <v>32896</v>
      </c>
      <c r="U86" s="73"/>
      <c r="V86" s="354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</row>
    <row r="87" spans="2:40" s="355" customFormat="1" ht="15.75" customHeight="1" x14ac:dyDescent="0.25">
      <c r="B87" s="48" t="s">
        <v>131</v>
      </c>
      <c r="C87" s="84"/>
      <c r="D87" s="2" t="s">
        <v>134</v>
      </c>
      <c r="F87" s="87"/>
      <c r="G87" s="356"/>
      <c r="H87" s="65">
        <f>'[1]Elec Cost '!AE17</f>
        <v>265132.55000000005</v>
      </c>
      <c r="I87" s="357"/>
      <c r="J87" s="358"/>
      <c r="K87" s="357"/>
      <c r="L87" s="69">
        <v>172732</v>
      </c>
      <c r="M87" s="359"/>
      <c r="N87" s="360"/>
      <c r="O87" s="360"/>
      <c r="P87" s="65">
        <f>'[1]Gas Cost '!AD27</f>
        <v>108105.18</v>
      </c>
      <c r="Q87" s="357"/>
      <c r="R87" s="177">
        <f t="shared" si="14"/>
        <v>1.4033437183581274</v>
      </c>
      <c r="S87" s="357"/>
      <c r="T87" s="69">
        <v>77034</v>
      </c>
      <c r="U87" s="361"/>
      <c r="V87" s="360"/>
    </row>
    <row r="88" spans="2:40" s="355" customFormat="1" x14ac:dyDescent="0.25">
      <c r="B88" s="48" t="s">
        <v>133</v>
      </c>
      <c r="C88" s="362"/>
      <c r="D88" s="2" t="s">
        <v>136</v>
      </c>
      <c r="F88" s="363"/>
      <c r="G88" s="364"/>
      <c r="H88" s="65">
        <f>'[1]Elec Cost '!AE81</f>
        <v>921070.40000000014</v>
      </c>
      <c r="I88" s="365"/>
      <c r="J88" s="193">
        <f t="shared" ref="J88:J97" si="15">IF(L88=0, " ", H88/L88)</f>
        <v>0.80272050031548614</v>
      </c>
      <c r="K88" s="365"/>
      <c r="L88" s="69">
        <v>1147436</v>
      </c>
      <c r="M88" s="348" t="s">
        <v>33</v>
      </c>
      <c r="N88" s="366"/>
      <c r="O88" s="366"/>
      <c r="P88" s="65">
        <f>'[1]Gas Cost '!AD51</f>
        <v>192894.92</v>
      </c>
      <c r="Q88" s="365"/>
      <c r="R88" s="177">
        <f t="shared" si="14"/>
        <v>1.1137956082153972</v>
      </c>
      <c r="S88" s="365"/>
      <c r="T88" s="69">
        <v>173187</v>
      </c>
      <c r="U88" s="73" t="s">
        <v>33</v>
      </c>
      <c r="V88" s="366"/>
    </row>
    <row r="89" spans="2:40" s="367" customFormat="1" ht="15.75" customHeight="1" x14ac:dyDescent="0.25">
      <c r="B89" s="48" t="s">
        <v>135</v>
      </c>
      <c r="C89" s="60"/>
      <c r="D89" s="2" t="s">
        <v>138</v>
      </c>
      <c r="E89" s="1"/>
      <c r="F89" s="63"/>
      <c r="G89" s="3"/>
      <c r="H89" s="65">
        <f>'[1]Elec Cost '!AE122</f>
        <v>837288.91999999993</v>
      </c>
      <c r="I89" s="347"/>
      <c r="J89" s="193">
        <f t="shared" si="15"/>
        <v>0.84653306102640835</v>
      </c>
      <c r="K89" s="347"/>
      <c r="L89" s="69">
        <v>989080</v>
      </c>
      <c r="M89" s="348" t="s">
        <v>33</v>
      </c>
      <c r="N89" s="321"/>
      <c r="O89" s="321"/>
      <c r="P89" s="65">
        <f>'[1]Gas Cost '!AD21</f>
        <v>132693</v>
      </c>
      <c r="Q89" s="347"/>
      <c r="R89" s="177">
        <f t="shared" si="14"/>
        <v>0.92688600167644597</v>
      </c>
      <c r="S89" s="347"/>
      <c r="T89" s="69">
        <v>143160</v>
      </c>
      <c r="U89" s="73" t="s">
        <v>33</v>
      </c>
      <c r="V89" s="321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</row>
    <row r="90" spans="2:40" s="367" customFormat="1" ht="15.75" customHeight="1" x14ac:dyDescent="0.25">
      <c r="B90" s="48"/>
      <c r="C90" s="60"/>
      <c r="D90" s="2" t="s">
        <v>139</v>
      </c>
      <c r="E90" s="1"/>
      <c r="F90" s="63"/>
      <c r="G90" s="3"/>
      <c r="H90" s="65"/>
      <c r="I90" s="347"/>
      <c r="J90" s="193"/>
      <c r="K90" s="347"/>
      <c r="L90" s="69"/>
      <c r="M90" s="348"/>
      <c r="N90" s="321"/>
      <c r="O90" s="321"/>
      <c r="P90" s="65"/>
      <c r="Q90" s="347"/>
      <c r="R90" s="177"/>
      <c r="S90" s="347"/>
      <c r="T90" s="69"/>
      <c r="U90" s="73"/>
      <c r="V90" s="321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</row>
    <row r="91" spans="2:40" s="355" customFormat="1" x14ac:dyDescent="0.25">
      <c r="B91" s="48" t="s">
        <v>137</v>
      </c>
      <c r="C91" s="368"/>
      <c r="E91" s="355" t="s">
        <v>141</v>
      </c>
      <c r="F91" s="369"/>
      <c r="G91" s="356"/>
      <c r="H91" s="65">
        <f>'[1]Elec Cost '!AE12+'[1]Elec Cost '!AE15</f>
        <v>535433.26</v>
      </c>
      <c r="I91" s="370"/>
      <c r="J91" s="193">
        <f t="shared" si="15"/>
        <v>0.85859173404231437</v>
      </c>
      <c r="K91" s="371"/>
      <c r="L91" s="69">
        <v>623618</v>
      </c>
      <c r="M91" s="348" t="s">
        <v>33</v>
      </c>
      <c r="N91" s="360"/>
      <c r="O91" s="360"/>
      <c r="P91" s="65">
        <f>'[1]Gas Cost '!AD58+'[1]Gas Cost '!AD26</f>
        <v>127532.98999999999</v>
      </c>
      <c r="R91" s="177">
        <f t="shared" si="14"/>
        <v>1.113980905628734</v>
      </c>
      <c r="T91" s="69">
        <v>114484</v>
      </c>
      <c r="U91" s="73" t="s">
        <v>33</v>
      </c>
      <c r="V91" s="360"/>
    </row>
    <row r="92" spans="2:40" s="355" customFormat="1" ht="13.5" customHeight="1" x14ac:dyDescent="0.25">
      <c r="B92" s="48" t="s">
        <v>140</v>
      </c>
      <c r="C92" s="362"/>
      <c r="E92" s="355" t="s">
        <v>143</v>
      </c>
      <c r="F92" s="372"/>
      <c r="G92" s="364"/>
      <c r="H92" s="65">
        <f>'[1]Elec Cost '!AE46</f>
        <v>241486.38</v>
      </c>
      <c r="I92" s="357"/>
      <c r="J92" s="193">
        <f t="shared" si="15"/>
        <v>0.9244311652317716</v>
      </c>
      <c r="K92" s="357"/>
      <c r="L92" s="69">
        <v>261227</v>
      </c>
      <c r="M92" s="348" t="s">
        <v>33</v>
      </c>
      <c r="N92" s="366"/>
      <c r="O92" s="366"/>
      <c r="P92" s="65">
        <f>'[1]Gas Cost '!AD55</f>
        <v>35642.92</v>
      </c>
      <c r="Q92" s="357"/>
      <c r="R92" s="177">
        <f t="shared" si="14"/>
        <v>0.91711918484973232</v>
      </c>
      <c r="S92" s="357"/>
      <c r="T92" s="69">
        <v>38864</v>
      </c>
      <c r="U92" s="73" t="s">
        <v>33</v>
      </c>
      <c r="V92" s="373"/>
    </row>
    <row r="93" spans="2:40" s="355" customFormat="1" ht="15.75" customHeight="1" x14ac:dyDescent="0.25">
      <c r="B93" s="48" t="s">
        <v>142</v>
      </c>
      <c r="C93" s="60"/>
      <c r="E93" s="355" t="s">
        <v>145</v>
      </c>
      <c r="F93" s="374"/>
      <c r="G93" s="3"/>
      <c r="H93" s="65">
        <f>'[1]Elec Cost '!AE70</f>
        <v>592954.68000000005</v>
      </c>
      <c r="I93" s="347"/>
      <c r="J93" s="193">
        <f>IF(L93=0, " ", H93/L93)</f>
        <v>0.99847385162521207</v>
      </c>
      <c r="K93" s="347"/>
      <c r="L93" s="69">
        <v>593861</v>
      </c>
      <c r="M93" s="348"/>
      <c r="N93" s="321"/>
      <c r="O93" s="321"/>
      <c r="P93" s="65">
        <f>'[1]Gas Cost '!AD43</f>
        <v>108845.84000000001</v>
      </c>
      <c r="Q93" s="347"/>
      <c r="R93" s="177"/>
      <c r="S93" s="347"/>
      <c r="T93" s="69">
        <v>109565</v>
      </c>
      <c r="U93" s="73"/>
      <c r="V93" s="321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</row>
    <row r="94" spans="2:40" s="355" customFormat="1" ht="15.75" customHeight="1" x14ac:dyDescent="0.25">
      <c r="B94" s="48" t="s">
        <v>148</v>
      </c>
      <c r="C94" s="84"/>
      <c r="E94" s="355" t="s">
        <v>147</v>
      </c>
      <c r="F94" s="375"/>
      <c r="G94" s="356"/>
      <c r="H94" s="65">
        <f>'[1]Elec Cost '!AE71</f>
        <v>3110.8599999999942</v>
      </c>
      <c r="I94" s="357"/>
      <c r="J94" s="358">
        <f>IF(L94=0, " ", H94/L94)</f>
        <v>0.15554299999999971</v>
      </c>
      <c r="K94" s="357"/>
      <c r="L94" s="69">
        <v>20000</v>
      </c>
      <c r="M94" s="359"/>
      <c r="N94" s="360"/>
      <c r="O94" s="360"/>
      <c r="P94" s="65">
        <f>'[1]Gas Cost '!AD25</f>
        <v>3323.7200000000007</v>
      </c>
      <c r="Q94" s="357"/>
      <c r="R94" s="358"/>
      <c r="S94" s="357"/>
      <c r="T94" s="376"/>
      <c r="U94" s="361"/>
      <c r="V94" s="360"/>
    </row>
    <row r="95" spans="2:40" s="355" customFormat="1" x14ac:dyDescent="0.25">
      <c r="B95" s="48" t="s">
        <v>150</v>
      </c>
      <c r="C95" s="362"/>
      <c r="D95" s="2" t="s">
        <v>149</v>
      </c>
      <c r="F95" s="363"/>
      <c r="G95" s="364"/>
      <c r="H95" s="65">
        <f>'[1]Elec Cost '!AE54+'[1]Elec Cost '!AE78</f>
        <v>357381.55000000005</v>
      </c>
      <c r="I95" s="365"/>
      <c r="J95" s="193">
        <f t="shared" si="15"/>
        <v>0.59927953624704877</v>
      </c>
      <c r="K95" s="365"/>
      <c r="L95" s="69">
        <v>596352</v>
      </c>
      <c r="M95" s="348" t="s">
        <v>33</v>
      </c>
      <c r="N95" s="366"/>
      <c r="O95" s="366"/>
      <c r="P95" s="65">
        <f>'[1]Gas Cost '!AD33</f>
        <v>97441.55</v>
      </c>
      <c r="Q95" s="365"/>
      <c r="R95" s="177">
        <f t="shared" si="14"/>
        <v>0.87972220215954644</v>
      </c>
      <c r="S95" s="365"/>
      <c r="T95" s="69">
        <v>110764</v>
      </c>
      <c r="U95" s="73" t="s">
        <v>33</v>
      </c>
      <c r="V95" s="366"/>
    </row>
    <row r="96" spans="2:40" s="355" customFormat="1" x14ac:dyDescent="0.25">
      <c r="B96" s="48" t="s">
        <v>152</v>
      </c>
      <c r="C96" s="362"/>
      <c r="D96" s="2" t="s">
        <v>151</v>
      </c>
      <c r="F96" s="363"/>
      <c r="G96" s="364"/>
      <c r="H96" s="65">
        <f>'[1]Elec Cost '!AE51</f>
        <v>38068.710000000006</v>
      </c>
      <c r="I96" s="365"/>
      <c r="J96" s="193">
        <f t="shared" si="15"/>
        <v>0.46147806480549874</v>
      </c>
      <c r="K96" s="365"/>
      <c r="L96" s="69">
        <v>82493</v>
      </c>
      <c r="M96" s="348" t="s">
        <v>33</v>
      </c>
      <c r="N96" s="366"/>
      <c r="O96" s="366"/>
      <c r="P96" s="65">
        <f>'[1]Gas Cost '!AD38</f>
        <v>7171.1899999999987</v>
      </c>
      <c r="Q96" s="365"/>
      <c r="R96" s="177">
        <f t="shared" si="14"/>
        <v>0.73108267917218872</v>
      </c>
      <c r="S96" s="365"/>
      <c r="T96" s="69">
        <v>9809</v>
      </c>
      <c r="U96" s="73" t="s">
        <v>33</v>
      </c>
      <c r="V96" s="366"/>
    </row>
    <row r="97" spans="2:40" s="355" customFormat="1" x14ac:dyDescent="0.25">
      <c r="B97" s="48" t="s">
        <v>144</v>
      </c>
      <c r="C97" s="60">
        <v>202</v>
      </c>
      <c r="D97" s="2" t="s">
        <v>153</v>
      </c>
      <c r="F97" s="363"/>
      <c r="G97" s="364"/>
      <c r="H97" s="65">
        <f>'[1]Elec Cost '!AE87</f>
        <v>0</v>
      </c>
      <c r="I97" s="90"/>
      <c r="J97" s="193" t="str">
        <f t="shared" si="15"/>
        <v xml:space="preserve"> </v>
      </c>
      <c r="K97" s="365"/>
      <c r="L97" s="69">
        <v>0</v>
      </c>
      <c r="M97" s="348" t="s">
        <v>33</v>
      </c>
      <c r="N97" s="366"/>
      <c r="O97" s="366"/>
      <c r="P97" s="65">
        <f>'[1]Gas Cost '!AD30</f>
        <v>0</v>
      </c>
      <c r="Q97" s="90"/>
      <c r="R97" s="177" t="e">
        <f t="shared" si="14"/>
        <v>#DIV/0!</v>
      </c>
      <c r="S97" s="377"/>
      <c r="T97" s="69">
        <v>0</v>
      </c>
      <c r="U97" s="73" t="s">
        <v>33</v>
      </c>
      <c r="V97" s="366"/>
    </row>
    <row r="98" spans="2:40" s="240" customFormat="1" x14ac:dyDescent="0.25">
      <c r="B98" s="48"/>
      <c r="C98" s="60"/>
      <c r="D98" s="2"/>
      <c r="E98" s="1"/>
      <c r="F98" s="63"/>
      <c r="G98" s="3"/>
      <c r="H98" s="130"/>
      <c r="I98" s="347"/>
      <c r="J98" s="193"/>
      <c r="K98" s="347"/>
      <c r="L98" s="69"/>
      <c r="M98" s="348"/>
      <c r="N98" s="321"/>
      <c r="O98" s="321"/>
      <c r="P98" s="130"/>
      <c r="Q98" s="347"/>
      <c r="R98" s="177"/>
      <c r="S98" s="347"/>
      <c r="T98" s="69"/>
      <c r="U98" s="73"/>
      <c r="V98" s="321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</row>
    <row r="99" spans="2:40" s="240" customFormat="1" x14ac:dyDescent="0.25">
      <c r="B99" s="48" t="s">
        <v>146</v>
      </c>
      <c r="C99" s="60"/>
      <c r="D99" s="1"/>
      <c r="E99" s="1"/>
      <c r="F99" s="134" t="s">
        <v>155</v>
      </c>
      <c r="G99" s="3"/>
      <c r="H99" s="136">
        <f>SUM(H81:H98)</f>
        <v>6358020.5499999998</v>
      </c>
      <c r="I99" s="77"/>
      <c r="J99" s="378">
        <f>H99/L99</f>
        <v>0.87838552074982212</v>
      </c>
      <c r="K99" s="262"/>
      <c r="L99" s="379">
        <f>SUM(L81:L98)</f>
        <v>7238303</v>
      </c>
      <c r="M99" s="134" t="s">
        <v>33</v>
      </c>
      <c r="N99" s="321"/>
      <c r="O99" s="321"/>
      <c r="P99" s="136">
        <f>SUM(P81:P98)</f>
        <v>1168328.49</v>
      </c>
      <c r="Q99" s="77"/>
      <c r="R99" s="378">
        <f>P99/T99</f>
        <v>0.95817015532262306</v>
      </c>
      <c r="S99" s="380"/>
      <c r="T99" s="379">
        <f>SUM(T81:T98)</f>
        <v>1219333</v>
      </c>
      <c r="U99" s="82">
        <v>0</v>
      </c>
      <c r="V99" s="321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</row>
    <row r="100" spans="2:40" s="243" customFormat="1" ht="12.75" customHeight="1" x14ac:dyDescent="0.25">
      <c r="B100" s="142"/>
      <c r="C100" s="143"/>
      <c r="D100" s="144"/>
      <c r="E100" s="144"/>
      <c r="F100" s="381"/>
      <c r="G100" s="382"/>
      <c r="H100" s="154" t="e">
        <f>SUMIF('[1]Elec Cost '!$AI$9:$AI$129,"Energy Efficiency Portfolio Support",'[1]Elec Cost '!$AE$9:$AE$129)</f>
        <v>#VALUE!</v>
      </c>
      <c r="I100" s="383"/>
      <c r="J100" s="384"/>
      <c r="K100" s="383"/>
      <c r="L100" s="385"/>
      <c r="M100" s="386"/>
      <c r="N100" s="387"/>
      <c r="O100" s="387"/>
      <c r="P100" s="388" t="e">
        <f>SUMIF('[1]Gas Cost '!AH8:AH102,"Energy Efficiency Portfolio Support",'[1]Gas Cost '!AD8:AD102)</f>
        <v>#VALUE!</v>
      </c>
      <c r="Q100" s="383"/>
      <c r="R100" s="384"/>
      <c r="S100" s="383"/>
      <c r="T100" s="385"/>
      <c r="U100" s="389"/>
      <c r="V100" s="387"/>
    </row>
    <row r="101" spans="2:40" s="240" customFormat="1" ht="16.5" customHeight="1" x14ac:dyDescent="0.25">
      <c r="B101" s="48" t="s">
        <v>154</v>
      </c>
      <c r="C101" s="390"/>
      <c r="D101" s="391"/>
      <c r="E101" s="391"/>
      <c r="F101" s="392" t="s">
        <v>157</v>
      </c>
      <c r="G101" s="3"/>
      <c r="H101" s="393"/>
      <c r="I101" s="394"/>
      <c r="J101" s="395"/>
      <c r="K101" s="394"/>
      <c r="L101" s="396"/>
      <c r="M101" s="397"/>
      <c r="N101" s="321"/>
      <c r="O101" s="321"/>
      <c r="P101" s="393"/>
      <c r="Q101" s="398"/>
      <c r="R101" s="395"/>
      <c r="S101" s="394"/>
      <c r="T101" s="396"/>
      <c r="U101" s="399"/>
      <c r="V101" s="321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</row>
    <row r="102" spans="2:40" s="240" customFormat="1" ht="15" customHeight="1" x14ac:dyDescent="0.25">
      <c r="B102" s="48" t="s">
        <v>156</v>
      </c>
      <c r="C102" s="60"/>
      <c r="D102" s="63" t="s">
        <v>159</v>
      </c>
      <c r="E102" s="1"/>
      <c r="F102" s="63"/>
      <c r="G102" s="3"/>
      <c r="H102" s="65">
        <f>'[1]Elec Cost '!AE120</f>
        <v>183797.16</v>
      </c>
      <c r="I102" s="353"/>
      <c r="J102" s="177">
        <f>IF(L102=0, " ", H102/L102)</f>
        <v>0.8755122397359133</v>
      </c>
      <c r="K102" s="347"/>
      <c r="L102" s="192">
        <v>209931</v>
      </c>
      <c r="M102" s="348" t="s">
        <v>33</v>
      </c>
      <c r="N102" s="321"/>
      <c r="O102" s="321"/>
      <c r="P102" s="65">
        <f>'[1]Gas Cost '!AD50</f>
        <v>26360.04</v>
      </c>
      <c r="Q102" s="347"/>
      <c r="R102" s="193">
        <f>P102/T102</f>
        <v>0.84032133635117479</v>
      </c>
      <c r="S102" s="347"/>
      <c r="T102" s="192">
        <v>31369</v>
      </c>
      <c r="U102" s="73" t="s">
        <v>33</v>
      </c>
      <c r="V102" s="321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</row>
    <row r="103" spans="2:40" s="240" customFormat="1" ht="12.75" customHeight="1" x14ac:dyDescent="0.25">
      <c r="B103" s="48" t="s">
        <v>158</v>
      </c>
      <c r="C103" s="60"/>
      <c r="D103" s="63" t="s">
        <v>161</v>
      </c>
      <c r="E103" s="1"/>
      <c r="F103" s="63"/>
      <c r="G103" s="3"/>
      <c r="H103" s="65">
        <f>'[1]Elec Cost '!AE49+'[1]Elec Cost '!AE129</f>
        <v>661257.90000000014</v>
      </c>
      <c r="I103" s="353"/>
      <c r="J103" s="177">
        <f>IF(L103=0, " ", H103/L103)</f>
        <v>0.71559209194964468</v>
      </c>
      <c r="K103" s="347"/>
      <c r="L103" s="192">
        <v>924071</v>
      </c>
      <c r="M103" s="348" t="s">
        <v>33</v>
      </c>
      <c r="N103" s="321"/>
      <c r="O103" s="321"/>
      <c r="P103" s="65">
        <f>'[1]Gas Cost '!AD35</f>
        <v>46511.469999999994</v>
      </c>
      <c r="Q103" s="347"/>
      <c r="R103" s="193">
        <f t="shared" ref="R103:R104" si="16">P103/T103</f>
        <v>0.53528524243017106</v>
      </c>
      <c r="S103" s="347"/>
      <c r="T103" s="192">
        <v>86891</v>
      </c>
      <c r="U103" s="73"/>
      <c r="V103" s="354"/>
      <c r="W103" s="239"/>
      <c r="X103" s="239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</row>
    <row r="104" spans="2:40" s="240" customFormat="1" ht="12.75" customHeight="1" x14ac:dyDescent="0.25">
      <c r="B104" s="48" t="s">
        <v>160</v>
      </c>
      <c r="C104" s="60"/>
      <c r="D104" s="63" t="s">
        <v>163</v>
      </c>
      <c r="E104" s="1"/>
      <c r="F104" s="63"/>
      <c r="G104" s="3"/>
      <c r="H104" s="65">
        <f>'[1]Elec Cost '!AE19</f>
        <v>168296.67</v>
      </c>
      <c r="I104" s="353"/>
      <c r="J104" s="177"/>
      <c r="K104" s="347"/>
      <c r="L104" s="192">
        <v>247715</v>
      </c>
      <c r="M104" s="348"/>
      <c r="N104" s="321"/>
      <c r="O104" s="321"/>
      <c r="P104" s="65">
        <f>'[1]Gas Cost '!AD29</f>
        <v>25310.799999999999</v>
      </c>
      <c r="Q104" s="347"/>
      <c r="R104" s="193">
        <f t="shared" si="16"/>
        <v>0.68379846008374978</v>
      </c>
      <c r="S104" s="347"/>
      <c r="T104" s="192">
        <v>37015</v>
      </c>
      <c r="U104" s="73"/>
      <c r="V104" s="321"/>
      <c r="W104" s="239"/>
      <c r="X104" s="239"/>
      <c r="Y104" s="239"/>
      <c r="Z104" s="239"/>
      <c r="AA104" s="239"/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39"/>
      <c r="AL104" s="239"/>
      <c r="AM104" s="239"/>
      <c r="AN104" s="239"/>
    </row>
    <row r="105" spans="2:40" s="403" customFormat="1" x14ac:dyDescent="0.25">
      <c r="B105" s="48" t="s">
        <v>162</v>
      </c>
      <c r="C105" s="400"/>
      <c r="D105" s="111" t="s">
        <v>165</v>
      </c>
      <c r="E105" s="109"/>
      <c r="F105" s="111"/>
      <c r="G105" s="3"/>
      <c r="H105" s="65">
        <f>'[1]Elec Cost '!AE119</f>
        <v>1687448.6400000001</v>
      </c>
      <c r="I105" s="127"/>
      <c r="J105" s="193">
        <f>IF(L105=0, " ", H105/L105)</f>
        <v>1.0165965660581964</v>
      </c>
      <c r="K105" s="321"/>
      <c r="L105" s="192">
        <v>1659900</v>
      </c>
      <c r="M105" s="401" t="s">
        <v>33</v>
      </c>
      <c r="N105" s="321"/>
      <c r="O105" s="321"/>
      <c r="P105" s="65">
        <f>'[1]Gas Cost '!AD48</f>
        <v>269895.36</v>
      </c>
      <c r="Q105" s="321"/>
      <c r="R105" s="193">
        <f>P105/T105</f>
        <v>1.3445155376660123</v>
      </c>
      <c r="S105" s="321"/>
      <c r="T105" s="192">
        <v>200738</v>
      </c>
      <c r="U105" s="402" t="s">
        <v>33</v>
      </c>
      <c r="V105" s="321"/>
      <c r="W105" s="346"/>
      <c r="X105" s="346"/>
      <c r="Y105" s="346"/>
      <c r="Z105" s="346"/>
      <c r="AA105" s="346"/>
      <c r="AB105" s="346"/>
      <c r="AC105" s="346"/>
      <c r="AD105" s="346"/>
      <c r="AE105" s="346"/>
      <c r="AF105" s="346"/>
      <c r="AG105" s="346"/>
      <c r="AH105" s="346"/>
      <c r="AI105" s="346"/>
      <c r="AJ105" s="346"/>
      <c r="AK105" s="346"/>
      <c r="AL105" s="346"/>
      <c r="AM105" s="346"/>
      <c r="AN105" s="346"/>
    </row>
    <row r="106" spans="2:40" s="403" customFormat="1" ht="15.75" customHeight="1" x14ac:dyDescent="0.25">
      <c r="B106" s="48" t="s">
        <v>164</v>
      </c>
      <c r="C106" s="400"/>
      <c r="D106" s="111" t="s">
        <v>167</v>
      </c>
      <c r="E106" s="109"/>
      <c r="F106" s="111"/>
      <c r="G106" s="3"/>
      <c r="H106" s="65">
        <f>'[1]Elec Cost '!AE88</f>
        <v>32457</v>
      </c>
      <c r="I106" s="127"/>
      <c r="J106" s="193"/>
      <c r="K106" s="321"/>
      <c r="L106" s="192">
        <v>76086</v>
      </c>
      <c r="M106" s="401"/>
      <c r="N106" s="321"/>
      <c r="O106" s="321"/>
      <c r="P106" s="65"/>
      <c r="Q106" s="321"/>
      <c r="R106" s="193"/>
      <c r="S106" s="321"/>
      <c r="T106" s="192"/>
      <c r="U106" s="402"/>
      <c r="V106" s="321"/>
      <c r="W106" s="346"/>
      <c r="X106" s="346"/>
      <c r="Y106" s="346"/>
      <c r="Z106" s="346"/>
      <c r="AA106" s="346"/>
      <c r="AB106" s="346"/>
      <c r="AC106" s="346"/>
      <c r="AD106" s="346"/>
      <c r="AE106" s="346"/>
      <c r="AF106" s="346"/>
      <c r="AG106" s="346"/>
      <c r="AH106" s="346"/>
      <c r="AI106" s="346"/>
      <c r="AJ106" s="346"/>
      <c r="AK106" s="346"/>
      <c r="AL106" s="346"/>
      <c r="AM106" s="346"/>
      <c r="AN106" s="346"/>
    </row>
    <row r="107" spans="2:40" s="240" customFormat="1" ht="16.5" customHeight="1" x14ac:dyDescent="0.25">
      <c r="B107" s="48"/>
      <c r="C107" s="60"/>
      <c r="D107" s="2"/>
      <c r="E107" s="1"/>
      <c r="F107" s="63"/>
      <c r="G107" s="3"/>
      <c r="H107" s="130"/>
      <c r="I107" s="353"/>
      <c r="J107" s="177"/>
      <c r="K107" s="347"/>
      <c r="L107" s="69"/>
      <c r="M107" s="348"/>
      <c r="N107" s="321"/>
      <c r="O107" s="321"/>
      <c r="P107" s="130"/>
      <c r="Q107" s="347"/>
      <c r="R107" s="177"/>
      <c r="S107" s="347"/>
      <c r="T107" s="69"/>
      <c r="U107" s="73"/>
      <c r="V107" s="321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</row>
    <row r="108" spans="2:40" s="240" customFormat="1" ht="12.75" customHeight="1" x14ac:dyDescent="0.25">
      <c r="B108" s="48" t="s">
        <v>166</v>
      </c>
      <c r="C108" s="60"/>
      <c r="D108" s="1"/>
      <c r="E108" s="1"/>
      <c r="F108" s="134" t="s">
        <v>169</v>
      </c>
      <c r="G108" s="3"/>
      <c r="H108" s="136">
        <f>SUM(H102:H107)</f>
        <v>2733257.37</v>
      </c>
      <c r="I108" s="262"/>
      <c r="J108" s="241">
        <f>H108/L108</f>
        <v>0.87668946336453479</v>
      </c>
      <c r="K108" s="262"/>
      <c r="L108" s="379">
        <f>SUM(L102:L106)</f>
        <v>3117703</v>
      </c>
      <c r="M108" s="134" t="s">
        <v>33</v>
      </c>
      <c r="N108" s="321"/>
      <c r="O108" s="321"/>
      <c r="P108" s="136">
        <f>SUM(P102:P106)</f>
        <v>368077.67</v>
      </c>
      <c r="Q108" s="262"/>
      <c r="R108" s="241">
        <f>P108/T108</f>
        <v>1.0338882849783575</v>
      </c>
      <c r="S108" s="262"/>
      <c r="T108" s="379">
        <f>SUM(T102:T106)</f>
        <v>356013</v>
      </c>
      <c r="U108" s="82">
        <v>0</v>
      </c>
      <c r="V108" s="321"/>
      <c r="W108" s="239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</row>
    <row r="109" spans="2:40" s="243" customFormat="1" ht="12.75" customHeight="1" x14ac:dyDescent="0.25">
      <c r="B109" s="142"/>
      <c r="C109" s="143"/>
      <c r="D109" s="144"/>
      <c r="E109" s="144"/>
      <c r="F109" s="381"/>
      <c r="G109" s="382"/>
      <c r="H109" s="154" t="e">
        <f>SUMIF('[1]Elec Cost '!$AI$9:$AI$129,"Energy Efficiency Research &amp; Compliance",'[1]Elec Cost '!$AE$9:$AE$129)</f>
        <v>#VALUE!</v>
      </c>
      <c r="I109" s="383">
        <v>1</v>
      </c>
      <c r="J109" s="384"/>
      <c r="K109" s="383"/>
      <c r="L109" s="404"/>
      <c r="M109" s="386"/>
      <c r="N109" s="387"/>
      <c r="O109" s="387"/>
      <c r="P109" s="388" t="e">
        <f>SUMIF('[1]Gas Cost '!AH8:AH90,"Energy Efficiency Research &amp; Compliance",'[1]Gas Cost '!AD8:AD91)</f>
        <v>#VALUE!</v>
      </c>
      <c r="Q109" s="383"/>
      <c r="R109" s="384"/>
      <c r="S109" s="383"/>
      <c r="T109" s="404"/>
      <c r="U109" s="389"/>
      <c r="V109" s="387"/>
    </row>
    <row r="110" spans="2:40" ht="15" x14ac:dyDescent="0.25">
      <c r="B110" s="48" t="s">
        <v>168</v>
      </c>
      <c r="C110" s="405"/>
      <c r="D110" s="406"/>
      <c r="E110" s="406"/>
      <c r="F110" s="407" t="s">
        <v>171</v>
      </c>
      <c r="G110" s="279"/>
      <c r="H110" s="408">
        <f>SUM(H34,H54,H67,H99,H108,H60)</f>
        <v>71864142.660000011</v>
      </c>
      <c r="I110" s="409">
        <f>SUM(I34,I54,I60,I67)</f>
        <v>237925.478</v>
      </c>
      <c r="J110" s="410"/>
      <c r="K110" s="411"/>
      <c r="L110" s="412">
        <f>SUM(L34,L54,L60,L67,L99,L108)</f>
        <v>82701968</v>
      </c>
      <c r="M110" s="413">
        <f>SUM(M34,M54,M60,M67)</f>
        <v>228773</v>
      </c>
      <c r="N110" s="285"/>
      <c r="O110" s="285"/>
      <c r="P110" s="408">
        <f>SUM(P34,P54,P67,P99,P108,P60)</f>
        <v>17755124.800000001</v>
      </c>
      <c r="Q110" s="414">
        <f>SUM(Q34,Q54,Q57)</f>
        <v>3228159</v>
      </c>
      <c r="R110" s="410"/>
      <c r="S110" s="411"/>
      <c r="T110" s="412">
        <f>SUM(T34,T54,T60,T67,T99,T108)</f>
        <v>15910511</v>
      </c>
      <c r="U110" s="415">
        <f>SUM(U34,U54,U60,)</f>
        <v>3147391</v>
      </c>
      <c r="V110" s="285"/>
      <c r="X110" s="286"/>
    </row>
    <row r="111" spans="2:40" ht="19.5" customHeight="1" x14ac:dyDescent="0.25">
      <c r="B111" s="48" t="s">
        <v>170</v>
      </c>
      <c r="C111" s="60"/>
      <c r="D111" s="1"/>
      <c r="E111" s="1"/>
      <c r="F111" s="416"/>
      <c r="G111" s="417"/>
      <c r="H111" s="418">
        <f>H110/L110</f>
        <v>0.86895323530874147</v>
      </c>
      <c r="I111" s="419">
        <f>I110/M110</f>
        <v>1.0400068102442159</v>
      </c>
      <c r="J111" s="420"/>
      <c r="K111" s="421"/>
      <c r="L111" s="422"/>
      <c r="M111" s="423"/>
      <c r="N111" s="424"/>
      <c r="O111" s="424"/>
      <c r="P111" s="418">
        <f>P110/T110</f>
        <v>1.115936804292458</v>
      </c>
      <c r="Q111" s="419">
        <f>Q110/U110</f>
        <v>1.0256618894824316</v>
      </c>
      <c r="R111" s="420"/>
      <c r="S111" s="421"/>
      <c r="T111" s="422"/>
      <c r="U111" s="423"/>
      <c r="V111" s="424"/>
      <c r="X111" s="286"/>
    </row>
    <row r="112" spans="2:40" x14ac:dyDescent="0.25">
      <c r="B112" s="48" t="s">
        <v>172</v>
      </c>
      <c r="C112" s="425"/>
      <c r="F112" s="134" t="s">
        <v>117</v>
      </c>
      <c r="G112" s="135"/>
      <c r="H112" s="426"/>
      <c r="I112" s="427">
        <f>I110/8760</f>
        <v>27.160442694063928</v>
      </c>
      <c r="J112" s="428"/>
      <c r="K112" s="262"/>
      <c r="L112" s="429"/>
      <c r="M112" s="430">
        <f>M110/8760</f>
        <v>26.115639269406394</v>
      </c>
      <c r="N112" s="296"/>
      <c r="O112" s="296"/>
      <c r="P112" s="426"/>
      <c r="Q112" s="427"/>
      <c r="R112" s="428"/>
      <c r="S112" s="262"/>
      <c r="T112" s="429"/>
      <c r="U112" s="82"/>
      <c r="V112" s="296"/>
      <c r="X112" s="286"/>
    </row>
    <row r="113" spans="2:40" s="240" customFormat="1" ht="14.4" x14ac:dyDescent="0.25">
      <c r="B113" s="48" t="s">
        <v>173</v>
      </c>
      <c r="C113" s="431"/>
      <c r="D113" s="432"/>
      <c r="E113" s="432"/>
      <c r="F113" s="433" t="s">
        <v>175</v>
      </c>
      <c r="G113" s="434"/>
      <c r="H113" s="435"/>
      <c r="I113" s="436"/>
      <c r="J113" s="437"/>
      <c r="K113" s="438"/>
      <c r="L113" s="439"/>
      <c r="M113" s="440"/>
      <c r="N113" s="238"/>
      <c r="O113" s="238"/>
      <c r="P113" s="435"/>
      <c r="Q113" s="441"/>
      <c r="R113" s="437"/>
      <c r="S113" s="438"/>
      <c r="T113" s="439"/>
      <c r="U113" s="440"/>
      <c r="V113" s="238"/>
      <c r="W113" s="239"/>
      <c r="X113" s="239"/>
      <c r="Y113" s="239"/>
      <c r="Z113" s="239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</row>
    <row r="114" spans="2:40" s="240" customFormat="1" x14ac:dyDescent="0.25">
      <c r="B114" s="48" t="s">
        <v>174</v>
      </c>
      <c r="C114" s="60">
        <v>150</v>
      </c>
      <c r="D114" s="63" t="s">
        <v>177</v>
      </c>
      <c r="E114" s="1"/>
      <c r="F114" s="63"/>
      <c r="G114" s="3"/>
      <c r="H114" s="65">
        <f>'[1]Elec Cost '!AE9</f>
        <v>1534295.4599999997</v>
      </c>
      <c r="I114" s="347"/>
      <c r="J114" s="177">
        <f>IF(L114=0, " ", H114/L114)</f>
        <v>1.4054211512707724</v>
      </c>
      <c r="K114" s="347" t="s">
        <v>33</v>
      </c>
      <c r="L114" s="69">
        <v>1091698</v>
      </c>
      <c r="M114" s="348" t="s">
        <v>33</v>
      </c>
      <c r="N114" s="321"/>
      <c r="O114" s="321"/>
      <c r="P114" s="442"/>
      <c r="Q114" s="347"/>
      <c r="R114" s="177"/>
      <c r="S114" s="347"/>
      <c r="T114" s="69"/>
      <c r="U114" s="73"/>
      <c r="V114" s="321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</row>
    <row r="115" spans="2:40" s="240" customFormat="1" ht="15.6" hidden="1" x14ac:dyDescent="0.25">
      <c r="B115" s="48"/>
      <c r="C115" s="179">
        <v>248</v>
      </c>
      <c r="D115" s="443" t="s">
        <v>178</v>
      </c>
      <c r="E115" s="444"/>
      <c r="F115" s="443"/>
      <c r="G115" s="3"/>
      <c r="H115" s="65">
        <f>'[1]Elec Cost '!AE57</f>
        <v>0</v>
      </c>
      <c r="I115" s="347"/>
      <c r="J115" s="193" t="str">
        <f>IF(L115=0, " ", H115/L115)</f>
        <v xml:space="preserve"> </v>
      </c>
      <c r="K115" s="347" t="s">
        <v>33</v>
      </c>
      <c r="L115" s="69">
        <v>0</v>
      </c>
      <c r="M115" s="348">
        <v>0</v>
      </c>
      <c r="N115" s="321"/>
      <c r="O115" s="321"/>
      <c r="P115" s="442"/>
      <c r="Q115" s="347"/>
      <c r="R115" s="177"/>
      <c r="S115" s="347"/>
      <c r="T115" s="69"/>
      <c r="U115" s="73"/>
      <c r="V115" s="321"/>
      <c r="W115" s="239"/>
      <c r="X115" s="239"/>
      <c r="Y115" s="239"/>
      <c r="Z115" s="239"/>
      <c r="AA115" s="239"/>
      <c r="AB115" s="239"/>
      <c r="AC115" s="239"/>
      <c r="AD115" s="239"/>
      <c r="AE115" s="239"/>
      <c r="AF115" s="239"/>
      <c r="AG115" s="239"/>
      <c r="AH115" s="239"/>
      <c r="AI115" s="239"/>
      <c r="AJ115" s="239"/>
      <c r="AK115" s="239"/>
      <c r="AL115" s="239"/>
      <c r="AM115" s="239"/>
      <c r="AN115" s="239"/>
    </row>
    <row r="116" spans="2:40" s="240" customFormat="1" x14ac:dyDescent="0.25">
      <c r="B116" s="48" t="s">
        <v>176</v>
      </c>
      <c r="C116" s="60">
        <v>195</v>
      </c>
      <c r="D116" s="63" t="s">
        <v>180</v>
      </c>
      <c r="E116" s="1"/>
      <c r="F116" s="63"/>
      <c r="G116" s="3"/>
      <c r="H116" s="65">
        <f>'[1]Elec Cost '!AE84</f>
        <v>0</v>
      </c>
      <c r="I116" s="347"/>
      <c r="J116" s="193"/>
      <c r="K116" s="347"/>
      <c r="L116" s="69">
        <v>0</v>
      </c>
      <c r="M116" s="348"/>
      <c r="N116" s="321"/>
      <c r="O116" s="321"/>
      <c r="P116" s="442"/>
      <c r="Q116" s="347"/>
      <c r="R116" s="177"/>
      <c r="S116" s="347"/>
      <c r="T116" s="69"/>
      <c r="U116" s="73"/>
      <c r="V116" s="321"/>
      <c r="W116" s="239"/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239"/>
      <c r="AL116" s="239"/>
      <c r="AM116" s="239"/>
      <c r="AN116" s="239"/>
    </row>
    <row r="117" spans="2:40" s="240" customFormat="1" ht="14.25" hidden="1" customHeight="1" x14ac:dyDescent="0.25">
      <c r="B117" s="48"/>
      <c r="C117" s="179">
        <v>271</v>
      </c>
      <c r="D117" s="63" t="s">
        <v>181</v>
      </c>
      <c r="E117" s="444"/>
      <c r="F117" s="443"/>
      <c r="G117" s="3"/>
      <c r="H117" s="130">
        <f>'[1]Elec Cost '!AE35</f>
        <v>0</v>
      </c>
      <c r="I117" s="347"/>
      <c r="J117" s="177" t="str">
        <f>IF(L117=0, " ", H117/L117)</f>
        <v xml:space="preserve"> </v>
      </c>
      <c r="K117" s="347" t="s">
        <v>33</v>
      </c>
      <c r="L117" s="69">
        <v>0</v>
      </c>
      <c r="M117" s="348" t="s">
        <v>33</v>
      </c>
      <c r="N117" s="321"/>
      <c r="O117" s="321"/>
      <c r="P117" s="442"/>
      <c r="Q117" s="347"/>
      <c r="R117" s="177"/>
      <c r="S117" s="347"/>
      <c r="T117" s="69"/>
      <c r="U117" s="73"/>
      <c r="V117" s="321"/>
      <c r="W117" s="239"/>
      <c r="X117" s="239"/>
      <c r="Y117" s="239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</row>
    <row r="118" spans="2:40" s="240" customFormat="1" ht="16.5" hidden="1" customHeight="1" x14ac:dyDescent="0.25">
      <c r="B118" s="48"/>
      <c r="C118" s="179" t="s">
        <v>182</v>
      </c>
      <c r="D118" s="63" t="s">
        <v>183</v>
      </c>
      <c r="E118" s="444"/>
      <c r="F118" s="443"/>
      <c r="G118" s="3"/>
      <c r="H118" s="130">
        <f>'[1]Elec Cost '!AE36</f>
        <v>0</v>
      </c>
      <c r="I118" s="347"/>
      <c r="J118" s="177" t="str">
        <f>IF(L118=0, " ", H118/L118)</f>
        <v xml:space="preserve"> </v>
      </c>
      <c r="K118" s="347" t="s">
        <v>33</v>
      </c>
      <c r="L118" s="69">
        <v>0</v>
      </c>
      <c r="M118" s="348" t="s">
        <v>33</v>
      </c>
      <c r="N118" s="321"/>
      <c r="O118" s="321"/>
      <c r="P118" s="442"/>
      <c r="Q118" s="347"/>
      <c r="R118" s="177"/>
      <c r="S118" s="347"/>
      <c r="T118" s="69"/>
      <c r="U118" s="73"/>
      <c r="V118" s="321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</row>
    <row r="119" spans="2:40" s="240" customFormat="1" x14ac:dyDescent="0.25">
      <c r="B119" s="48" t="s">
        <v>179</v>
      </c>
      <c r="C119" s="60"/>
      <c r="D119" s="63" t="s">
        <v>185</v>
      </c>
      <c r="E119" s="1"/>
      <c r="F119" s="63"/>
      <c r="G119" s="3"/>
      <c r="H119" s="130">
        <f>'[1]Elec Cost '!AE72</f>
        <v>0</v>
      </c>
      <c r="I119" s="347"/>
      <c r="J119" s="177" t="str">
        <f>IF(L119=0, " ", H119/L119)</f>
        <v xml:space="preserve"> </v>
      </c>
      <c r="K119" s="347"/>
      <c r="L119" s="69">
        <v>0</v>
      </c>
      <c r="M119" s="348"/>
      <c r="N119" s="321"/>
      <c r="O119" s="321"/>
      <c r="P119" s="130"/>
      <c r="Q119" s="347"/>
      <c r="R119" s="177"/>
      <c r="S119" s="347"/>
      <c r="T119" s="69"/>
      <c r="U119" s="73"/>
      <c r="V119" s="321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</row>
    <row r="120" spans="2:40" s="240" customFormat="1" x14ac:dyDescent="0.25">
      <c r="B120" s="48"/>
      <c r="C120" s="60"/>
      <c r="D120" s="2"/>
      <c r="E120" s="1"/>
      <c r="F120" s="63"/>
      <c r="G120" s="3"/>
      <c r="H120" s="130"/>
      <c r="I120" s="347"/>
      <c r="J120" s="177"/>
      <c r="K120" s="347"/>
      <c r="L120" s="69"/>
      <c r="M120" s="348"/>
      <c r="N120" s="321"/>
      <c r="O120" s="321"/>
      <c r="P120" s="130"/>
      <c r="Q120" s="347"/>
      <c r="R120" s="177"/>
      <c r="S120" s="347"/>
      <c r="T120" s="69"/>
      <c r="U120" s="73"/>
      <c r="V120" s="321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</row>
    <row r="121" spans="2:40" x14ac:dyDescent="0.25">
      <c r="B121" s="48" t="s">
        <v>184</v>
      </c>
      <c r="C121" s="60"/>
      <c r="D121" s="1"/>
      <c r="E121" s="1"/>
      <c r="F121" s="134" t="s">
        <v>187</v>
      </c>
      <c r="G121" s="135"/>
      <c r="H121" s="136">
        <f>SUM(H114:H119)</f>
        <v>1534295.4599999997</v>
      </c>
      <c r="I121" s="137">
        <f>SUM(I118:I119)</f>
        <v>0</v>
      </c>
      <c r="J121" s="241">
        <f>H121/L121</f>
        <v>1.4054211512707724</v>
      </c>
      <c r="K121" s="79">
        <f>SUM(K118:K119)</f>
        <v>0</v>
      </c>
      <c r="L121" s="80">
        <f>SUM(L114:L119)</f>
        <v>1091698</v>
      </c>
      <c r="M121" s="138"/>
      <c r="N121" s="139"/>
      <c r="O121" s="139"/>
      <c r="P121" s="136"/>
      <c r="Q121" s="137"/>
      <c r="R121" s="241"/>
      <c r="S121" s="79"/>
      <c r="T121" s="80"/>
      <c r="U121" s="82"/>
      <c r="V121" s="139"/>
    </row>
    <row r="122" spans="2:40" s="158" customFormat="1" x14ac:dyDescent="0.25">
      <c r="B122" s="142"/>
      <c r="C122" s="445"/>
      <c r="D122" s="446"/>
      <c r="E122" s="446"/>
      <c r="F122" s="447"/>
      <c r="G122" s="448"/>
      <c r="H122" s="154" t="e">
        <f>SUMIF('[1]Elec Cost '!$AI$9:$AI$129,"Other Electric Programs",'[1]Elec Cost '!$AE$9:$AE$129)</f>
        <v>#VALUE!</v>
      </c>
      <c r="I122" s="449"/>
      <c r="J122" s="450"/>
      <c r="K122" s="451"/>
      <c r="L122" s="452"/>
      <c r="M122" s="453"/>
      <c r="N122" s="454"/>
      <c r="O122" s="454"/>
      <c r="P122" s="455"/>
      <c r="Q122" s="449"/>
      <c r="R122" s="450"/>
      <c r="S122" s="451"/>
      <c r="T122" s="452"/>
      <c r="U122" s="453"/>
      <c r="V122" s="454"/>
    </row>
    <row r="123" spans="2:40" ht="18" customHeight="1" x14ac:dyDescent="0.25">
      <c r="B123" s="48" t="s">
        <v>186</v>
      </c>
      <c r="C123" s="405"/>
      <c r="D123" s="406"/>
      <c r="E123" s="406"/>
      <c r="F123" s="407" t="s">
        <v>116</v>
      </c>
      <c r="G123" s="279"/>
      <c r="H123" s="408">
        <f>SUM(H121+H110)</f>
        <v>73398438.120000005</v>
      </c>
      <c r="I123" s="409">
        <f>SUM(I110,I121)</f>
        <v>237925.478</v>
      </c>
      <c r="J123" s="410"/>
      <c r="K123" s="411"/>
      <c r="L123" s="456">
        <f>SUM(L110,L121)</f>
        <v>83793666</v>
      </c>
      <c r="M123" s="413">
        <f>ROUND(SUM(M110,M121),0)</f>
        <v>228773</v>
      </c>
      <c r="N123" s="285"/>
      <c r="O123" s="285"/>
      <c r="P123" s="408">
        <f>SUM(P121+P110)</f>
        <v>17755124.800000001</v>
      </c>
      <c r="Q123" s="414">
        <f>SUM(Q110,Q118:Q118)</f>
        <v>3228159</v>
      </c>
      <c r="R123" s="410"/>
      <c r="S123" s="411"/>
      <c r="T123" s="412">
        <f>SUM(T110,T118:T118)</f>
        <v>15910511</v>
      </c>
      <c r="U123" s="415">
        <f>SUM(U110,U118:U118)</f>
        <v>3147391</v>
      </c>
      <c r="V123" s="285"/>
      <c r="X123" s="286"/>
    </row>
    <row r="124" spans="2:40" x14ac:dyDescent="0.25">
      <c r="B124" s="48" t="s">
        <v>188</v>
      </c>
      <c r="C124" s="425"/>
      <c r="F124" s="134" t="s">
        <v>117</v>
      </c>
      <c r="G124" s="135"/>
      <c r="H124" s="457"/>
      <c r="I124" s="427">
        <f>I123/8760</f>
        <v>27.160442694063928</v>
      </c>
      <c r="J124" s="428"/>
      <c r="K124" s="262"/>
      <c r="L124" s="429"/>
      <c r="M124" s="458">
        <f>M123/8760</f>
        <v>26.115639269406394</v>
      </c>
      <c r="N124" s="296"/>
      <c r="O124" s="296"/>
      <c r="P124" s="459"/>
      <c r="Q124" s="427"/>
      <c r="R124" s="428"/>
      <c r="S124" s="262"/>
      <c r="T124" s="429"/>
      <c r="U124" s="458"/>
      <c r="V124" s="296"/>
      <c r="X124" s="286"/>
    </row>
    <row r="125" spans="2:40" s="297" customFormat="1" ht="15" customHeight="1" x14ac:dyDescent="0.25">
      <c r="B125" s="48" t="s">
        <v>189</v>
      </c>
      <c r="C125" s="460"/>
      <c r="D125" s="461"/>
      <c r="E125" s="461"/>
      <c r="F125" s="462"/>
      <c r="G125" s="301"/>
      <c r="H125" s="463">
        <f>H123/L123</f>
        <v>0.87594255775848262</v>
      </c>
      <c r="I125" s="464">
        <f>I123/M123</f>
        <v>1.0400068102442159</v>
      </c>
      <c r="J125" s="465"/>
      <c r="K125" s="466"/>
      <c r="L125" s="467"/>
      <c r="M125" s="468"/>
      <c r="N125" s="308"/>
      <c r="O125" s="308"/>
      <c r="P125" s="463">
        <f>P123/T123</f>
        <v>1.115936804292458</v>
      </c>
      <c r="Q125" s="464">
        <f>Q123/U123</f>
        <v>1.0256618894824316</v>
      </c>
      <c r="R125" s="465"/>
      <c r="S125" s="466"/>
      <c r="T125" s="467"/>
      <c r="U125" s="468"/>
      <c r="V125" s="308"/>
      <c r="W125" s="309"/>
      <c r="X125" s="310"/>
      <c r="Y125" s="309"/>
      <c r="Z125" s="309"/>
      <c r="AA125" s="309"/>
      <c r="AB125" s="309"/>
      <c r="AC125" s="309"/>
      <c r="AD125" s="309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</row>
    <row r="126" spans="2:40" x14ac:dyDescent="0.25">
      <c r="B126" s="48"/>
      <c r="C126" s="469"/>
      <c r="D126" s="3"/>
      <c r="E126" s="3"/>
      <c r="F126" s="470"/>
      <c r="G126" s="109"/>
      <c r="H126" s="425"/>
      <c r="J126" s="471"/>
      <c r="L126" s="471"/>
      <c r="M126" s="63"/>
      <c r="P126" s="425"/>
      <c r="R126" s="471"/>
      <c r="T126" s="471"/>
      <c r="U126" s="63"/>
    </row>
    <row r="127" spans="2:40" s="240" customFormat="1" ht="14.4" x14ac:dyDescent="0.25">
      <c r="B127" s="48" t="s">
        <v>190</v>
      </c>
      <c r="C127" s="60"/>
      <c r="D127" s="63" t="s">
        <v>191</v>
      </c>
      <c r="E127" s="1"/>
      <c r="F127" s="63"/>
      <c r="G127" s="3"/>
      <c r="H127" s="130"/>
      <c r="I127" s="347"/>
      <c r="J127" s="177"/>
      <c r="K127" s="347"/>
      <c r="L127" s="69"/>
      <c r="M127" s="348"/>
      <c r="N127" s="321"/>
      <c r="O127" s="321"/>
      <c r="P127" s="130">
        <f>'[1]Gas Cost '!AD73</f>
        <v>385939.07000000007</v>
      </c>
      <c r="Q127" s="347" t="s">
        <v>33</v>
      </c>
      <c r="R127" s="177">
        <f>P127/T127</f>
        <v>0.96484767500000013</v>
      </c>
      <c r="S127" s="347" t="s">
        <v>33</v>
      </c>
      <c r="T127" s="69">
        <v>400000</v>
      </c>
      <c r="U127" s="348" t="s">
        <v>33</v>
      </c>
      <c r="V127" s="321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39"/>
      <c r="AL127" s="239"/>
      <c r="AM127" s="239"/>
      <c r="AN127" s="239"/>
    </row>
    <row r="128" spans="2:40" s="240" customFormat="1" x14ac:dyDescent="0.25">
      <c r="B128" s="48"/>
      <c r="C128" s="60"/>
      <c r="D128" s="1"/>
      <c r="E128" s="1"/>
      <c r="F128" s="63"/>
      <c r="G128" s="3"/>
      <c r="H128" s="130"/>
      <c r="I128" s="347"/>
      <c r="J128" s="177"/>
      <c r="K128" s="347"/>
      <c r="L128" s="69"/>
      <c r="M128" s="348"/>
      <c r="N128" s="321"/>
      <c r="O128" s="321"/>
      <c r="P128" s="130"/>
      <c r="Q128" s="347"/>
      <c r="R128" s="177"/>
      <c r="S128" s="347"/>
      <c r="T128" s="69"/>
      <c r="U128" s="348"/>
      <c r="V128" s="321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39"/>
      <c r="AJ128" s="239"/>
      <c r="AK128" s="239"/>
      <c r="AL128" s="239"/>
      <c r="AM128" s="239"/>
      <c r="AN128" s="239"/>
    </row>
    <row r="129" spans="2:40" ht="13.8" thickBot="1" x14ac:dyDescent="0.3">
      <c r="B129" s="48"/>
      <c r="C129" s="472"/>
      <c r="D129" s="267"/>
      <c r="E129" s="267"/>
      <c r="F129" s="473"/>
      <c r="G129" s="127"/>
      <c r="H129" s="474"/>
      <c r="I129" s="475"/>
      <c r="J129" s="476"/>
      <c r="K129" s="272"/>
      <c r="L129" s="477"/>
      <c r="M129" s="478"/>
      <c r="N129" s="331"/>
      <c r="O129" s="331"/>
      <c r="P129" s="474"/>
      <c r="Q129" s="475"/>
      <c r="R129" s="476"/>
      <c r="S129" s="272"/>
      <c r="T129" s="477"/>
      <c r="U129" s="478"/>
      <c r="V129" s="331"/>
    </row>
    <row r="130" spans="2:40" x14ac:dyDescent="0.25">
      <c r="C130" s="62"/>
      <c r="D130" s="62"/>
      <c r="E130" s="62"/>
      <c r="F130" s="1"/>
      <c r="G130" s="109"/>
      <c r="I130" s="479"/>
    </row>
    <row r="132" spans="2:40" ht="15" customHeight="1" x14ac:dyDescent="0.25">
      <c r="C132" s="491" t="s">
        <v>192</v>
      </c>
      <c r="D132" s="492"/>
      <c r="E132" s="492"/>
      <c r="F132" s="493"/>
      <c r="G132" s="480"/>
    </row>
    <row r="133" spans="2:40" x14ac:dyDescent="0.25">
      <c r="C133" s="347">
        <v>1</v>
      </c>
      <c r="D133" s="347"/>
      <c r="E133" s="347"/>
      <c r="F133" s="2" t="s">
        <v>193</v>
      </c>
      <c r="H133" s="286"/>
      <c r="I133" s="286"/>
      <c r="P133" s="286"/>
      <c r="Q133" s="286"/>
    </row>
    <row r="134" spans="2:40" x14ac:dyDescent="0.25">
      <c r="B134" s="5"/>
      <c r="C134" s="347">
        <v>2</v>
      </c>
      <c r="D134" s="347"/>
      <c r="E134" s="347"/>
      <c r="F134" s="353" t="s">
        <v>194</v>
      </c>
      <c r="G134" s="127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B135" s="5"/>
      <c r="C135" s="347">
        <v>3</v>
      </c>
      <c r="D135" s="347"/>
      <c r="E135" s="347"/>
      <c r="F135" s="353" t="s">
        <v>195</v>
      </c>
      <c r="G135" s="127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B136" s="5"/>
      <c r="C136" s="347"/>
      <c r="D136" s="347"/>
      <c r="E136" s="347"/>
      <c r="F136" s="353"/>
      <c r="G136" s="127"/>
      <c r="I136" s="481"/>
      <c r="Q136" s="481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B137" s="5"/>
      <c r="C137" s="347"/>
      <c r="D137" s="482"/>
      <c r="E137" s="482"/>
      <c r="F137" s="353"/>
      <c r="G137" s="127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B138" s="5"/>
      <c r="G138" s="127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40" spans="2:40" x14ac:dyDescent="0.25">
      <c r="B140" s="5"/>
      <c r="H140" s="483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B141" s="5"/>
      <c r="H141" s="4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6" spans="2:40" ht="13.5" customHeight="1" x14ac:dyDescent="0.25">
      <c r="B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2:40" x14ac:dyDescent="0.25">
      <c r="B147" s="5"/>
      <c r="C147" s="62"/>
      <c r="D147" s="62"/>
      <c r="E147" s="62"/>
      <c r="F147" s="1"/>
      <c r="G147" s="109"/>
      <c r="H147" s="484">
        <f>'[1]Elec Cost '!AE130</f>
        <v>0</v>
      </c>
      <c r="I147" s="479">
        <f>'[1]kWh Data Entry'!AC83/1000</f>
        <v>237925.478</v>
      </c>
      <c r="K147" s="485"/>
      <c r="P147" s="484">
        <f>'[1]Gas Cost '!AD74</f>
        <v>18141063.870000001</v>
      </c>
      <c r="Q147" s="479">
        <f>'[1]Therms Data Entry'!AB61</f>
        <v>3771315</v>
      </c>
      <c r="S147" s="48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2:40" x14ac:dyDescent="0.25">
      <c r="B148" s="5"/>
      <c r="C148" s="1"/>
      <c r="D148" s="1"/>
      <c r="E148" s="1"/>
      <c r="F148" s="1"/>
      <c r="G148" s="109"/>
      <c r="H148" s="4">
        <f>H123-H147</f>
        <v>73398438.120000005</v>
      </c>
      <c r="I148" s="479">
        <f>I123-I147</f>
        <v>0</v>
      </c>
      <c r="P148" s="4">
        <f>P147-P123-P127</f>
        <v>0</v>
      </c>
      <c r="Q148" s="479">
        <f>Q147-Q123</f>
        <v>543156</v>
      </c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2:40" ht="14.25" customHeight="1" x14ac:dyDescent="0.25">
      <c r="B149" s="5"/>
      <c r="C149" s="1"/>
      <c r="D149" s="1"/>
      <c r="E149" s="1"/>
      <c r="F149" s="1"/>
      <c r="G149" s="109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</sheetData>
  <mergeCells count="14">
    <mergeCell ref="H12:M12"/>
    <mergeCell ref="P12:U12"/>
    <mergeCell ref="B72:B77"/>
    <mergeCell ref="C132:F132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4">
    <cfRule type="cellIs" dxfId="24" priority="25" operator="notBetween">
      <formula>$H$35+3</formula>
      <formula>$H$35-3</formula>
    </cfRule>
  </conditionalFormatting>
  <conditionalFormatting sqref="H54">
    <cfRule type="cellIs" dxfId="23" priority="24" operator="notBetween">
      <formula>$H$55+3</formula>
      <formula>$H$55-3</formula>
    </cfRule>
  </conditionalFormatting>
  <conditionalFormatting sqref="H60">
    <cfRule type="cellIs" dxfId="22" priority="23" operator="notBetween">
      <formula>$H$61+3</formula>
      <formula>$H$61-3</formula>
    </cfRule>
  </conditionalFormatting>
  <conditionalFormatting sqref="H67">
    <cfRule type="cellIs" dxfId="21" priority="22" operator="notBetween">
      <formula>$H$68+3</formula>
      <formula>$H$68-3</formula>
    </cfRule>
  </conditionalFormatting>
  <conditionalFormatting sqref="H99">
    <cfRule type="cellIs" dxfId="20" priority="21" operator="notBetween">
      <formula>$H$100+3</formula>
      <formula>$H$100-3</formula>
    </cfRule>
  </conditionalFormatting>
  <conditionalFormatting sqref="H108">
    <cfRule type="cellIs" dxfId="19" priority="20" operator="notBetween">
      <formula>$H$109+3</formula>
      <formula>$H$109-3</formula>
    </cfRule>
  </conditionalFormatting>
  <conditionalFormatting sqref="H121">
    <cfRule type="cellIs" dxfId="18" priority="19" operator="notBetween">
      <formula>$H$122+3</formula>
      <formula>$H$122-3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60">
    <cfRule type="cellIs" dxfId="16" priority="17" operator="notBetween">
      <formula>$I$61+3</formula>
      <formula>$I$61-3</formula>
    </cfRule>
  </conditionalFormatting>
  <conditionalFormatting sqref="I67">
    <cfRule type="cellIs" dxfId="15" priority="16" operator="notBetween">
      <formula>$I$68+3</formula>
      <formula>$I$68-3</formula>
    </cfRule>
  </conditionalFormatting>
  <conditionalFormatting sqref="P34">
    <cfRule type="cellIs" dxfId="14" priority="15" operator="notBetween">
      <formula>$P$35+3</formula>
      <formula>$P$35-3</formula>
    </cfRule>
  </conditionalFormatting>
  <conditionalFormatting sqref="P54">
    <cfRule type="cellIs" dxfId="13" priority="14" operator="notBetween">
      <formula>$P$55+3</formula>
      <formula>$P$55-3</formula>
    </cfRule>
  </conditionalFormatting>
  <conditionalFormatting sqref="P60">
    <cfRule type="cellIs" dxfId="12" priority="13" operator="notBetween">
      <formula>$P$61+3</formula>
      <formula>$P$61-3</formula>
    </cfRule>
  </conditionalFormatting>
  <conditionalFormatting sqref="P67">
    <cfRule type="cellIs" dxfId="11" priority="12" operator="notBetween">
      <formula>$P$68+3</formula>
      <formula>$P$68-3</formula>
    </cfRule>
  </conditionalFormatting>
  <conditionalFormatting sqref="P99">
    <cfRule type="cellIs" dxfId="10" priority="11" operator="notBetween">
      <formula>$P$100+3</formula>
      <formula>$P$100-3</formula>
    </cfRule>
  </conditionalFormatting>
  <conditionalFormatting sqref="P108">
    <cfRule type="cellIs" dxfId="9" priority="10" operator="notBetween">
      <formula>$P$109+3</formula>
      <formula>$P$109-3</formula>
    </cfRule>
  </conditionalFormatting>
  <conditionalFormatting sqref="Q34">
    <cfRule type="cellIs" dxfId="8" priority="9" operator="notBetween">
      <formula>$Q$35+3</formula>
      <formula>$Q$35-3</formula>
    </cfRule>
  </conditionalFormatting>
  <conditionalFormatting sqref="Q54">
    <cfRule type="cellIs" dxfId="7" priority="8" operator="notBetween">
      <formula>$Q$55+3</formula>
      <formula>$Q$55-3</formula>
    </cfRule>
  </conditionalFormatting>
  <conditionalFormatting sqref="I54">
    <cfRule type="cellIs" dxfId="6" priority="1" operator="notBetween">
      <formula>$I55+3</formula>
      <formula>$I$55-3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B80D8FB3-E935-4BF2-82AD-493BBD47C277}">
            <xm:f>'\\Sestdpt1\sopscci\2-Budget &amp; Administration\Tracking\2019 Program Tracking\TRACKING\[2019 Energy Efficiency Program Tracking - MASTER.xlsx]Gas Cost '!#REF!+3</xm:f>
            <xm:f>'\\Sestdpt1\sopscci\2-Budget &amp; Administration\Tracking\2019 Program Tracking\TRACKING\[2019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P123</xm:sqref>
        </x14:conditionalFormatting>
        <x14:conditionalFormatting xmlns:xm="http://schemas.microsoft.com/office/excel/2006/main">
          <x14:cfRule type="cellIs" priority="6" operator="notBetween" id="{567DF839-BCF5-4DC7-A19F-9C400193B118}">
            <xm:f>'\\Sestdpt1\sopscci\2-Budget &amp; Administration\Tracking\2019 Program Tracking\TRACKING\[2019 Energy Efficiency Program Tracking - MASTER.xlsx]Therms Data Entry'!#REF!+3</xm:f>
            <xm:f>'\\Sestdpt1\sopscci\2-Budget &amp; Administration\Tracking\2019 Program Tracking\TRACKING\[2019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Q123</xm:sqref>
        </x14:conditionalFormatting>
        <x14:conditionalFormatting xmlns:xm="http://schemas.microsoft.com/office/excel/2006/main">
          <x14:cfRule type="cellIs" priority="5" operator="notBetween" id="{5942FF9A-1DBE-480B-BEE0-0E338BBBF4DE}">
            <xm:f>'\\Sestdpt1\sopscci\2-Budget &amp; Administration\Tracking\2019 Program Tracking\TRACKING\[2019 Energy Efficiency Program Tracking - MASTER.xlsx]Elec Cost '!#REF!+3</xm:f>
            <xm:f>'\\Sestdpt1\sopscci\2-Budget &amp; Administration\Tracking\2019 Program Tracking\TRACKING\[2019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H123</xm:sqref>
        </x14:conditionalFormatting>
        <x14:conditionalFormatting xmlns:xm="http://schemas.microsoft.com/office/excel/2006/main">
          <x14:cfRule type="cellIs" priority="4" operator="notBetween" id="{EEA872E3-FE5D-4E55-BB95-9754A330B515}">
            <xm:f>(('\\Sestdpt1\sopscci\2-Budget &amp; Administration\Tracking\2019 Program Tracking\TRACKING\[2019 Energy Efficiency Program Tracking - MASTER.xlsx]kWh Data Entry'!#REF!)/1000)+3</xm:f>
            <xm:f>(('\\Sestdpt1\sopscci\2-Budget &amp; Administration\Tracking\2019 Program Tracking\TRACKING\[2019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I123</xm:sqref>
        </x14:conditionalFormatting>
        <x14:conditionalFormatting xmlns:xm="http://schemas.microsoft.com/office/excel/2006/main">
          <x14:cfRule type="cellIs" priority="3" operator="notBetween" id="{1C1B8132-DAB5-4133-A647-C98294A28221}">
            <xm:f>'\\Sestdpt1\sopscci\2-Budget &amp; Administration\Tracking\2019 Program Tracking\TRACKING\[2019 Energy Efficiency Program Tracking - MASTER.xlsx]Gas Cost '!#REF!+3</xm:f>
            <xm:f>'\\Sestdpt1\sopscci\2-Budget &amp; Administration\Tracking\2019 Program Tracking\TRACKING\[2019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P72</xm:sqref>
        </x14:conditionalFormatting>
        <x14:conditionalFormatting xmlns:xm="http://schemas.microsoft.com/office/excel/2006/main">
          <x14:cfRule type="cellIs" priority="2" operator="notBetween" id="{9E304C56-51BA-4C75-96F8-ADDC395D61FA}">
            <xm:f>'\\Sestdpt1\sopscci\2-Budget &amp; Administration\Tracking\2019 Program Tracking\TRACKING\[2019 Energy Efficiency Program Tracking - MASTER.xlsx]Elec Cost '!#REF!+3</xm:f>
            <xm:f>'\\Sestdpt1\sopscci\2-Budget &amp; Administration\Tracking\2019 Program Tracking\TRACKING\[2019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37E72B-33FF-4762-A0C2-699DC4B54A85}"/>
</file>

<file path=customXml/itemProps2.xml><?xml version="1.0" encoding="utf-8"?>
<ds:datastoreItem xmlns:ds="http://schemas.openxmlformats.org/officeDocument/2006/customXml" ds:itemID="{8C05FABB-CACC-4562-8D47-5616667D7B17}"/>
</file>

<file path=customXml/itemProps3.xml><?xml version="1.0" encoding="utf-8"?>
<ds:datastoreItem xmlns:ds="http://schemas.openxmlformats.org/officeDocument/2006/customXml" ds:itemID="{910C9DA4-8604-483C-AE5A-8E0FA9444A4C}"/>
</file>

<file path=customXml/itemProps4.xml><?xml version="1.0" encoding="utf-8"?>
<ds:datastoreItem xmlns:ds="http://schemas.openxmlformats.org/officeDocument/2006/customXml" ds:itemID="{D79B77C0-AC0D-47CD-805F-3CE7B8F0B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(ACP!)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dcterms:created xsi:type="dcterms:W3CDTF">2020-03-12T13:56:20Z</dcterms:created>
  <dcterms:modified xsi:type="dcterms:W3CDTF">2020-04-09T16:14:39Z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