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Exhibit No.__(JRS-11) p1" sheetId="1" r:id="rId1"/>
    <sheet name="Exhibit No.__(JRS-11) p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[2]Actual!#REF!</definedName>
    <definedName name="\Q">[2]Actual!#REF!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123Graph_A" localSheetId="0" hidden="1">[3]Inputs!#REF!</definedName>
    <definedName name="__123Graph_A" hidden="1">[3]Inputs!#REF!</definedName>
    <definedName name="__123Graph_B" localSheetId="0" hidden="1">[3]Inputs!#REF!</definedName>
    <definedName name="__123Graph_B" hidden="1">[3]Inputs!#REF!</definedName>
    <definedName name="__123Graph_D" localSheetId="0" hidden="1">[3]Inputs!#REF!</definedName>
    <definedName name="__123Graph_D" hidden="1">[3]Inputs!#REF!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B" localSheetId="0">'[4]Rate Design'!#REF!</definedName>
    <definedName name="_B">'[4]Rate Design'!#REF!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Order1" hidden="1">0</definedName>
    <definedName name="_Order2" hidden="1">0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_TOP1" localSheetId="0">[1]Jan!#REF!</definedName>
    <definedName name="_TOP1">[1]Jan!#REF!</definedName>
    <definedName name="a" hidden="1">'[3]DSM Output'!$J$21:$J$23</definedName>
    <definedName name="Acct108364" localSheetId="0">'[5]Func Study'!#REF!</definedName>
    <definedName name="Acct108364">'[5]Func Study'!#REF!</definedName>
    <definedName name="Acct108364S" localSheetId="0">'[5]Func Study'!#REF!</definedName>
    <definedName name="Acct108364S">'[5]Func Study'!#REF!</definedName>
    <definedName name="Acct228.42TROJD" localSheetId="0">'[6]Func Study'!#REF!</definedName>
    <definedName name="Acct228.42TROJD">'[6]Func Study'!#REF!</definedName>
    <definedName name="Acct2281SO">'[7]Func Study'!$H$2190</definedName>
    <definedName name="Acct2283SO">'[7]Func Study'!$H$2198</definedName>
    <definedName name="Acct22842TROJD" localSheetId="0">'[6]Func Study'!#REF!</definedName>
    <definedName name="Acct22842TROJD">'[6]Func Study'!#REF!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1011" localSheetId="0">'[8]Functional Study'!#REF!</definedName>
    <definedName name="Acct41011">'[8]Functional Study'!#REF!</definedName>
    <definedName name="Acct41011BADDEBT" localSheetId="0">'[8]Functional Study'!#REF!</definedName>
    <definedName name="Acct41011BADDEBT">'[8]Functional Study'!#REF!</definedName>
    <definedName name="Acct41011DITEXP" localSheetId="0">'[8]Functional Study'!#REF!</definedName>
    <definedName name="Acct41011DITEXP">'[8]Functional Study'!#REF!</definedName>
    <definedName name="Acct41011S" localSheetId="0">'[8]Functional Study'!#REF!</definedName>
    <definedName name="Acct41011S">'[8]Functional Study'!#REF!</definedName>
    <definedName name="Acct41011SE" localSheetId="0">'[8]Functional Study'!#REF!</definedName>
    <definedName name="Acct41011SE">'[8]Functional Study'!#REF!</definedName>
    <definedName name="Acct41011SG1" localSheetId="0">'[8]Functional Study'!#REF!</definedName>
    <definedName name="Acct41011SG1">'[8]Functional Study'!#REF!</definedName>
    <definedName name="Acct41011SG2" localSheetId="0">'[8]Functional Study'!#REF!</definedName>
    <definedName name="Acct41011SG2">'[8]Functional Study'!#REF!</definedName>
    <definedName name="ACCT41011SGCT" localSheetId="0">'[8]Functional Study'!#REF!</definedName>
    <definedName name="ACCT41011SGCT">'[8]Functional Study'!#REF!</definedName>
    <definedName name="Acct41011SGPP" localSheetId="0">'[8]Functional Study'!#REF!</definedName>
    <definedName name="Acct41011SGPP">'[8]Functional Study'!#REF!</definedName>
    <definedName name="Acct41011SNP" localSheetId="0">'[8]Functional Study'!#REF!</definedName>
    <definedName name="Acct41011SNP">'[8]Functional Study'!#REF!</definedName>
    <definedName name="ACCT41011SNPD" localSheetId="0">'[8]Functional Study'!#REF!</definedName>
    <definedName name="ACCT41011SNPD">'[8]Functional Study'!#REF!</definedName>
    <definedName name="Acct41011SO" localSheetId="0">'[8]Functional Study'!#REF!</definedName>
    <definedName name="Acct41011SO">'[8]Functional Study'!#REF!</definedName>
    <definedName name="Acct41011TROJP" localSheetId="0">'[8]Functional Study'!#REF!</definedName>
    <definedName name="Acct41011TROJP">'[8]Functional Study'!#REF!</definedName>
    <definedName name="Acct41111" localSheetId="0">'[8]Functional Study'!#REF!</definedName>
    <definedName name="Acct41111">'[8]Functional Study'!#REF!</definedName>
    <definedName name="Acct41111BADDEBT" localSheetId="0">'[8]Functional Study'!#REF!</definedName>
    <definedName name="Acct41111BADDEBT">'[8]Functional Study'!#REF!</definedName>
    <definedName name="Acct41111DITEXP" localSheetId="0">'[8]Functional Study'!#REF!</definedName>
    <definedName name="Acct41111DITEXP">'[8]Functional Study'!#REF!</definedName>
    <definedName name="Acct41111S" localSheetId="0">'[8]Functional Study'!#REF!</definedName>
    <definedName name="Acct41111S">'[8]Functional Study'!#REF!</definedName>
    <definedName name="Acct41111SE" localSheetId="0">'[8]Functional Study'!#REF!</definedName>
    <definedName name="Acct41111SE">'[8]Functional Study'!#REF!</definedName>
    <definedName name="Acct41111SG1" localSheetId="0">'[8]Functional Study'!#REF!</definedName>
    <definedName name="Acct41111SG1">'[8]Functional Study'!#REF!</definedName>
    <definedName name="Acct41111SG2" localSheetId="0">'[8]Functional Study'!#REF!</definedName>
    <definedName name="Acct41111SG2">'[8]Functional Study'!#REF!</definedName>
    <definedName name="Acct41111SG3" localSheetId="0">'[8]Functional Study'!#REF!</definedName>
    <definedName name="Acct41111SG3">'[8]Functional Study'!#REF!</definedName>
    <definedName name="Acct41111SGPP" localSheetId="0">'[8]Functional Study'!#REF!</definedName>
    <definedName name="Acct41111SGPP">'[8]Functional Study'!#REF!</definedName>
    <definedName name="Acct41111SNP" localSheetId="0">'[8]Functional Study'!#REF!</definedName>
    <definedName name="Acct41111SNP">'[8]Functional Study'!#REF!</definedName>
    <definedName name="Acct41111SNTP" localSheetId="0">'[8]Functional Study'!#REF!</definedName>
    <definedName name="Acct41111SNTP">'[8]Functional Study'!#REF!</definedName>
    <definedName name="Acct41111SO" localSheetId="0">'[8]Functional Study'!#REF!</definedName>
    <definedName name="Acct41111SO">'[8]Functional Study'!#REF!</definedName>
    <definedName name="Acct41111TROJP" localSheetId="0">'[8]Functional Study'!#REF!</definedName>
    <definedName name="Acct41111TROJP">'[8]Functional Study'!#REF!</definedName>
    <definedName name="Acct411BADDEBT" localSheetId="0">'[8]Functional Study'!#REF!</definedName>
    <definedName name="Acct411BADDEBT">'[8]Functional Study'!#REF!</definedName>
    <definedName name="Acct411DGP" localSheetId="0">'[8]Functional Study'!#REF!</definedName>
    <definedName name="Acct411DGP">'[8]Functional Study'!#REF!</definedName>
    <definedName name="Acct411DGU" localSheetId="0">'[8]Functional Study'!#REF!</definedName>
    <definedName name="Acct411DGU">'[8]Functional Study'!#REF!</definedName>
    <definedName name="Acct411DITEXP" localSheetId="0">'[8]Functional Study'!#REF!</definedName>
    <definedName name="Acct411DITEXP">'[8]Functional Study'!#REF!</definedName>
    <definedName name="Acct411DNPP" localSheetId="0">'[8]Functional Study'!#REF!</definedName>
    <definedName name="Acct411DNPP">'[8]Functional Study'!#REF!</definedName>
    <definedName name="Acct411DNPTP" localSheetId="0">'[8]Functional Study'!#REF!</definedName>
    <definedName name="Acct411DNPTP">'[8]Functional Study'!#REF!</definedName>
    <definedName name="Acct411S" localSheetId="0">'[8]Functional Study'!#REF!</definedName>
    <definedName name="Acct411S">'[8]Functional Study'!#REF!</definedName>
    <definedName name="Acct411SE" localSheetId="0">'[8]Functional Study'!#REF!</definedName>
    <definedName name="Acct411SE">'[8]Functional Study'!#REF!</definedName>
    <definedName name="Acct411SG" localSheetId="0">'[8]Functional Study'!#REF!</definedName>
    <definedName name="Acct411SG">'[8]Functional Study'!#REF!</definedName>
    <definedName name="Acct411SGPP" localSheetId="0">'[8]Functional Study'!#REF!</definedName>
    <definedName name="Acct411SGPP">'[8]Functional Study'!#REF!</definedName>
    <definedName name="Acct411SO" localSheetId="0">'[8]Functional Study'!#REF!</definedName>
    <definedName name="Acct411SO">'[8]Functional Study'!#REF!</definedName>
    <definedName name="Acct411TROJP" localSheetId="0">'[8]Functional Study'!#REF!</definedName>
    <definedName name="Acct411TROJP">'[8]Functional Study'!#REF!</definedName>
    <definedName name="Acct447DGU" localSheetId="0">'[6]Func Study'!#REF!</definedName>
    <definedName name="Acct447DGU">'[6]Func Study'!#REF!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10">'[7]Func Study'!#REF!</definedName>
    <definedName name="Acct510DNPPSU">'[7]Func Study'!#REF!</definedName>
    <definedName name="ACCT510JBG">'[7]Func Study'!#REF!</definedName>
    <definedName name="ACCT510SSGCH">'[7]Func Study'!#REF!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904SG" localSheetId="0">'[9]Functional Study'!#REF!</definedName>
    <definedName name="ACCT904SG">'[9]Functional Study'!#REF!</definedName>
    <definedName name="AcctAGA">'[7]Func Study'!$H$296</definedName>
    <definedName name="AcctDFAD">'[7]Func Study'!#REF!</definedName>
    <definedName name="AcctDFAP">'[7]Func Study'!#REF!</definedName>
    <definedName name="AcctDFAT">'[7]Func Study'!#REF!</definedName>
    <definedName name="AcctTable">[10]Variables!$AK$42:$AK$396</definedName>
    <definedName name="AcctTS0">'[7]Func Study'!$H$1686</definedName>
    <definedName name="ActualROR">'[6]G+T+D+R+M'!$H$61</definedName>
    <definedName name="Adjs2avg">[11]Inputs!$L$255:'[11]Inputs'!$T$505</definedName>
    <definedName name="APR" localSheetId="0">[12]Backup!#REF!</definedName>
    <definedName name="APR">[12]Backup!#REF!</definedName>
    <definedName name="APRT" localSheetId="0">#REF!</definedName>
    <definedName name="APRT">#REF!</definedName>
    <definedName name="AUG" localSheetId="0">[12]Backup!#REF!</definedName>
    <definedName name="AUG">[12]Backup!#REF!</definedName>
    <definedName name="AUGT" localSheetId="0">#REF!</definedName>
    <definedName name="AUGT">#REF!</definedName>
    <definedName name="AvgFactors">[10]Factors!$B$3:$P$99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OOKADJ" localSheetId="0">#REF!</definedName>
    <definedName name="BOOKADJ">#REF!</definedName>
    <definedName name="cap">[13]Readings!$B$2</definedName>
    <definedName name="Check" localSheetId="0">#REF!</definedName>
    <definedName name="Check">#REF!</definedName>
    <definedName name="Classification">'[7]Func Study'!$AB$251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SFacVal">[7]Inputs!$R$5</definedName>
    <definedName name="_xlnm.Database" localSheetId="0">[14]Invoice!#REF!</definedName>
    <definedName name="_xlnm.Database">[14]Invoice!#REF!</definedName>
    <definedName name="DATE" localSheetId="0">[15]Jan!#REF!</definedName>
    <definedName name="DATE">[15]Jan!#REF!</definedName>
    <definedName name="DEC" localSheetId="0">[12]Backup!#REF!</definedName>
    <definedName name="DEC">[12]Backup!#REF!</definedName>
    <definedName name="DECT" localSheetId="0">#REF!</definedName>
    <definedName name="DECT">#REF!</definedName>
    <definedName name="Demand">[6]Inputs!$D$8</definedName>
    <definedName name="Demand2">[16]Inputs!$D$11</definedName>
    <definedName name="Dis">'[7]Func Study'!$AB$250</definedName>
    <definedName name="DisFac">'[7]Func Dist Factor Table'!$A$11:$G$25</definedName>
    <definedName name="Dist_factor" localSheetId="0">#REF!</definedName>
    <definedName name="Dist_factor">#REF!</definedName>
    <definedName name="DistPeakMethod" localSheetId="0">[9]Inputs!#REF!</definedName>
    <definedName name="DistPeakMethod">[9]Inputs!#REF!</definedName>
    <definedName name="DUDE" localSheetId="0" hidden="1">#REF!</definedName>
    <definedName name="DUDE" hidden="1">#REF!</definedName>
    <definedName name="energy">[13]Readings!$B$3</definedName>
    <definedName name="Engy">[6]Inputs!$D$9</definedName>
    <definedName name="Engy2">[16]Inputs!$D$12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ck">'[7]COS Factor Table'!$O$15:$O$113</definedName>
    <definedName name="FactorType">[10]Variables!$AK$2:$AL$12</definedName>
    <definedName name="FACTP" localSheetId="0">#REF!</definedName>
    <definedName name="FACTP">#REF!</definedName>
    <definedName name="FactSum">'[7]COS Factor Table'!$A$14:$O$113</definedName>
    <definedName name="FEB" localSheetId="0">[12]Backup!#REF!</definedName>
    <definedName name="FEB">[12]Backup!#REF!</definedName>
    <definedName name="FEBT" localSheetId="0">#REF!</definedName>
    <definedName name="FEBT">#REF!</definedName>
    <definedName name="FranchiseTax">[11]Variables!$D$26</definedName>
    <definedName name="Func">'[7]Func Factor Table'!$A$10:$H$77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Function">'[7]Func Study'!$AB$250</definedName>
    <definedName name="GREATER10MW" localSheetId="0">#REF!</definedName>
    <definedName name="GREATER10MW">#REF!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0">[17]Summary!#REF!</definedName>
    <definedName name="INPUT">[17]Summary!#REF!</definedName>
    <definedName name="Instructions" localSheetId="0">#REF!</definedName>
    <definedName name="Instructions">#REF!</definedName>
    <definedName name="JAN" localSheetId="0">[12]Backup!#REF!</definedName>
    <definedName name="JAN">[12]Backup!#REF!</definedName>
    <definedName name="JANT" localSheetId="0">#REF!</definedName>
    <definedName name="JANT">#REF!</definedName>
    <definedName name="jjj" localSheetId="0">[18]Inputs!$N$18</definedName>
    <definedName name="jjj">[18]Inputs!$N$18</definedName>
    <definedName name="JUL" localSheetId="0">[12]Backup!#REF!</definedName>
    <definedName name="JUL">[12]Backup!#REF!</definedName>
    <definedName name="JULT" localSheetId="0">#REF!</definedName>
    <definedName name="JULT">#REF!</definedName>
    <definedName name="JUN" localSheetId="0">[12]Backup!#REF!</definedName>
    <definedName name="JUN">[12]Backup!#REF!</definedName>
    <definedName name="JUNT" localSheetId="0">#REF!</definedName>
    <definedName name="JUNT">#REF!</definedName>
    <definedName name="Jurisdiction">[10]Variables!$AK$15</definedName>
    <definedName name="JurisNumber">[10]Variables!$AL$15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imcount" hidden="1">1</definedName>
    <definedName name="Line_Ext_Credit" localSheetId="0">#REF!</definedName>
    <definedName name="Line_Ext_Credit">#REF!</definedName>
    <definedName name="LinkCos">'[7]JAM Download'!$K$4</definedName>
    <definedName name="LOG" localSheetId="0">[12]Backup!#REF!</definedName>
    <definedName name="LOG">[12]Backup!#REF!</definedName>
    <definedName name="LOSS" localSheetId="0">[12]Backup!#REF!</definedName>
    <definedName name="LOSS">[12]Backup!#REF!</definedName>
    <definedName name="MACTIT" localSheetId="0">#REF!</definedName>
    <definedName name="MACTIT">#REF!</definedName>
    <definedName name="MAR" localSheetId="0">[12]Backup!#REF!</definedName>
    <definedName name="MAR">[12]Backup!#REF!</definedName>
    <definedName name="MART" localSheetId="0">#REF!</definedName>
    <definedName name="MART">#REF!</definedName>
    <definedName name="MAY" localSheetId="0">[12]Backup!#REF!</definedName>
    <definedName name="MAY">[12]Backup!#REF!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[6]Inputs!$C$6</definedName>
    <definedName name="MONTH" localSheetId="0">[12]Backup!#REF!</definedName>
    <definedName name="MONTH">[12]Backup!#REF!</definedName>
    <definedName name="monthlist">[19]Table!$R$2:$S$13</definedName>
    <definedName name="monthtotals">'[19]WA SBC'!$D$40:$O$40</definedName>
    <definedName name="MTKWH" localSheetId="0">#REF!</definedName>
    <definedName name="MTKWH">#REF!</definedName>
    <definedName name="MTR_YR3">[20]Variables!$E$14</definedName>
    <definedName name="MTREV" localSheetId="0">#REF!</definedName>
    <definedName name="MTREV">#REF!</definedName>
    <definedName name="MULT" localSheetId="0">#REF!</definedName>
    <definedName name="MULT">#REF!</definedName>
    <definedName name="Net_to_Gross_Factor">[7]Inputs!$G$8</definedName>
    <definedName name="NetToGross">[11]Variables!$D$23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RMALIZE" localSheetId="0">#REF!</definedName>
    <definedName name="NORMALIZE">#REF!</definedName>
    <definedName name="NOV" localSheetId="0">[12]Backup!#REF!</definedName>
    <definedName name="NOV">[12]Backup!#REF!</definedName>
    <definedName name="NOVT" localSheetId="0">#REF!</definedName>
    <definedName name="NOVT">#REF!</definedName>
    <definedName name="NPC" localSheetId="0">[9]Inputs!$N$18</definedName>
    <definedName name="NPC">[9]Inputs!$N$18</definedName>
    <definedName name="NUM" localSheetId="0">#REF!</definedName>
    <definedName name="NUM">#REF!</definedName>
    <definedName name="OCT" localSheetId="0">[12]Backup!#REF!</definedName>
    <definedName name="OCT">[12]Backup!#REF!</definedName>
    <definedName name="OCTT" localSheetId="0">#REF!</definedName>
    <definedName name="OCTT">#REF!</definedName>
    <definedName name="ONE" localSheetId="0">[1]Jan!#REF!</definedName>
    <definedName name="ONE">[1]Jan!#REF!</definedName>
    <definedName name="option">'[21]Dist Misc'!$F$120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[22]TransInvest!#REF!</definedName>
    <definedName name="Page62">[22]TransInvest!#REF!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Method">[6]Inputs!$T$5</definedName>
    <definedName name="PMAC" localSheetId="0">[12]Backup!#REF!</definedName>
    <definedName name="PMAC">[12]Backup!#REF!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_xlnm.Print_Area" localSheetId="0">'Exhibit No.__(JRS-11) p1'!$A$1:$J$48</definedName>
    <definedName name="_xlnm.Print_Area" localSheetId="1">'Exhibit No.__(JRS-11) p2'!$A$1:$F$11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uery1" localSheetId="0">#REF!</definedName>
    <definedName name="Query1">#REF!</definedName>
    <definedName name="Rates">[23]Codes!$A$1:$C$500</definedName>
    <definedName name="RC_ADJ" localSheetId="0">#REF!</definedName>
    <definedName name="RC_ADJ">#REF!</definedName>
    <definedName name="RESADJ" localSheetId="0">#REF!</definedName>
    <definedName name="RESADJ">#REF!</definedName>
    <definedName name="ResourceSupplier">[11]Variables!$D$28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ass">[23]Codes!$F$2:$G$10</definedName>
    <definedName name="Revenue_by_month_take_2" localSheetId="0">#REF!</definedName>
    <definedName name="Revenue_by_month_take_2">#REF!</definedName>
    <definedName name="RevenueCheck" localSheetId="0">#REF!</definedName>
    <definedName name="RevenueCheck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 localSheetId="0">[9]Inputs!$N$14</definedName>
    <definedName name="Schedule">[9]Inputs!$N$14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[12]Backup!#REF!</definedName>
    <definedName name="SEP">[12]Backup!#REF!</definedName>
    <definedName name="SEPT" localSheetId="0">#REF!</definedName>
    <definedName name="SEPT">#REF!</definedName>
    <definedName name="SERVICES_3" localSheetId="0">#REF!</definedName>
    <definedName name="SERVICES_3">#REF!</definedName>
    <definedName name="sg" localSheetId="0">#REF!</definedName>
    <definedName name="sg">#REF!</definedName>
    <definedName name="START" localSheetId="0">[1]Jan!#REF!</definedName>
    <definedName name="START">[1]Jan!#REF!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ONE" localSheetId="0">#REF!</definedName>
    <definedName name="TABLEONE">#REF!</definedName>
    <definedName name="TargetROR">[6]Inputs!$G$29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Period">[7]Inputs!$C$5</definedName>
    <definedName name="TotalRateBase">'[7]G+T+D+R+M'!$H$58</definedName>
    <definedName name="TRANSM_2">[24]Transm2!$A$1:$M$461:'[24]10 Yr FC'!$M$47</definedName>
    <definedName name="UAACT115S" localSheetId="0">'[9]Functional Study'!#REF!</definedName>
    <definedName name="UAACT115S">'[9]Functional Study'!#REF!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15" localSheetId="0">'[9]Functional Study'!#REF!</definedName>
    <definedName name="UACCT115">'[9]Functional Study'!#REF!</definedName>
    <definedName name="UACCT115DGP" localSheetId="0">'[9]Functional Study'!#REF!</definedName>
    <definedName name="UACCT115DGP">'[9]Functional Study'!#REF!</definedName>
    <definedName name="UACCT115SG" localSheetId="0">'[9]Functional Study'!#REF!</definedName>
    <definedName name="UACCT115SG">'[9]Functional Study'!#REF!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2842Trojd" localSheetId="0">'[6]Func Study'!#REF!</definedName>
    <definedName name="UAcct22842Trojd">'[6]Func Study'!#REF!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020" localSheetId="0">'[8]Functional Study'!#REF!</definedName>
    <definedName name="UACCT41020">'[8]Functional Study'!#REF!</definedName>
    <definedName name="UACCT41020BADDEBT" localSheetId="0">'[8]Functional Study'!#REF!</definedName>
    <definedName name="UACCT41020BADDEBT">'[8]Functional Study'!#REF!</definedName>
    <definedName name="UACCT41020DITEXP" localSheetId="0">'[8]Functional Study'!#REF!</definedName>
    <definedName name="UACCT41020DITEXP">'[8]Functional Study'!#REF!</definedName>
    <definedName name="UACCT41020DNPU" localSheetId="0">'[8]Functional Study'!#REF!</definedName>
    <definedName name="UACCT41020DNPU">'[8]Functional Study'!#REF!</definedName>
    <definedName name="UACCT41020S" localSheetId="0">'[8]Functional Study'!#REF!</definedName>
    <definedName name="UACCT41020S">'[8]Functional Study'!#REF!</definedName>
    <definedName name="UACCT41020SE" localSheetId="0">'[8]Functional Study'!#REF!</definedName>
    <definedName name="UACCT41020SE">'[8]Functional Study'!#REF!</definedName>
    <definedName name="UACCT41020SG" localSheetId="0">'[8]Functional Study'!#REF!</definedName>
    <definedName name="UACCT41020SG">'[8]Functional Study'!#REF!</definedName>
    <definedName name="UACCT41020SGCT" localSheetId="0">'[8]Functional Study'!#REF!</definedName>
    <definedName name="UACCT41020SGCT">'[8]Functional Study'!#REF!</definedName>
    <definedName name="UACCT41020SGPP" localSheetId="0">'[8]Functional Study'!#REF!</definedName>
    <definedName name="UACCT41020SGPP">'[8]Functional Study'!#REF!</definedName>
    <definedName name="UACCT41020SO" localSheetId="0">'[8]Functional Study'!#REF!</definedName>
    <definedName name="UACCT41020SO">'[8]Functional Study'!#REF!</definedName>
    <definedName name="UACCT41020TROJP" localSheetId="0">'[8]Functional Study'!#REF!</definedName>
    <definedName name="UACCT41020TROJP">'[8]Functional Study'!#REF!</definedName>
    <definedName name="UACCT4102SNPD" localSheetId="0">'[8]Functional Study'!#REF!</definedName>
    <definedName name="UACCT4102SNPD">'[8]Functional Study'!#REF!</definedName>
    <definedName name="UAcct41110">'[7]Func Study'!$AB$1325</definedName>
    <definedName name="UAcct41111" localSheetId="0">'[8]Functional Study'!#REF!</definedName>
    <definedName name="UAcct41111">'[8]Functional Study'!#REF!</definedName>
    <definedName name="UAcct41111Baddebt" localSheetId="0">'[8]Functional Study'!#REF!</definedName>
    <definedName name="UAcct41111Baddebt">'[8]Functional Study'!#REF!</definedName>
    <definedName name="UAcct41111Dgp" localSheetId="0">'[8]Functional Study'!#REF!</definedName>
    <definedName name="UAcct41111Dgp">'[8]Functional Study'!#REF!</definedName>
    <definedName name="UAcct41111Dgu" localSheetId="0">'[8]Functional Study'!#REF!</definedName>
    <definedName name="UAcct41111Dgu">'[8]Functional Study'!#REF!</definedName>
    <definedName name="UAcct41111Ditexp" localSheetId="0">'[8]Functional Study'!#REF!</definedName>
    <definedName name="UAcct41111Ditexp">'[8]Functional Study'!#REF!</definedName>
    <definedName name="UAcct41111Dnpp" localSheetId="0">'[8]Functional Study'!#REF!</definedName>
    <definedName name="UAcct41111Dnpp">'[8]Functional Study'!#REF!</definedName>
    <definedName name="UAcct41111Dnptp" localSheetId="0">'[8]Functional Study'!#REF!</definedName>
    <definedName name="UAcct41111Dnptp">'[8]Functional Study'!#REF!</definedName>
    <definedName name="UAcct41111S" localSheetId="0">'[8]Functional Study'!#REF!</definedName>
    <definedName name="UAcct41111S">'[8]Functional Study'!#REF!</definedName>
    <definedName name="UAcct41111Se" localSheetId="0">'[8]Functional Study'!#REF!</definedName>
    <definedName name="UAcct41111Se">'[8]Functional Study'!#REF!</definedName>
    <definedName name="UAcct41111Sg" localSheetId="0">'[8]Functional Study'!#REF!</definedName>
    <definedName name="UAcct41111Sg">'[8]Functional Study'!#REF!</definedName>
    <definedName name="UAcct41111Sgpp" localSheetId="0">'[8]Functional Study'!#REF!</definedName>
    <definedName name="UAcct41111Sgpp">'[8]Functional Study'!#REF!</definedName>
    <definedName name="UAcct41111So" localSheetId="0">'[8]Functional Study'!#REF!</definedName>
    <definedName name="UAcct41111So">'[8]Functional Study'!#REF!</definedName>
    <definedName name="UAcct41111Trojp" localSheetId="0">'[8]Functional Study'!#REF!</definedName>
    <definedName name="UAcct41111Trojp">'[8]Functional Study'!#REF!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CAEE" localSheetId="0">'[5]Func Study'!#REF!</definedName>
    <definedName name="UAcct447CAEE">'[5]Func Study'!#REF!</definedName>
    <definedName name="UAcct447CAGE" localSheetId="0">'[5]Func Study'!#REF!</definedName>
    <definedName name="UAcct447CAGE">'[5]Func Study'!#REF!</definedName>
    <definedName name="UAcct447Dgu" localSheetId="0">'[6]Func Study'!#REF!</definedName>
    <definedName name="UAcct447Dgu">'[6]Func Study'!#REF!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3CAGE" localSheetId="0">'[5]Func Study'!#REF!</definedName>
    <definedName name="UAcct453CAGE">'[5]Func Study'!#REF!</definedName>
    <definedName name="UAcct453CAGW" localSheetId="0">'[5]Func Study'!#REF!</definedName>
    <definedName name="UAcct453CAGW">'[5]Func Study'!#REF!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2JBG" localSheetId="0">'[5]Func Study'!#REF!</definedName>
    <definedName name="UAcct502JBG">'[5]Func Study'!#REF!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5JBG" localSheetId="0">'[5]Func Study'!#REF!</definedName>
    <definedName name="UAcct505JBG">'[5]Func Study'!#REF!</definedName>
    <definedName name="UAcct506">'[7]Func Study'!$AB$455</definedName>
    <definedName name="UAcct506CAGE">'[7]Func Study'!$AB$452</definedName>
    <definedName name="UAcct506JBG" localSheetId="0">'[5]Func Study'!#REF!</definedName>
    <definedName name="UAcct506JBG">'[5]Func Study'!#REF!</definedName>
    <definedName name="UAcct507">'[7]Func Study'!$AB$464</definedName>
    <definedName name="UAcct507CAGE">'[7]Func Study'!$AB$462</definedName>
    <definedName name="UAcct507JBG" localSheetId="0">'[5]Func Study'!#REF!</definedName>
    <definedName name="UAcct507JBG">'[5]Func Study'!#REF!</definedName>
    <definedName name="UAcct510">'[7]Func Study'!$AB$469</definedName>
    <definedName name="UAcct510CAGE">'[7]Func Study'!$AB$467</definedName>
    <definedName name="UAcct510JBG" localSheetId="0">'[5]Func Study'!#REF!</definedName>
    <definedName name="UAcct510JBG">'[5]Func Study'!#REF!</definedName>
    <definedName name="UAcct511">'[7]Func Study'!$AB$474</definedName>
    <definedName name="UAcct511CAGE">'[7]Func Study'!$AB$472</definedName>
    <definedName name="UAcct511JBG" localSheetId="0">'[5]Func Study'!#REF!</definedName>
    <definedName name="UAcct511JBG">'[5]Func Study'!#REF!</definedName>
    <definedName name="UAcct512">'[7]Func Study'!$AB$479</definedName>
    <definedName name="UAcct512CAGE">'[7]Func Study'!$AB$477</definedName>
    <definedName name="UAcct512JBG" localSheetId="0">'[5]Func Study'!#REF!</definedName>
    <definedName name="UAcct512JBG">'[5]Func Study'!#REF!</definedName>
    <definedName name="UAcct513">'[7]Func Study'!$AB$484</definedName>
    <definedName name="UAcct513CAGE">'[7]Func Study'!$AB$482</definedName>
    <definedName name="UAcct513JBG" localSheetId="0">'[5]Func Study'!#REF!</definedName>
    <definedName name="UAcct513JBG">'[5]Func Study'!#REF!</definedName>
    <definedName name="UAcct514">'[7]Func Study'!$AB$489</definedName>
    <definedName name="UAcct514CAGE">'[7]Func Study'!$AB$487</definedName>
    <definedName name="UAcct514JBG" localSheetId="0">'[5]Func Study'!#REF!</definedName>
    <definedName name="UAcct514JBG">'[5]Func Study'!#REF!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06SE" localSheetId="0">'[5]Func Study'!#REF!</definedName>
    <definedName name="UAcct5506SE">'[5]Func Study'!#REF!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E" localSheetId="0">'[5]Func Study'!#REF!</definedName>
    <definedName name="UAcct555CAEE">'[5]Func Study'!#REF!</definedName>
    <definedName name="UAcct555CAEW">'[7]Func Study'!$AB$665</definedName>
    <definedName name="UAcct555CAGE" localSheetId="0">'[5]Func Study'!#REF!</definedName>
    <definedName name="UAcct555CAGE">'[5]Func Study'!#REF!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4SG" localSheetId="0">'[9]Functional Study'!#REF!</definedName>
    <definedName name="Uacct904SG">'[9]Functional Study'!#REF!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fa">'[7]Func Study'!#REF!</definedName>
    <definedName name="UAcctdfad">'[7]Func Study'!#REF!</definedName>
    <definedName name="UAcctdfap">'[7]Func Study'!#REF!</definedName>
    <definedName name="UAcctdfat">'[7]Func Study'!#REF!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NBILREV" localSheetId="0">#REF!</definedName>
    <definedName name="UNBILREV">#REF!</definedName>
    <definedName name="UncollectibleAccounts">[11]Variables!$D$25</definedName>
    <definedName name="UtGrossReceipts">[11]Variables!$D$29</definedName>
    <definedName name="ValidAccount">[10]Variables!$AK$43:$AK$369</definedName>
    <definedName name="VAR" localSheetId="0">[12]Backup!#REF!</definedName>
    <definedName name="VAR">[12]Backup!#REF!</definedName>
    <definedName name="VARIABLE" localSheetId="0">[17]Summary!#REF!</definedName>
    <definedName name="VARIABLE">[17]Summary!#REF!</definedName>
    <definedName name="VOUCHER" localSheetId="0">#REF!</definedName>
    <definedName name="VOUCHER">#REF!</definedName>
    <definedName name="WaRevenueTax">[11]Variables!$D$27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>'[25]Load Data'!$D$9:$H$12,'[25]Load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'[26]Weather Present'!$K$7</definedName>
    <definedName name="y" hidden="1">'[3]DSM Output'!$B$21:$B$23</definedName>
    <definedName name="Year" localSheetId="0">#REF!</definedName>
    <definedName name="Year">#REF!</definedName>
    <definedName name="YEFactors">[10]Factors!$S$3:$AG$99</definedName>
    <definedName name="z" hidden="1">'[3]DSM Output'!$G$21:$G$23</definedName>
    <definedName name="ZA" localSheetId="0">'[27] annual balance '!#REF!</definedName>
    <definedName name="ZA">'[27] annual balance '!#REF!</definedName>
  </definedNames>
  <calcPr calcId="145621" iterate="1"/>
</workbook>
</file>

<file path=xl/calcChain.xml><?xml version="1.0" encoding="utf-8"?>
<calcChain xmlns="http://schemas.openxmlformats.org/spreadsheetml/2006/main">
  <c r="B11" i="2" l="1"/>
  <c r="E10" i="2"/>
  <c r="C10" i="2" s="1"/>
  <c r="D10" i="2" s="1"/>
  <c r="C9" i="2"/>
  <c r="D9" i="2" s="1"/>
  <c r="E9" i="2"/>
  <c r="E8" i="2"/>
  <c r="C8" i="2"/>
  <c r="D8" i="2" s="1"/>
  <c r="B45" i="1"/>
  <c r="D40" i="1"/>
  <c r="C16" i="2" s="1"/>
  <c r="E36" i="1"/>
  <c r="D36" i="1"/>
  <c r="D37" i="1" s="1"/>
  <c r="F29" i="1"/>
  <c r="T26" i="1"/>
  <c r="P26" i="1"/>
  <c r="S26" i="1" s="1"/>
  <c r="J26" i="1"/>
  <c r="V26" i="1" s="1"/>
  <c r="G26" i="1"/>
  <c r="E26" i="1"/>
  <c r="L26" i="1" s="1"/>
  <c r="S25" i="1"/>
  <c r="P25" i="1"/>
  <c r="T25" i="1"/>
  <c r="E25" i="1"/>
  <c r="G25" i="1" s="1"/>
  <c r="T24" i="1"/>
  <c r="P24" i="1"/>
  <c r="S24" i="1" s="1"/>
  <c r="J24" i="1"/>
  <c r="V24" i="1" s="1"/>
  <c r="G24" i="1"/>
  <c r="E24" i="1"/>
  <c r="L24" i="1" s="1"/>
  <c r="S23" i="1"/>
  <c r="P23" i="1"/>
  <c r="T23" i="1"/>
  <c r="E23" i="1"/>
  <c r="G23" i="1" s="1"/>
  <c r="T22" i="1"/>
  <c r="P22" i="1"/>
  <c r="S22" i="1" s="1"/>
  <c r="J22" i="1"/>
  <c r="V22" i="1" s="1"/>
  <c r="G22" i="1"/>
  <c r="E22" i="1"/>
  <c r="L22" i="1" s="1"/>
  <c r="S21" i="1"/>
  <c r="P21" i="1"/>
  <c r="T21" i="1"/>
  <c r="E21" i="1"/>
  <c r="G21" i="1" s="1"/>
  <c r="T20" i="1"/>
  <c r="P20" i="1"/>
  <c r="S20" i="1" s="1"/>
  <c r="J20" i="1"/>
  <c r="V20" i="1" s="1"/>
  <c r="G20" i="1"/>
  <c r="E20" i="1"/>
  <c r="L20" i="1" s="1"/>
  <c r="S19" i="1"/>
  <c r="P19" i="1"/>
  <c r="T19" i="1"/>
  <c r="E19" i="1"/>
  <c r="G19" i="1" s="1"/>
  <c r="T18" i="1"/>
  <c r="P18" i="1"/>
  <c r="S18" i="1" s="1"/>
  <c r="J18" i="1"/>
  <c r="V18" i="1" s="1"/>
  <c r="V17" i="1" s="1"/>
  <c r="G18" i="1"/>
  <c r="E18" i="1"/>
  <c r="L18" i="1" s="1"/>
  <c r="S17" i="1"/>
  <c r="P17" i="1"/>
  <c r="L17" i="1"/>
  <c r="G17" i="1"/>
  <c r="E17" i="1"/>
  <c r="T17" i="1" s="1"/>
  <c r="S16" i="1"/>
  <c r="P16" i="1"/>
  <c r="T16" i="1"/>
  <c r="E16" i="1"/>
  <c r="G16" i="1" s="1"/>
  <c r="T15" i="1"/>
  <c r="P15" i="1"/>
  <c r="S15" i="1" s="1"/>
  <c r="J15" i="1"/>
  <c r="V15" i="1" s="1"/>
  <c r="H15" i="1"/>
  <c r="G15" i="1"/>
  <c r="E15" i="1"/>
  <c r="L15" i="1" s="1"/>
  <c r="S14" i="1"/>
  <c r="S27" i="1" s="1"/>
  <c r="P14" i="1"/>
  <c r="T14" i="1"/>
  <c r="E14" i="1"/>
  <c r="G14" i="1" s="1"/>
  <c r="T11" i="1"/>
  <c r="E11" i="1"/>
  <c r="E47" i="1" s="1"/>
  <c r="D11" i="1"/>
  <c r="S11" i="1" s="1"/>
  <c r="C11" i="1"/>
  <c r="D10" i="1"/>
  <c r="D39" i="1" s="1"/>
  <c r="T9" i="1"/>
  <c r="T27" i="1" l="1"/>
  <c r="F11" i="1"/>
  <c r="L14" i="1"/>
  <c r="L19" i="1"/>
  <c r="L23" i="1"/>
  <c r="H27" i="1"/>
  <c r="F11" i="2"/>
  <c r="J16" i="1"/>
  <c r="V16" i="1" s="1"/>
  <c r="J17" i="1"/>
  <c r="J21" i="1"/>
  <c r="V21" i="1" s="1"/>
  <c r="J25" i="1"/>
  <c r="V25" i="1" s="1"/>
  <c r="C11" i="2"/>
  <c r="L16" i="1"/>
  <c r="L21" i="1"/>
  <c r="L25" i="1"/>
  <c r="P27" i="1"/>
  <c r="S10" i="1"/>
  <c r="S12" i="1" s="1"/>
  <c r="D12" i="1"/>
  <c r="J14" i="1"/>
  <c r="J19" i="1"/>
  <c r="V19" i="1" s="1"/>
  <c r="J23" i="1"/>
  <c r="V23" i="1" s="1"/>
  <c r="E11" i="2" l="1"/>
  <c r="D11" i="2"/>
  <c r="J27" i="1"/>
  <c r="V14" i="1"/>
  <c r="V27" i="1" l="1"/>
  <c r="E10" i="1"/>
  <c r="F10" i="1" l="1"/>
  <c r="E39" i="1"/>
  <c r="E12" i="1"/>
  <c r="F12" i="1" s="1"/>
  <c r="T10" i="1"/>
  <c r="T12" i="1" s="1"/>
  <c r="B44" i="1" l="1"/>
  <c r="E44" i="1" s="1"/>
  <c r="E46" i="1" l="1"/>
  <c r="E48" i="1" s="1"/>
  <c r="J29" i="1" s="1"/>
  <c r="E35" i="1"/>
  <c r="D17" i="2" l="1"/>
  <c r="E40" i="1"/>
  <c r="C17" i="2" s="1"/>
  <c r="E37" i="1"/>
  <c r="G35" i="1"/>
  <c r="H35" i="1" s="1"/>
</calcChain>
</file>

<file path=xl/sharedStrings.xml><?xml version="1.0" encoding="utf-8"?>
<sst xmlns="http://schemas.openxmlformats.org/spreadsheetml/2006/main" count="120" uniqueCount="72">
  <si>
    <t>Pacific Power &amp; Light Company</t>
  </si>
  <si>
    <t>Washington Low Income</t>
  </si>
  <si>
    <t>Schedule 91 Surcharge Rates Proposal</t>
  </si>
  <si>
    <t>Number of customers served</t>
  </si>
  <si>
    <t>Increase in average dollar subsidy/ client</t>
  </si>
  <si>
    <t>Current</t>
  </si>
  <si>
    <t>Proposed</t>
  </si>
  <si>
    <t xml:space="preserve"> </t>
  </si>
  <si>
    <t>Program *</t>
  </si>
  <si>
    <t>Program with</t>
  </si>
  <si>
    <t>Increase Over</t>
  </si>
  <si>
    <t xml:space="preserve">Current </t>
  </si>
  <si>
    <t>Est. Annual</t>
  </si>
  <si>
    <t>Admin Costs</t>
  </si>
  <si>
    <t>Increase</t>
  </si>
  <si>
    <t>Change</t>
  </si>
  <si>
    <t>Estimated</t>
  </si>
  <si>
    <t>Surcharge</t>
  </si>
  <si>
    <t>Current*</t>
  </si>
  <si>
    <t>Revenues</t>
  </si>
  <si>
    <t>Annual Revenues Collections</t>
  </si>
  <si>
    <t>current</t>
  </si>
  <si>
    <t>proposed</t>
  </si>
  <si>
    <t>Monthly</t>
  </si>
  <si>
    <t>Annual</t>
  </si>
  <si>
    <t>Prior Year</t>
  </si>
  <si>
    <t>Administrative Costs ($/cust)</t>
  </si>
  <si>
    <t>Customers</t>
  </si>
  <si>
    <t>Bills</t>
  </si>
  <si>
    <t>Collections</t>
  </si>
  <si>
    <t>Available for subsidy</t>
  </si>
  <si>
    <t xml:space="preserve">   Increase</t>
  </si>
  <si>
    <t>Aug 05</t>
  </si>
  <si>
    <t>Schedule 91 Charges</t>
  </si>
  <si>
    <t>Sch.</t>
  </si>
  <si>
    <t>16/18(#2)</t>
  </si>
  <si>
    <t>(#1)</t>
  </si>
  <si>
    <t>47T</t>
  </si>
  <si>
    <t>48T</t>
  </si>
  <si>
    <t>Number of Qualifying Customers</t>
  </si>
  <si>
    <t>Rev excess/(short)</t>
  </si>
  <si>
    <t>(#1) Annual Amount</t>
  </si>
  <si>
    <t>(#2) Reduced number of customers by change in new Schedule 17 customers</t>
  </si>
  <si>
    <t>% Increase</t>
  </si>
  <si>
    <t>Cost per Qualifying Customer</t>
  </si>
  <si>
    <t>/Customer</t>
  </si>
  <si>
    <t>Average Credit per Customer - (Credit/Customers)</t>
  </si>
  <si>
    <t>Agency Charge per Qualifying Customer</t>
  </si>
  <si>
    <t>Average Cost per Qualifying Customer</t>
  </si>
  <si>
    <t xml:space="preserve">Annual Revenues - (Average Cost x Customers) </t>
  </si>
  <si>
    <t>Annual Credits to Customers</t>
  </si>
  <si>
    <t>Proposed Credit Increase</t>
  </si>
  <si>
    <t xml:space="preserve">Current Credit per Participant plus 18.6% </t>
  </si>
  <si>
    <t>total participants</t>
  </si>
  <si>
    <t>Total benefits</t>
  </si>
  <si>
    <t>Admin Expense</t>
  </si>
  <si>
    <t>Total Program cost</t>
  </si>
  <si>
    <t xml:space="preserve">*Ordered in Docket No. UE-130694 effective June 20, 2013. </t>
  </si>
  <si>
    <t xml:space="preserve">Washington Low Income </t>
  </si>
  <si>
    <t>Energy Rate Credit Proposal</t>
  </si>
  <si>
    <t>% of Federal</t>
  </si>
  <si>
    <t xml:space="preserve">Total </t>
  </si>
  <si>
    <t>Discount/</t>
  </si>
  <si>
    <t>Rate</t>
  </si>
  <si>
    <t>Poverty Level (FPL)</t>
  </si>
  <si>
    <t>Credit</t>
  </si>
  <si>
    <t>Customer</t>
  </si>
  <si>
    <t>¢/kWh</t>
  </si>
  <si>
    <t xml:space="preserve">kWh </t>
  </si>
  <si>
    <t>0-75%</t>
  </si>
  <si>
    <t>76-100%</t>
  </si>
  <si>
    <t>101-150%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</si>
</sst>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0.00000E+0;\-0.00000E+0"/>
    <numFmt numFmtId="169" formatCode="0.000"/>
    <numFmt numFmtId="170" formatCode="########\-###\-###"/>
    <numFmt numFmtId="171" formatCode="General_)"/>
  </numFmts>
  <fonts count="15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Times New Roman"/>
      <family val="1"/>
    </font>
    <font>
      <u/>
      <sz val="12"/>
      <color indexed="8"/>
      <name val="Times New Roman"/>
      <family val="1"/>
    </font>
    <font>
      <sz val="12"/>
      <name val="Arial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2"/>
      <name val="Arial MT"/>
    </font>
    <font>
      <sz val="10"/>
      <name val="SWISS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left"/>
    </xf>
    <xf numFmtId="170" fontId="2" fillId="0" borderId="0"/>
    <xf numFmtId="164" fontId="11" fillId="0" borderId="0" applyFont="0" applyAlignment="0" applyProtection="0"/>
    <xf numFmtId="0" fontId="2" fillId="0" borderId="0">
      <alignment wrapText="1"/>
    </xf>
    <xf numFmtId="0" fontId="9" fillId="0" borderId="0"/>
    <xf numFmtId="0" fontId="2" fillId="0" borderId="0"/>
    <xf numFmtId="0" fontId="12" fillId="0" borderId="0"/>
    <xf numFmtId="0" fontId="4" fillId="0" borderId="0"/>
    <xf numFmtId="0" fontId="2" fillId="0" borderId="0">
      <alignment wrapText="1"/>
    </xf>
    <xf numFmtId="41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4" fillId="0" borderId="0"/>
    <xf numFmtId="0" fontId="2" fillId="0" borderId="0">
      <alignment wrapText="1"/>
    </xf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14" fillId="0" borderId="0">
      <alignment horizontal="left"/>
    </xf>
  </cellStyleXfs>
  <cellXfs count="104">
    <xf numFmtId="0" fontId="0" fillId="0" borderId="0" xfId="0"/>
    <xf numFmtId="0" fontId="2" fillId="0" borderId="0" xfId="4"/>
    <xf numFmtId="0" fontId="3" fillId="0" borderId="0" xfId="4" applyFont="1" applyAlignment="1">
      <alignment horizontal="center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center"/>
    </xf>
    <xf numFmtId="0" fontId="3" fillId="0" borderId="1" xfId="4" applyFont="1" applyBorder="1" applyAlignment="1">
      <alignment horizontal="center"/>
    </xf>
    <xf numFmtId="0" fontId="2" fillId="0" borderId="0" xfId="4" applyAlignment="1">
      <alignment horizontal="right"/>
    </xf>
    <xf numFmtId="165" fontId="2" fillId="0" borderId="0" xfId="3" applyNumberFormat="1"/>
    <xf numFmtId="0" fontId="5" fillId="0" borderId="2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2" fillId="0" borderId="4" xfId="4" applyBorder="1"/>
    <xf numFmtId="44" fontId="2" fillId="0" borderId="0" xfId="2"/>
    <xf numFmtId="0" fontId="2" fillId="0" borderId="2" xfId="4" applyBorder="1" applyAlignment="1">
      <alignment horizontal="center"/>
    </xf>
    <xf numFmtId="0" fontId="2" fillId="0" borderId="0" xfId="4" applyBorder="1" applyAlignment="1">
      <alignment horizontal="center"/>
    </xf>
    <xf numFmtId="0" fontId="2" fillId="0" borderId="5" xfId="4" applyBorder="1"/>
    <xf numFmtId="0" fontId="2" fillId="0" borderId="0" xfId="4" applyBorder="1"/>
    <xf numFmtId="0" fontId="2" fillId="0" borderId="6" xfId="4" applyBorder="1"/>
    <xf numFmtId="0" fontId="2" fillId="0" borderId="3" xfId="4" applyBorder="1"/>
    <xf numFmtId="10" fontId="5" fillId="0" borderId="0" xfId="3" applyNumberFormat="1" applyFont="1"/>
    <xf numFmtId="0" fontId="2" fillId="0" borderId="2" xfId="4" applyBorder="1" applyAlignment="1">
      <alignment horizontal="right"/>
    </xf>
    <xf numFmtId="166" fontId="2" fillId="0" borderId="0" xfId="4" applyNumberFormat="1" applyBorder="1" applyAlignment="1">
      <alignment horizontal="center"/>
    </xf>
    <xf numFmtId="0" fontId="2" fillId="0" borderId="1" xfId="4" applyBorder="1"/>
    <xf numFmtId="0" fontId="2" fillId="0" borderId="0" xfId="4" applyAlignment="1">
      <alignment horizontal="center"/>
    </xf>
    <xf numFmtId="0" fontId="2" fillId="0" borderId="2" xfId="4" applyBorder="1"/>
    <xf numFmtId="0" fontId="2" fillId="0" borderId="5" xfId="4" applyFont="1" applyBorder="1" applyAlignment="1">
      <alignment horizontal="center"/>
    </xf>
    <xf numFmtId="0" fontId="2" fillId="0" borderId="5" xfId="4" applyBorder="1" applyAlignment="1">
      <alignment horizontal="center"/>
    </xf>
    <xf numFmtId="165" fontId="2" fillId="0" borderId="5" xfId="4" applyNumberFormat="1" applyBorder="1" applyAlignment="1">
      <alignment horizontal="right"/>
    </xf>
    <xf numFmtId="5" fontId="2" fillId="0" borderId="2" xfId="4" applyNumberFormat="1" applyBorder="1" applyAlignment="1">
      <alignment horizontal="right"/>
    </xf>
    <xf numFmtId="5" fontId="2" fillId="0" borderId="0" xfId="4" applyNumberFormat="1" applyFont="1" applyBorder="1" applyAlignment="1">
      <alignment horizontal="right"/>
    </xf>
    <xf numFmtId="5" fontId="2" fillId="0" borderId="5" xfId="4" applyNumberFormat="1" applyFont="1" applyBorder="1"/>
    <xf numFmtId="5" fontId="2" fillId="0" borderId="0" xfId="4" applyNumberFormat="1"/>
    <xf numFmtId="5" fontId="2" fillId="0" borderId="2" xfId="4" applyNumberFormat="1" applyBorder="1"/>
    <xf numFmtId="5" fontId="2" fillId="0" borderId="5" xfId="4" applyNumberFormat="1" applyBorder="1"/>
    <xf numFmtId="0" fontId="2" fillId="0" borderId="1" xfId="4" applyBorder="1" applyAlignment="1">
      <alignment horizontal="right"/>
    </xf>
    <xf numFmtId="5" fontId="2" fillId="0" borderId="1" xfId="4" applyNumberFormat="1" applyBorder="1" applyAlignment="1">
      <alignment horizontal="right"/>
    </xf>
    <xf numFmtId="5" fontId="2" fillId="0" borderId="7" xfId="4" applyNumberFormat="1" applyBorder="1"/>
    <xf numFmtId="16" fontId="2" fillId="0" borderId="0" xfId="4" quotePrefix="1" applyNumberFormat="1" applyBorder="1" applyAlignment="1">
      <alignment horizontal="center"/>
    </xf>
    <xf numFmtId="16" fontId="2" fillId="0" borderId="5" xfId="4" applyNumberFormat="1" applyBorder="1" applyAlignment="1">
      <alignment horizontal="center"/>
    </xf>
    <xf numFmtId="5" fontId="6" fillId="0" borderId="0" xfId="4" applyNumberFormat="1" applyFont="1" applyBorder="1"/>
    <xf numFmtId="5" fontId="2" fillId="0" borderId="6" xfId="4" applyNumberFormat="1" applyBorder="1" applyAlignment="1">
      <alignment horizontal="right"/>
    </xf>
    <xf numFmtId="5" fontId="2" fillId="0" borderId="3" xfId="4" applyNumberFormat="1" applyBorder="1" applyAlignment="1">
      <alignment horizontal="right"/>
    </xf>
    <xf numFmtId="5" fontId="2" fillId="0" borderId="0" xfId="4" applyNumberFormat="1" applyBorder="1"/>
    <xf numFmtId="0" fontId="6" fillId="0" borderId="0" xfId="4" applyFont="1" applyBorder="1" applyAlignment="1"/>
    <xf numFmtId="0" fontId="6" fillId="0" borderId="0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9" fontId="2" fillId="0" borderId="0" xfId="3" applyBorder="1" applyAlignment="1">
      <alignment horizontal="right"/>
    </xf>
    <xf numFmtId="0" fontId="2" fillId="0" borderId="0" xfId="4" applyAlignment="1">
      <alignment horizontal="left"/>
    </xf>
    <xf numFmtId="7" fontId="2" fillId="0" borderId="2" xfId="2" applyNumberFormat="1" applyBorder="1" applyAlignment="1">
      <alignment horizontal="right"/>
    </xf>
    <xf numFmtId="7" fontId="2" fillId="0" borderId="0" xfId="2" applyNumberFormat="1" applyBorder="1" applyAlignment="1">
      <alignment horizontal="right"/>
    </xf>
    <xf numFmtId="7" fontId="2" fillId="0" borderId="0" xfId="4" applyNumberFormat="1" applyBorder="1"/>
    <xf numFmtId="37" fontId="2" fillId="0" borderId="0" xfId="4" applyNumberFormat="1" applyBorder="1"/>
    <xf numFmtId="37" fontId="2" fillId="0" borderId="2" xfId="4" applyNumberFormat="1" applyBorder="1"/>
    <xf numFmtId="9" fontId="2" fillId="0" borderId="0" xfId="3" applyNumberFormat="1"/>
    <xf numFmtId="0" fontId="2" fillId="0" borderId="0" xfId="4" quotePrefix="1" applyFont="1" applyAlignment="1">
      <alignment horizontal="left"/>
    </xf>
    <xf numFmtId="0" fontId="2" fillId="0" borderId="0" xfId="4" quotePrefix="1" applyBorder="1"/>
    <xf numFmtId="44" fontId="2" fillId="0" borderId="0" xfId="2" applyBorder="1" applyAlignment="1">
      <alignment horizontal="right"/>
    </xf>
    <xf numFmtId="37" fontId="6" fillId="0" borderId="0" xfId="4" applyNumberFormat="1" applyFont="1" applyBorder="1"/>
    <xf numFmtId="5" fontId="6" fillId="0" borderId="5" xfId="4" applyNumberFormat="1" applyFont="1" applyBorder="1"/>
    <xf numFmtId="7" fontId="6" fillId="0" borderId="0" xfId="4" applyNumberFormat="1" applyFont="1" applyBorder="1"/>
    <xf numFmtId="0" fontId="2" fillId="0" borderId="0" xfId="4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164" fontId="2" fillId="0" borderId="8" xfId="1" applyNumberForma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1" xfId="4" applyNumberFormat="1" applyFont="1" applyBorder="1"/>
    <xf numFmtId="43" fontId="2" fillId="0" borderId="0" xfId="1" applyNumberForma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0" fontId="5" fillId="0" borderId="0" xfId="4" applyFont="1" applyBorder="1"/>
    <xf numFmtId="0" fontId="0" fillId="0" borderId="0" xfId="0" applyAlignment="1">
      <alignment horizontal="right"/>
    </xf>
    <xf numFmtId="0" fontId="2" fillId="0" borderId="0" xfId="4" quotePrefix="1" applyAlignment="1">
      <alignment horizontal="left"/>
    </xf>
    <xf numFmtId="164" fontId="2" fillId="0" borderId="0" xfId="1" applyNumberFormat="1" applyBorder="1" applyAlignment="1">
      <alignment horizontal="right"/>
    </xf>
    <xf numFmtId="0" fontId="5" fillId="0" borderId="0" xfId="4" applyFont="1" applyAlignment="1">
      <alignment horizontal="left"/>
    </xf>
    <xf numFmtId="7" fontId="2" fillId="0" borderId="0" xfId="4" applyNumberFormat="1" applyAlignment="1">
      <alignment horizontal="right"/>
    </xf>
    <xf numFmtId="7" fontId="2" fillId="0" borderId="0" xfId="4" applyNumberFormat="1"/>
    <xf numFmtId="10" fontId="2" fillId="0" borderId="0" xfId="3" applyNumberFormat="1"/>
    <xf numFmtId="7" fontId="0" fillId="0" borderId="0" xfId="0" applyNumberFormat="1"/>
    <xf numFmtId="7" fontId="6" fillId="0" borderId="0" xfId="4" applyNumberFormat="1" applyFont="1" applyAlignment="1">
      <alignment horizontal="right"/>
    </xf>
    <xf numFmtId="5" fontId="2" fillId="0" borderId="0" xfId="4" applyNumberFormat="1" applyAlignment="1">
      <alignment horizontal="right"/>
    </xf>
    <xf numFmtId="5" fontId="2" fillId="0" borderId="0" xfId="4" applyNumberFormat="1" applyFill="1" applyAlignment="1">
      <alignment horizontal="right"/>
    </xf>
    <xf numFmtId="0" fontId="2" fillId="0" borderId="0" xfId="4" applyFont="1" applyAlignment="1">
      <alignment horizontal="left"/>
    </xf>
    <xf numFmtId="5" fontId="2" fillId="0" borderId="0" xfId="4" applyNumberFormat="1" applyFont="1"/>
    <xf numFmtId="0" fontId="2" fillId="0" borderId="0" xfId="4" applyFont="1"/>
    <xf numFmtId="9" fontId="2" fillId="0" borderId="0" xfId="4" applyNumberFormat="1"/>
    <xf numFmtId="164" fontId="2" fillId="0" borderId="0" xfId="1" applyNumberFormat="1"/>
    <xf numFmtId="0" fontId="2" fillId="0" borderId="0" xfId="4" applyFill="1" applyAlignment="1">
      <alignment horizontal="left"/>
    </xf>
    <xf numFmtId="5" fontId="2" fillId="0" borderId="0" xfId="0" applyNumberFormat="1" applyFont="1"/>
    <xf numFmtId="0" fontId="5" fillId="0" borderId="9" xfId="4" applyFont="1" applyBorder="1"/>
    <xf numFmtId="0" fontId="7" fillId="0" borderId="10" xfId="0" applyFont="1" applyBorder="1"/>
    <xf numFmtId="0" fontId="0" fillId="0" borderId="10" xfId="0" applyBorder="1"/>
    <xf numFmtId="5" fontId="5" fillId="0" borderId="11" xfId="0" applyNumberFormat="1" applyFont="1" applyBorder="1"/>
    <xf numFmtId="0" fontId="2" fillId="0" borderId="0" xfId="4" quotePrefix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"/>
    </xf>
    <xf numFmtId="0" fontId="8" fillId="0" borderId="0" xfId="4" quotePrefix="1" applyFont="1" applyFill="1" applyAlignment="1" applyProtection="1">
      <alignment horizontal="center"/>
    </xf>
    <xf numFmtId="37" fontId="2" fillId="0" borderId="0" xfId="4" applyNumberFormat="1" applyFill="1" applyBorder="1"/>
    <xf numFmtId="169" fontId="0" fillId="0" borderId="0" xfId="0" applyNumberFormat="1"/>
    <xf numFmtId="5" fontId="0" fillId="0" borderId="0" xfId="0" applyNumberFormat="1"/>
    <xf numFmtId="0" fontId="3" fillId="0" borderId="0" xfId="4" applyFont="1" applyAlignment="1">
      <alignment horizontal="center"/>
    </xf>
    <xf numFmtId="0" fontId="2" fillId="0" borderId="1" xfId="4" applyBorder="1" applyAlignment="1">
      <alignment horizontal="center"/>
    </xf>
    <xf numFmtId="0" fontId="2" fillId="0" borderId="7" xfId="4" applyBorder="1" applyAlignment="1">
      <alignment horizontal="center"/>
    </xf>
    <xf numFmtId="167" fontId="3" fillId="0" borderId="0" xfId="4" applyNumberFormat="1" applyFont="1" applyBorder="1" applyAlignment="1">
      <alignment horizontal="center"/>
    </xf>
    <xf numFmtId="0" fontId="2" fillId="0" borderId="0" xfId="4" applyBorder="1" applyAlignment="1">
      <alignment horizontal="center"/>
    </xf>
    <xf numFmtId="169" fontId="5" fillId="0" borderId="0" xfId="0" applyNumberFormat="1" applyFont="1"/>
    <xf numFmtId="0" fontId="5" fillId="0" borderId="0" xfId="0" applyFont="1"/>
  </cellXfs>
  <cellStyles count="34">
    <cellStyle name="Comma" xfId="1" builtinId="3"/>
    <cellStyle name="Comma 2" xfId="5"/>
    <cellStyle name="Comma 2 2" xfId="6"/>
    <cellStyle name="Comma 3" xfId="7"/>
    <cellStyle name="Comma 4" xfId="8"/>
    <cellStyle name="Currency" xfId="2" builtinId="4"/>
    <cellStyle name="Currency 2" xfId="9"/>
    <cellStyle name="Currency 3" xfId="10"/>
    <cellStyle name="General" xfId="11"/>
    <cellStyle name="Marathon" xfId="12"/>
    <cellStyle name="nONE" xfId="13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2" xfId="19"/>
    <cellStyle name="Normal 2 2" xfId="20"/>
    <cellStyle name="Normal 3" xfId="21"/>
    <cellStyle name="Normal 3 2" xfId="22"/>
    <cellStyle name="Normal 4" xfId="23"/>
    <cellStyle name="Normal 4 2" xfId="24"/>
    <cellStyle name="Normal 5" xfId="25"/>
    <cellStyle name="Normal 6" xfId="26"/>
    <cellStyle name="Normal 7" xfId="27"/>
    <cellStyle name="Normal 8" xfId="28"/>
    <cellStyle name="Normal 9" xfId="29"/>
    <cellStyle name="Normal_Low Income Proposal" xfId="4"/>
    <cellStyle name="Percent" xfId="3" builtinId="5"/>
    <cellStyle name="Percent 2" xfId="30"/>
    <cellStyle name="Percent 3" xfId="31"/>
    <cellStyle name="Percent 3 2" xfId="32"/>
    <cellStyle name="TRANSMISSION RELIABILITY PORTION OF PROJECT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>
        <row r="2">
          <cell r="H2">
            <v>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8">
          <cell r="C8">
            <v>154235.67832380001</v>
          </cell>
        </row>
      </sheetData>
      <sheetData sheetId="37">
        <row r="8">
          <cell r="C8">
            <v>17757.490316223812</v>
          </cell>
        </row>
      </sheetData>
      <sheetData sheetId="38">
        <row r="8">
          <cell r="C8">
            <v>0.422222222222217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zoomScaleNormal="100" workbookViewId="0">
      <selection sqref="A1:J1"/>
    </sheetView>
  </sheetViews>
  <sheetFormatPr defaultRowHeight="15.75"/>
  <cols>
    <col min="1" max="1" width="41.125" bestFit="1" customWidth="1"/>
    <col min="2" max="2" width="10.125" bestFit="1" customWidth="1"/>
    <col min="3" max="3" width="7.625" customWidth="1"/>
    <col min="4" max="4" width="11.625" bestFit="1" customWidth="1"/>
    <col min="5" max="5" width="15.75" bestFit="1" customWidth="1"/>
    <col min="6" max="6" width="10.5" customWidth="1"/>
    <col min="7" max="7" width="10.375" bestFit="1" customWidth="1"/>
    <col min="10" max="10" width="11.5" customWidth="1"/>
    <col min="11" max="11" width="2" customWidth="1"/>
    <col min="12" max="12" width="11.5" bestFit="1" customWidth="1"/>
    <col min="13" max="20" width="0" hidden="1" customWidth="1"/>
    <col min="24" max="24" width="10.25" customWidth="1"/>
  </cols>
  <sheetData>
    <row r="1" spans="1:24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97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3" t="s">
        <v>3</v>
      </c>
      <c r="B5" s="4">
        <v>5428</v>
      </c>
      <c r="C5" s="2"/>
      <c r="D5" s="5"/>
      <c r="E5" s="5"/>
      <c r="F5" s="2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6" t="s">
        <v>4</v>
      </c>
      <c r="B6" s="7">
        <v>0.19010859577075667</v>
      </c>
      <c r="C6" s="1"/>
      <c r="D6" s="8" t="s">
        <v>5</v>
      </c>
      <c r="E6" s="9" t="s">
        <v>6</v>
      </c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6" t="s">
        <v>7</v>
      </c>
      <c r="B7" s="11">
        <v>70</v>
      </c>
      <c r="C7" s="11"/>
      <c r="D7" s="12" t="s">
        <v>8</v>
      </c>
      <c r="E7" s="13" t="s">
        <v>9</v>
      </c>
      <c r="F7" s="14"/>
      <c r="G7" s="1"/>
      <c r="H7" s="15"/>
      <c r="I7" s="15"/>
      <c r="J7" s="15"/>
      <c r="K7" s="15"/>
      <c r="L7" s="13" t="s">
        <v>10</v>
      </c>
      <c r="M7" s="15"/>
      <c r="N7" s="16"/>
      <c r="O7" s="17"/>
      <c r="P7" s="17"/>
      <c r="Q7" s="10"/>
      <c r="R7" s="1"/>
      <c r="S7" s="16"/>
      <c r="T7" s="10"/>
      <c r="U7" s="1"/>
      <c r="V7" s="13" t="s">
        <v>10</v>
      </c>
      <c r="W7" s="1"/>
      <c r="X7" s="1"/>
    </row>
    <row r="8" spans="1:24">
      <c r="A8" s="18" t="s">
        <v>7</v>
      </c>
      <c r="B8" s="1"/>
      <c r="C8" s="1"/>
      <c r="D8" s="19"/>
      <c r="E8" s="20">
        <v>0.20308000000000001</v>
      </c>
      <c r="F8" s="14"/>
      <c r="G8" s="21" t="s">
        <v>7</v>
      </c>
      <c r="H8" s="21"/>
      <c r="I8" s="21"/>
      <c r="J8" s="21"/>
      <c r="K8" s="15"/>
      <c r="L8" s="22" t="s">
        <v>11</v>
      </c>
      <c r="M8" s="15"/>
      <c r="N8" s="23"/>
      <c r="O8" s="15"/>
      <c r="P8" s="15"/>
      <c r="Q8" s="14"/>
      <c r="R8" s="1"/>
      <c r="S8" s="23"/>
      <c r="T8" s="14"/>
      <c r="U8" s="1"/>
      <c r="V8" s="22" t="s">
        <v>12</v>
      </c>
      <c r="W8" s="1"/>
      <c r="X8" s="1"/>
    </row>
    <row r="9" spans="1:24">
      <c r="A9" s="1"/>
      <c r="B9" s="98" t="s">
        <v>13</v>
      </c>
      <c r="C9" s="99"/>
      <c r="D9" s="12" t="s">
        <v>7</v>
      </c>
      <c r="E9" s="13" t="s">
        <v>14</v>
      </c>
      <c r="F9" s="24" t="s">
        <v>15</v>
      </c>
      <c r="G9" s="13" t="s">
        <v>16</v>
      </c>
      <c r="H9" s="15"/>
      <c r="I9" s="15"/>
      <c r="J9" s="25" t="s">
        <v>16</v>
      </c>
      <c r="K9" s="15"/>
      <c r="L9" s="22" t="s">
        <v>17</v>
      </c>
      <c r="M9" s="15"/>
      <c r="N9" s="23"/>
      <c r="O9" s="15"/>
      <c r="P9" s="15"/>
      <c r="Q9" s="14"/>
      <c r="R9" s="1"/>
      <c r="S9" s="19" t="s">
        <v>18</v>
      </c>
      <c r="T9" s="26">
        <f>E8</f>
        <v>0.20308000000000001</v>
      </c>
      <c r="U9" s="1"/>
      <c r="V9" s="22" t="s">
        <v>19</v>
      </c>
      <c r="W9" s="1"/>
      <c r="X9" s="1"/>
    </row>
    <row r="10" spans="1:24">
      <c r="A10" s="6" t="s">
        <v>20</v>
      </c>
      <c r="B10" s="1" t="s">
        <v>21</v>
      </c>
      <c r="C10" s="1" t="s">
        <v>22</v>
      </c>
      <c r="D10" s="27">
        <f>X27</f>
        <v>1992907.7599999995</v>
      </c>
      <c r="E10" s="28">
        <f>+J27</f>
        <v>2413585.6200305563</v>
      </c>
      <c r="F10" s="29">
        <f>E10-D10</f>
        <v>420677.8600305568</v>
      </c>
      <c r="G10" s="13" t="s">
        <v>23</v>
      </c>
      <c r="H10" s="13"/>
      <c r="I10" s="15"/>
      <c r="J10" s="25" t="s">
        <v>24</v>
      </c>
      <c r="K10" s="15"/>
      <c r="L10" s="30"/>
      <c r="M10" s="15"/>
      <c r="N10" s="23"/>
      <c r="O10" s="15"/>
      <c r="P10" s="15"/>
      <c r="Q10" s="14"/>
      <c r="R10" s="1"/>
      <c r="S10" s="31">
        <f>D10</f>
        <v>1992907.7599999995</v>
      </c>
      <c r="T10" s="32">
        <f>E10</f>
        <v>2413585.6200305563</v>
      </c>
      <c r="U10" s="1"/>
      <c r="V10" s="1"/>
      <c r="W10" s="1"/>
      <c r="X10" s="1" t="s">
        <v>25</v>
      </c>
    </row>
    <row r="11" spans="1:24">
      <c r="A11" s="33" t="s">
        <v>26</v>
      </c>
      <c r="B11" s="11">
        <v>67.5</v>
      </c>
      <c r="C11" s="11">
        <f>+B7</f>
        <v>70</v>
      </c>
      <c r="D11" s="27">
        <f>4720*B11</f>
        <v>318600</v>
      </c>
      <c r="E11" s="34">
        <f>4720*C11</f>
        <v>330400</v>
      </c>
      <c r="F11" s="35">
        <f>+E11-D11</f>
        <v>11800</v>
      </c>
      <c r="G11" s="13" t="s">
        <v>17</v>
      </c>
      <c r="H11" s="36"/>
      <c r="I11" s="15"/>
      <c r="J11" s="37" t="s">
        <v>6</v>
      </c>
      <c r="K11" s="13"/>
      <c r="L11" s="38"/>
      <c r="M11" s="1"/>
      <c r="N11" s="23" t="s">
        <v>27</v>
      </c>
      <c r="O11" s="15"/>
      <c r="P11" s="15" t="s">
        <v>28</v>
      </c>
      <c r="Q11" s="14" t="s">
        <v>29</v>
      </c>
      <c r="R11" s="1"/>
      <c r="S11" s="31">
        <f>D11</f>
        <v>318600</v>
      </c>
      <c r="T11" s="32">
        <f>E11</f>
        <v>330400</v>
      </c>
      <c r="U11" s="1"/>
      <c r="V11" s="1"/>
      <c r="W11" s="1"/>
      <c r="X11" s="13" t="s">
        <v>16</v>
      </c>
    </row>
    <row r="12" spans="1:24">
      <c r="A12" s="6" t="s">
        <v>30</v>
      </c>
      <c r="B12" s="1"/>
      <c r="C12" s="1"/>
      <c r="D12" s="39">
        <f>D10-D11</f>
        <v>1674307.7599999995</v>
      </c>
      <c r="E12" s="40">
        <f>E10-E11</f>
        <v>2083185.6200305563</v>
      </c>
      <c r="F12" s="41">
        <f>E12-D12</f>
        <v>408877.8600305568</v>
      </c>
      <c r="G12" s="42" t="s">
        <v>31</v>
      </c>
      <c r="H12" s="43" t="s">
        <v>27</v>
      </c>
      <c r="I12" s="15"/>
      <c r="J12" s="44" t="s">
        <v>19</v>
      </c>
      <c r="K12" s="36"/>
      <c r="L12" s="30"/>
      <c r="M12" s="1" t="s">
        <v>7</v>
      </c>
      <c r="N12" s="23" t="s">
        <v>32</v>
      </c>
      <c r="O12" s="15"/>
      <c r="P12" s="15" t="s">
        <v>32</v>
      </c>
      <c r="Q12" s="14" t="s">
        <v>32</v>
      </c>
      <c r="R12" s="1"/>
      <c r="S12" s="31">
        <f>S10-S11</f>
        <v>1674307.7599999995</v>
      </c>
      <c r="T12" s="32">
        <f>T10-T11</f>
        <v>2083185.6200305563</v>
      </c>
      <c r="U12" s="1"/>
      <c r="V12" s="1"/>
      <c r="W12" s="1"/>
      <c r="X12" s="13" t="s">
        <v>24</v>
      </c>
    </row>
    <row r="13" spans="1:24">
      <c r="A13" s="6"/>
      <c r="B13" s="1"/>
      <c r="C13" s="1"/>
      <c r="D13" s="19"/>
      <c r="E13" s="45"/>
      <c r="F13" s="15"/>
      <c r="G13" s="1"/>
      <c r="H13" s="1"/>
      <c r="I13" s="1"/>
      <c r="J13" s="14"/>
      <c r="K13" s="15"/>
      <c r="L13" s="1"/>
      <c r="M13" s="1"/>
      <c r="N13" s="23"/>
      <c r="O13" s="15"/>
      <c r="P13" s="15"/>
      <c r="Q13" s="14"/>
      <c r="R13" s="1"/>
      <c r="S13" s="31"/>
      <c r="T13" s="32"/>
      <c r="U13" s="1"/>
      <c r="V13" s="1"/>
      <c r="W13" s="1"/>
      <c r="X13" s="13" t="s">
        <v>19</v>
      </c>
    </row>
    <row r="14" spans="1:24">
      <c r="A14" s="6" t="s">
        <v>33</v>
      </c>
      <c r="B14" s="1" t="s">
        <v>34</v>
      </c>
      <c r="C14" s="46">
        <v>15</v>
      </c>
      <c r="D14" s="47">
        <v>0.13</v>
      </c>
      <c r="E14" s="48">
        <f t="shared" ref="E14" si="0">ROUND(D14*(1+$E$8),2)</f>
        <v>0.16</v>
      </c>
      <c r="F14" s="15"/>
      <c r="G14" s="49">
        <f t="shared" ref="G14:G26" si="1">E14-D14</f>
        <v>0.03</v>
      </c>
      <c r="H14" s="50">
        <v>2531.9166666666665</v>
      </c>
      <c r="I14" s="50"/>
      <c r="J14" s="32">
        <f>H14*E14*12</f>
        <v>4861.28</v>
      </c>
      <c r="K14" s="49"/>
      <c r="L14" s="7">
        <f t="shared" ref="L14:L26" si="2">(E14-D14)/D14</f>
        <v>0.23076923076923075</v>
      </c>
      <c r="M14" s="1"/>
      <c r="N14" s="51">
        <v>3226</v>
      </c>
      <c r="O14" s="50"/>
      <c r="P14" s="50">
        <f t="shared" ref="P14:P18" si="3">Q14/D14/12</f>
        <v>887.5</v>
      </c>
      <c r="Q14" s="32">
        <v>1384.5</v>
      </c>
      <c r="R14" s="1"/>
      <c r="S14" s="31">
        <f t="shared" ref="S14:S18" si="4">P14*D14*12</f>
        <v>1384.5</v>
      </c>
      <c r="T14" s="32">
        <f>H14*E14*12</f>
        <v>4861.28</v>
      </c>
      <c r="U14" s="1"/>
      <c r="V14" s="52">
        <f>(J14-X14)/X14</f>
        <v>0.19900158838211929</v>
      </c>
      <c r="W14" s="1"/>
      <c r="X14" s="30">
        <v>4054.44</v>
      </c>
    </row>
    <row r="15" spans="1:24">
      <c r="A15" s="6"/>
      <c r="B15" s="1" t="s">
        <v>34</v>
      </c>
      <c r="C15" s="53" t="s">
        <v>35</v>
      </c>
      <c r="D15" s="47">
        <v>0.74</v>
      </c>
      <c r="E15" s="48">
        <f>ROUND(D15*(1+$E$8),2)-0.01</f>
        <v>0.88</v>
      </c>
      <c r="F15" s="15"/>
      <c r="G15" s="49">
        <f t="shared" si="1"/>
        <v>0.14000000000000001</v>
      </c>
      <c r="H15" s="50">
        <f>100431-E29+D29</f>
        <v>100195</v>
      </c>
      <c r="I15" s="50"/>
      <c r="J15" s="32">
        <f>(H15)*E15*12</f>
        <v>1058059.2000000002</v>
      </c>
      <c r="K15" s="49"/>
      <c r="L15" s="7">
        <f t="shared" si="2"/>
        <v>0.1891891891891892</v>
      </c>
      <c r="M15" s="1"/>
      <c r="N15" s="51">
        <v>130394</v>
      </c>
      <c r="O15" s="50"/>
      <c r="P15" s="50">
        <f t="shared" si="3"/>
        <v>30134.185810810814</v>
      </c>
      <c r="Q15" s="32">
        <v>267591.57</v>
      </c>
      <c r="R15" s="1"/>
      <c r="S15" s="31">
        <f t="shared" si="4"/>
        <v>267591.57</v>
      </c>
      <c r="T15" s="32">
        <f>(H15-E29)*E15*12</f>
        <v>1000739.52</v>
      </c>
      <c r="U15" s="1"/>
      <c r="V15" s="52">
        <f t="shared" ref="V15:V27" si="5">(J15-X15)/X15</f>
        <v>0.19459015069690638</v>
      </c>
      <c r="W15" s="1"/>
      <c r="X15" s="30">
        <v>885708.96</v>
      </c>
    </row>
    <row r="16" spans="1:24">
      <c r="A16" s="6"/>
      <c r="B16" s="1" t="s">
        <v>34</v>
      </c>
      <c r="C16" s="46">
        <v>24</v>
      </c>
      <c r="D16" s="47">
        <v>1.56</v>
      </c>
      <c r="E16" s="48">
        <f>ROUND(D16*(1+$E$8),2)+0.01</f>
        <v>1.89</v>
      </c>
      <c r="F16" s="15"/>
      <c r="G16" s="49">
        <f t="shared" si="1"/>
        <v>0.32999999999999985</v>
      </c>
      <c r="H16" s="50">
        <v>18788.493749999969</v>
      </c>
      <c r="I16" s="50"/>
      <c r="J16" s="32">
        <f>H16*E16*12</f>
        <v>426123.03824999928</v>
      </c>
      <c r="K16" s="49"/>
      <c r="L16" s="7">
        <f t="shared" si="2"/>
        <v>0.21153846153846143</v>
      </c>
      <c r="M16" s="1"/>
      <c r="N16" s="51">
        <v>19694</v>
      </c>
      <c r="O16" s="50"/>
      <c r="P16" s="50">
        <f t="shared" si="3"/>
        <v>4988.3178418803418</v>
      </c>
      <c r="Q16" s="32">
        <v>93381.31</v>
      </c>
      <c r="R16" s="1"/>
      <c r="S16" s="31">
        <f t="shared" si="4"/>
        <v>93381.31</v>
      </c>
      <c r="T16" s="32">
        <f>H16*E16*12</f>
        <v>426123.03824999928</v>
      </c>
      <c r="U16" s="1"/>
      <c r="V16" s="52">
        <f t="shared" si="5"/>
        <v>0.22073163578591537</v>
      </c>
      <c r="W16" s="1"/>
      <c r="X16" s="30">
        <v>349071.83999999997</v>
      </c>
    </row>
    <row r="17" spans="1:24">
      <c r="A17" s="6"/>
      <c r="B17" s="1" t="s">
        <v>34</v>
      </c>
      <c r="C17" s="46">
        <v>33</v>
      </c>
      <c r="D17" s="47">
        <v>37.89</v>
      </c>
      <c r="E17" s="48">
        <f>ROUND(D17*(1+$E$8),2)+0.03</f>
        <v>45.61</v>
      </c>
      <c r="F17" s="15"/>
      <c r="G17" s="49">
        <f t="shared" si="1"/>
        <v>7.7199999999999989</v>
      </c>
      <c r="H17" s="50">
        <v>0</v>
      </c>
      <c r="I17" s="50"/>
      <c r="J17" s="32">
        <f>H17*E17*12</f>
        <v>0</v>
      </c>
      <c r="K17" s="49"/>
      <c r="L17" s="7">
        <f t="shared" si="2"/>
        <v>0.20374769068355764</v>
      </c>
      <c r="M17" s="1"/>
      <c r="N17" s="51">
        <v>1</v>
      </c>
      <c r="O17" s="50"/>
      <c r="P17" s="50">
        <f t="shared" si="3"/>
        <v>8.9579484472596102E-2</v>
      </c>
      <c r="Q17" s="32">
        <v>40.729999999999997</v>
      </c>
      <c r="R17" s="1"/>
      <c r="S17" s="31">
        <f t="shared" si="4"/>
        <v>40.729999999999997</v>
      </c>
      <c r="T17" s="32">
        <f>H17*E17*12</f>
        <v>0</v>
      </c>
      <c r="U17" s="1"/>
      <c r="V17" s="52">
        <f>V18</f>
        <v>0.21517855357215343</v>
      </c>
      <c r="W17" s="1"/>
      <c r="X17" s="30">
        <v>0</v>
      </c>
    </row>
    <row r="18" spans="1:24">
      <c r="A18" s="6"/>
      <c r="B18" s="1" t="s">
        <v>34</v>
      </c>
      <c r="C18" s="46">
        <v>36</v>
      </c>
      <c r="D18" s="47">
        <v>37.89</v>
      </c>
      <c r="E18" s="48">
        <f>ROUND(D18*(1+$E$8),2)+0.03</f>
        <v>45.61</v>
      </c>
      <c r="F18" s="15"/>
      <c r="G18" s="49">
        <f t="shared" si="1"/>
        <v>7.7199999999999989</v>
      </c>
      <c r="H18" s="50">
        <v>1053.9138888888895</v>
      </c>
      <c r="I18" s="50"/>
      <c r="J18" s="32">
        <f>H18*E18*12</f>
        <v>576828.14966666698</v>
      </c>
      <c r="K18" s="49"/>
      <c r="L18" s="7">
        <f t="shared" si="2"/>
        <v>0.20374769068355764</v>
      </c>
      <c r="M18" s="1"/>
      <c r="N18" s="51">
        <v>1318</v>
      </c>
      <c r="O18" s="50"/>
      <c r="P18" s="50">
        <f t="shared" si="3"/>
        <v>292.62980557754906</v>
      </c>
      <c r="Q18" s="32">
        <v>133052.92000000001</v>
      </c>
      <c r="R18" s="1"/>
      <c r="S18" s="31">
        <f t="shared" si="4"/>
        <v>133052.92000000001</v>
      </c>
      <c r="T18" s="32">
        <f>H18*E18*12</f>
        <v>576828.14966666698</v>
      </c>
      <c r="U18" s="1"/>
      <c r="V18" s="52">
        <f t="shared" si="5"/>
        <v>0.21517855357215343</v>
      </c>
      <c r="W18" s="1"/>
      <c r="X18" s="30">
        <v>474685.92000000004</v>
      </c>
    </row>
    <row r="19" spans="1:24">
      <c r="A19" s="6"/>
      <c r="B19" s="1" t="s">
        <v>34</v>
      </c>
      <c r="C19" s="46">
        <v>40</v>
      </c>
      <c r="D19" s="47">
        <v>15.65</v>
      </c>
      <c r="E19" s="48">
        <f>ROUND(D19*(1+$E$8),2)+0.07</f>
        <v>18.899999999999999</v>
      </c>
      <c r="F19" s="54" t="s">
        <v>36</v>
      </c>
      <c r="G19" s="49">
        <f t="shared" si="1"/>
        <v>3.2499999999999982</v>
      </c>
      <c r="H19" s="50">
        <v>5247.0299819759166</v>
      </c>
      <c r="I19" s="50"/>
      <c r="J19" s="32">
        <f>H19*E19</f>
        <v>99168.866659344814</v>
      </c>
      <c r="K19" s="49"/>
      <c r="L19" s="7">
        <f t="shared" si="2"/>
        <v>0.20766773162939287</v>
      </c>
      <c r="M19" s="49"/>
      <c r="N19" s="51">
        <v>3590</v>
      </c>
      <c r="O19" s="50"/>
      <c r="P19" s="50">
        <f>Q19/D19</f>
        <v>994.33546325878592</v>
      </c>
      <c r="Q19" s="32">
        <v>15561.35</v>
      </c>
      <c r="R19" s="1"/>
      <c r="S19" s="31">
        <f>P19*D19</f>
        <v>15561.35</v>
      </c>
      <c r="T19" s="32">
        <f>H19*E19</f>
        <v>99168.866659344814</v>
      </c>
      <c r="U19" s="1"/>
      <c r="V19" s="52">
        <f t="shared" si="5"/>
        <v>0.204689885194728</v>
      </c>
      <c r="W19" s="1"/>
      <c r="X19" s="30">
        <v>82319</v>
      </c>
    </row>
    <row r="20" spans="1:24">
      <c r="A20" s="6"/>
      <c r="B20" s="1" t="s">
        <v>34</v>
      </c>
      <c r="C20" s="46" t="s">
        <v>37</v>
      </c>
      <c r="D20" s="47">
        <v>257.5</v>
      </c>
      <c r="E20" s="48">
        <f>ROUND(D20*(1+$E$8),2)+0.71</f>
        <v>310.5</v>
      </c>
      <c r="F20" s="15"/>
      <c r="G20" s="49">
        <f t="shared" si="1"/>
        <v>53</v>
      </c>
      <c r="H20" s="50">
        <v>1</v>
      </c>
      <c r="I20" s="50"/>
      <c r="J20" s="32">
        <f t="shared" ref="J20:J26" si="6">H20*E20*12</f>
        <v>3726</v>
      </c>
      <c r="K20" s="49"/>
      <c r="L20" s="7">
        <f t="shared" si="2"/>
        <v>0.2058252427184466</v>
      </c>
      <c r="M20" s="49"/>
      <c r="N20" s="51">
        <v>1</v>
      </c>
      <c r="O20" s="50"/>
      <c r="P20" s="50">
        <f t="shared" ref="P20:P26" si="7">Q20/D20/12</f>
        <v>0.29126213592233008</v>
      </c>
      <c r="Q20" s="32">
        <v>900</v>
      </c>
      <c r="R20" s="1"/>
      <c r="S20" s="31">
        <f t="shared" ref="S20:S26" si="8">P20*D20*12</f>
        <v>900</v>
      </c>
      <c r="T20" s="32">
        <f t="shared" ref="T20:T26" si="9">H20*E20*12</f>
        <v>3726</v>
      </c>
      <c r="U20" s="1"/>
      <c r="V20" s="52">
        <f t="shared" si="5"/>
        <v>0.2058252427184466</v>
      </c>
      <c r="W20" s="1"/>
      <c r="X20" s="30">
        <v>3090</v>
      </c>
    </row>
    <row r="21" spans="1:24">
      <c r="A21" s="6"/>
      <c r="B21" s="1" t="s">
        <v>34</v>
      </c>
      <c r="C21" s="46" t="s">
        <v>38</v>
      </c>
      <c r="D21" s="47">
        <v>257.5</v>
      </c>
      <c r="E21" s="48">
        <f>ROUND(D21*(1+$E$8),2)+0.71</f>
        <v>310.5</v>
      </c>
      <c r="F21" s="15"/>
      <c r="G21" s="49">
        <f t="shared" si="1"/>
        <v>53</v>
      </c>
      <c r="H21" s="50">
        <v>62.012626262626249</v>
      </c>
      <c r="I21" s="50"/>
      <c r="J21" s="32">
        <f t="shared" si="6"/>
        <v>231059.04545454538</v>
      </c>
      <c r="K21" s="49"/>
      <c r="L21" s="7">
        <f t="shared" si="2"/>
        <v>0.2058252427184466</v>
      </c>
      <c r="M21" s="49"/>
      <c r="N21" s="51">
        <v>77</v>
      </c>
      <c r="O21" s="50"/>
      <c r="P21" s="50">
        <f t="shared" si="7"/>
        <v>18.803330097087379</v>
      </c>
      <c r="Q21" s="32">
        <v>58102.29</v>
      </c>
      <c r="R21" s="1"/>
      <c r="S21" s="31">
        <f t="shared" si="8"/>
        <v>58102.29</v>
      </c>
      <c r="T21" s="32">
        <f t="shared" si="9"/>
        <v>231059.04545454538</v>
      </c>
      <c r="U21" s="1"/>
      <c r="V21" s="52">
        <f t="shared" si="5"/>
        <v>0.26739644262270518</v>
      </c>
      <c r="W21" s="1"/>
      <c r="X21" s="30">
        <v>182310</v>
      </c>
    </row>
    <row r="22" spans="1:24">
      <c r="A22" s="6"/>
      <c r="B22" s="1" t="s">
        <v>34</v>
      </c>
      <c r="C22" s="46">
        <v>51</v>
      </c>
      <c r="D22" s="47">
        <v>2.15</v>
      </c>
      <c r="E22" s="48">
        <f>ROUND(D22*(1+$E$8),2)+0.02</f>
        <v>2.61</v>
      </c>
      <c r="F22" s="55"/>
      <c r="G22" s="49">
        <f t="shared" si="1"/>
        <v>0.45999999999999996</v>
      </c>
      <c r="H22" s="50">
        <v>163</v>
      </c>
      <c r="I22" s="50"/>
      <c r="J22" s="32">
        <f t="shared" si="6"/>
        <v>5105.16</v>
      </c>
      <c r="K22" s="49"/>
      <c r="L22" s="7">
        <f t="shared" si="2"/>
        <v>0.21395348837209302</v>
      </c>
      <c r="M22" s="15"/>
      <c r="N22" s="51">
        <v>149</v>
      </c>
      <c r="O22" s="50"/>
      <c r="P22" s="50">
        <f t="shared" si="7"/>
        <v>40.639922480620157</v>
      </c>
      <c r="Q22" s="32">
        <v>1048.51</v>
      </c>
      <c r="R22" s="1"/>
      <c r="S22" s="31">
        <f t="shared" si="8"/>
        <v>1048.51</v>
      </c>
      <c r="T22" s="32">
        <f t="shared" si="9"/>
        <v>5105.16</v>
      </c>
      <c r="U22" s="1"/>
      <c r="V22" s="52">
        <f t="shared" si="5"/>
        <v>0.2139534883720931</v>
      </c>
      <c r="W22" s="1"/>
      <c r="X22" s="30">
        <v>4205.3999999999996</v>
      </c>
    </row>
    <row r="23" spans="1:24">
      <c r="A23" s="6"/>
      <c r="B23" s="1" t="s">
        <v>34</v>
      </c>
      <c r="C23" s="46">
        <v>52</v>
      </c>
      <c r="D23" s="47">
        <v>2.15</v>
      </c>
      <c r="E23" s="48">
        <f>ROUND(D23*(1+$E$8),2)+0.02</f>
        <v>2.61</v>
      </c>
      <c r="F23" s="15"/>
      <c r="G23" s="49">
        <f t="shared" si="1"/>
        <v>0.45999999999999996</v>
      </c>
      <c r="H23" s="50">
        <v>15</v>
      </c>
      <c r="I23" s="50"/>
      <c r="J23" s="32">
        <f t="shared" si="6"/>
        <v>469.79999999999995</v>
      </c>
      <c r="K23" s="49"/>
      <c r="L23" s="7">
        <f t="shared" si="2"/>
        <v>0.21395348837209302</v>
      </c>
      <c r="M23" s="15"/>
      <c r="N23" s="51">
        <v>28</v>
      </c>
      <c r="O23" s="50"/>
      <c r="P23" s="50">
        <f t="shared" si="7"/>
        <v>6.3860465116279066</v>
      </c>
      <c r="Q23" s="32">
        <v>164.76</v>
      </c>
      <c r="R23" s="1"/>
      <c r="S23" s="31">
        <f t="shared" si="8"/>
        <v>164.76</v>
      </c>
      <c r="T23" s="32">
        <f t="shared" si="9"/>
        <v>469.79999999999995</v>
      </c>
      <c r="U23" s="1"/>
      <c r="V23" s="52">
        <f t="shared" si="5"/>
        <v>1.1627906976744137E-2</v>
      </c>
      <c r="W23" s="1"/>
      <c r="X23" s="30">
        <v>464.4</v>
      </c>
    </row>
    <row r="24" spans="1:24">
      <c r="A24" s="6"/>
      <c r="B24" s="1" t="s">
        <v>34</v>
      </c>
      <c r="C24" s="46">
        <v>53</v>
      </c>
      <c r="D24" s="47">
        <v>2.15</v>
      </c>
      <c r="E24" s="48">
        <f>ROUND(D24*(1+$E$8),2)+0.02</f>
        <v>2.61</v>
      </c>
      <c r="F24" s="15"/>
      <c r="G24" s="49">
        <f t="shared" si="1"/>
        <v>0.45999999999999996</v>
      </c>
      <c r="H24" s="50">
        <v>217.08333333333334</v>
      </c>
      <c r="I24" s="50"/>
      <c r="J24" s="32">
        <f t="shared" si="6"/>
        <v>6799.0499999999993</v>
      </c>
      <c r="K24" s="49"/>
      <c r="L24" s="7">
        <f t="shared" si="2"/>
        <v>0.21395348837209302</v>
      </c>
      <c r="M24" s="15"/>
      <c r="N24" s="51">
        <v>264</v>
      </c>
      <c r="O24" s="50"/>
      <c r="P24" s="50">
        <f t="shared" si="7"/>
        <v>74.072868217054264</v>
      </c>
      <c r="Q24" s="32">
        <v>1911.08</v>
      </c>
      <c r="R24" s="1"/>
      <c r="S24" s="31">
        <f t="shared" si="8"/>
        <v>1911.08</v>
      </c>
      <c r="T24" s="32">
        <f t="shared" si="9"/>
        <v>6799.0499999999993</v>
      </c>
      <c r="U24" s="1"/>
      <c r="V24" s="52">
        <f t="shared" si="5"/>
        <v>0.19785940803382651</v>
      </c>
      <c r="W24" s="1"/>
      <c r="X24" s="30">
        <v>5676</v>
      </c>
    </row>
    <row r="25" spans="1:24">
      <c r="A25" s="6"/>
      <c r="B25" s="1" t="s">
        <v>34</v>
      </c>
      <c r="C25" s="46">
        <v>54</v>
      </c>
      <c r="D25" s="47">
        <v>0.75</v>
      </c>
      <c r="E25" s="48">
        <f>ROUND(D25*(1+$E$8),2)</f>
        <v>0.9</v>
      </c>
      <c r="F25" s="15"/>
      <c r="G25" s="49">
        <f t="shared" si="1"/>
        <v>0.15000000000000002</v>
      </c>
      <c r="H25" s="50">
        <v>29.977777777777749</v>
      </c>
      <c r="I25" s="50"/>
      <c r="J25" s="32">
        <f t="shared" si="6"/>
        <v>323.75999999999971</v>
      </c>
      <c r="K25" s="49"/>
      <c r="L25" s="7">
        <f t="shared" si="2"/>
        <v>0.20000000000000004</v>
      </c>
      <c r="M25" s="15"/>
      <c r="N25" s="51">
        <v>34</v>
      </c>
      <c r="O25" s="50"/>
      <c r="P25" s="50">
        <f t="shared" si="7"/>
        <v>8.6244444444444444</v>
      </c>
      <c r="Q25" s="32">
        <v>77.62</v>
      </c>
      <c r="R25" s="1"/>
      <c r="S25" s="31">
        <f t="shared" si="8"/>
        <v>77.62</v>
      </c>
      <c r="T25" s="32">
        <f t="shared" si="9"/>
        <v>323.75999999999971</v>
      </c>
      <c r="U25" s="1"/>
      <c r="V25" s="52">
        <f t="shared" si="5"/>
        <v>0.22636363636363524</v>
      </c>
      <c r="W25" s="1"/>
      <c r="X25" s="30">
        <v>264</v>
      </c>
    </row>
    <row r="26" spans="1:24">
      <c r="A26" s="6"/>
      <c r="B26" s="1" t="s">
        <v>34</v>
      </c>
      <c r="C26" s="46">
        <v>57</v>
      </c>
      <c r="D26" s="47">
        <v>2.15</v>
      </c>
      <c r="E26" s="48">
        <f>ROUND(D26*(1+$E$8),2)+0.02</f>
        <v>2.61</v>
      </c>
      <c r="F26" s="15"/>
      <c r="G26" s="49">
        <f t="shared" si="1"/>
        <v>0.45999999999999996</v>
      </c>
      <c r="H26" s="56">
        <v>33.916666666666664</v>
      </c>
      <c r="I26" s="50"/>
      <c r="J26" s="57">
        <f t="shared" si="6"/>
        <v>1062.27</v>
      </c>
      <c r="K26" s="58"/>
      <c r="L26" s="7">
        <f t="shared" si="2"/>
        <v>0.21395348837209302</v>
      </c>
      <c r="M26" s="15"/>
      <c r="N26" s="51">
        <v>66</v>
      </c>
      <c r="O26" s="50"/>
      <c r="P26" s="50">
        <f t="shared" si="7"/>
        <v>18.634883720930233</v>
      </c>
      <c r="Q26" s="32">
        <v>480.78</v>
      </c>
      <c r="R26" s="1"/>
      <c r="S26" s="31">
        <f t="shared" si="8"/>
        <v>480.78</v>
      </c>
      <c r="T26" s="32">
        <f t="shared" si="9"/>
        <v>1062.27</v>
      </c>
      <c r="U26" s="1"/>
      <c r="V26" s="52">
        <f t="shared" si="5"/>
        <v>4.2257515598412062E-3</v>
      </c>
      <c r="W26" s="1"/>
      <c r="X26" s="30">
        <v>1057.8</v>
      </c>
    </row>
    <row r="27" spans="1:24">
      <c r="A27" s="6"/>
      <c r="B27" s="1"/>
      <c r="C27" s="1"/>
      <c r="D27" s="19"/>
      <c r="E27" s="59"/>
      <c r="F27" s="15"/>
      <c r="G27" s="15"/>
      <c r="H27" s="50">
        <f>SUM(H14:H26)</f>
        <v>128338.34469157184</v>
      </c>
      <c r="I27" s="50"/>
      <c r="J27" s="32">
        <f>SUM(J14:J26)</f>
        <v>2413585.6200305563</v>
      </c>
      <c r="K27" s="49"/>
      <c r="L27" s="49"/>
      <c r="M27" s="15"/>
      <c r="N27" s="51">
        <v>158986</v>
      </c>
      <c r="O27" s="50"/>
      <c r="P27" s="50">
        <f>SUM(P14:P26)</f>
        <v>37464.511258619648</v>
      </c>
      <c r="Q27" s="32">
        <v>574056.87</v>
      </c>
      <c r="R27" s="1"/>
      <c r="S27" s="31">
        <f>SUM(S14:S26)</f>
        <v>573697.42000000004</v>
      </c>
      <c r="T27" s="32">
        <f>SUM(T14:T26)</f>
        <v>2356265.9400305562</v>
      </c>
      <c r="U27" s="1"/>
      <c r="V27" s="52">
        <f t="shared" si="5"/>
        <v>0.21108747151978419</v>
      </c>
      <c r="W27" s="1"/>
      <c r="X27" s="30">
        <v>1992907.7599999995</v>
      </c>
    </row>
    <row r="28" spans="1:24">
      <c r="A28" s="46" t="s">
        <v>7</v>
      </c>
      <c r="B28" s="6" t="s">
        <v>7</v>
      </c>
      <c r="C28" s="1"/>
      <c r="D28" s="60"/>
      <c r="E28" s="59"/>
      <c r="F28" s="15"/>
      <c r="G28" s="15"/>
      <c r="H28" s="15"/>
      <c r="I28" s="15"/>
      <c r="J28" s="14"/>
      <c r="K28" s="15"/>
    </row>
    <row r="29" spans="1:24">
      <c r="A29" s="6" t="s">
        <v>39</v>
      </c>
      <c r="B29" s="1" t="s">
        <v>7</v>
      </c>
      <c r="C29" s="6" t="s">
        <v>7</v>
      </c>
      <c r="D29" s="61">
        <v>5192</v>
      </c>
      <c r="E29" s="62">
        <v>5428</v>
      </c>
      <c r="F29" s="63">
        <f>E29-D29</f>
        <v>236</v>
      </c>
      <c r="G29" s="21"/>
      <c r="H29" s="21"/>
      <c r="I29" s="21"/>
      <c r="J29" s="35">
        <f>+J27-E48</f>
        <v>-5.9819348696619272</v>
      </c>
      <c r="K29" s="15"/>
    </row>
    <row r="30" spans="1:24">
      <c r="A30" s="46"/>
      <c r="B30" s="1"/>
      <c r="C30" s="6"/>
      <c r="D30" s="64"/>
      <c r="E30" s="65"/>
      <c r="F30" s="66"/>
      <c r="G30" s="15"/>
      <c r="H30" s="15"/>
      <c r="I30" s="15"/>
      <c r="J30" s="67" t="s">
        <v>40</v>
      </c>
      <c r="K30" s="15"/>
    </row>
    <row r="31" spans="1:24">
      <c r="A31" s="68" t="s">
        <v>41</v>
      </c>
      <c r="B31" s="1"/>
      <c r="C31" s="6"/>
      <c r="D31" s="69"/>
      <c r="E31" s="65"/>
      <c r="F31" s="66"/>
      <c r="G31" s="15"/>
      <c r="H31" s="15"/>
      <c r="I31" s="15"/>
      <c r="J31" s="15"/>
      <c r="K31" s="15"/>
    </row>
    <row r="32" spans="1:24">
      <c r="A32" s="46" t="s">
        <v>42</v>
      </c>
      <c r="B32" s="1"/>
      <c r="C32" s="6"/>
      <c r="D32" s="69"/>
      <c r="E32" s="65"/>
      <c r="F32" s="66"/>
      <c r="G32" s="15"/>
      <c r="H32" s="15"/>
      <c r="I32" s="15"/>
      <c r="J32" s="15"/>
      <c r="K32" s="15"/>
    </row>
    <row r="33" spans="1:23">
      <c r="A33" s="46"/>
      <c r="B33" s="1"/>
      <c r="C33" s="6"/>
      <c r="D33" s="69"/>
      <c r="E33" s="65"/>
      <c r="F33" s="66"/>
      <c r="G33" s="13" t="s">
        <v>14</v>
      </c>
      <c r="H33" s="13" t="s">
        <v>43</v>
      </c>
      <c r="I33" s="15"/>
      <c r="J33" s="15"/>
      <c r="K33" s="15"/>
      <c r="W33" t="s">
        <v>7</v>
      </c>
    </row>
    <row r="34" spans="1:23">
      <c r="A34" s="70" t="s">
        <v>44</v>
      </c>
      <c r="B34" s="1"/>
      <c r="C34" s="6"/>
      <c r="D34" s="69" t="s">
        <v>21</v>
      </c>
      <c r="E34" s="65" t="s">
        <v>22</v>
      </c>
      <c r="F34" s="66"/>
      <c r="G34" s="13" t="s">
        <v>45</v>
      </c>
      <c r="H34" s="13" t="s">
        <v>45</v>
      </c>
      <c r="I34" s="15"/>
      <c r="J34" s="15"/>
      <c r="K34" s="15"/>
    </row>
    <row r="35" spans="1:23">
      <c r="A35" s="1" t="s">
        <v>46</v>
      </c>
      <c r="B35" s="1"/>
      <c r="C35" s="1"/>
      <c r="D35" s="71">
        <v>322.48</v>
      </c>
      <c r="E35" s="71">
        <f>E44</f>
        <v>383.78621996415364</v>
      </c>
      <c r="F35" s="1"/>
      <c r="G35" s="72">
        <f>E35-D35</f>
        <v>61.306219964153627</v>
      </c>
      <c r="H35" s="73">
        <f>G35/D35</f>
        <v>0.1901085957707567</v>
      </c>
      <c r="I35" s="1"/>
      <c r="J35" s="1" t="s">
        <v>7</v>
      </c>
      <c r="K35" s="1"/>
      <c r="L35" s="74"/>
    </row>
    <row r="36" spans="1:23">
      <c r="A36" s="46" t="s">
        <v>47</v>
      </c>
      <c r="B36" s="1"/>
      <c r="C36" s="1"/>
      <c r="D36" s="75">
        <f>+B11</f>
        <v>67.5</v>
      </c>
      <c r="E36" s="75">
        <f>+C11</f>
        <v>70</v>
      </c>
      <c r="F36" s="1"/>
      <c r="G36" s="1"/>
      <c r="H36" s="1"/>
      <c r="I36" s="1"/>
      <c r="J36" s="1"/>
      <c r="K36" s="1"/>
    </row>
    <row r="37" spans="1:23">
      <c r="A37" s="46" t="s">
        <v>48</v>
      </c>
      <c r="B37" s="1"/>
      <c r="C37" s="1"/>
      <c r="D37" s="71">
        <f>SUM(D35:D36)</f>
        <v>389.98</v>
      </c>
      <c r="E37" s="71">
        <f>SUM(E35:E36)</f>
        <v>453.78621996415364</v>
      </c>
      <c r="F37" s="1"/>
      <c r="G37" s="1"/>
      <c r="H37" s="1"/>
      <c r="I37" s="1"/>
      <c r="J37" s="1"/>
      <c r="K37" s="1"/>
    </row>
    <row r="38" spans="1:23">
      <c r="A38" s="46"/>
      <c r="B38" s="1"/>
      <c r="C38" s="1"/>
      <c r="D38" s="71"/>
      <c r="E38" s="71"/>
      <c r="F38" s="1"/>
      <c r="G38" s="1"/>
      <c r="H38" s="1"/>
      <c r="I38" s="1"/>
      <c r="J38" s="1"/>
      <c r="K38" s="1"/>
    </row>
    <row r="39" spans="1:23">
      <c r="A39" s="46" t="s">
        <v>49</v>
      </c>
      <c r="B39" s="1"/>
      <c r="C39" s="1"/>
      <c r="D39" s="76">
        <f>D10</f>
        <v>1992907.7599999995</v>
      </c>
      <c r="E39" s="77">
        <f>E10</f>
        <v>2413585.6200305563</v>
      </c>
      <c r="F39" s="73"/>
      <c r="G39" s="1"/>
      <c r="H39" s="1"/>
      <c r="I39" s="1"/>
      <c r="J39" s="1"/>
      <c r="K39" s="1"/>
    </row>
    <row r="40" spans="1:23">
      <c r="A40" s="78" t="s">
        <v>50</v>
      </c>
      <c r="B40" s="1"/>
      <c r="C40" s="1"/>
      <c r="D40" s="76">
        <f>D35*D29</f>
        <v>1674316.1600000001</v>
      </c>
      <c r="E40" s="76">
        <f>E35*E29</f>
        <v>2083191.601965426</v>
      </c>
      <c r="F40" s="73"/>
      <c r="G40" s="79"/>
      <c r="H40" s="1"/>
      <c r="I40" s="1"/>
      <c r="J40" s="1"/>
      <c r="K40" s="1"/>
    </row>
    <row r="41" spans="1:23">
      <c r="A41" s="78"/>
      <c r="B41" s="1"/>
      <c r="C41" s="1"/>
      <c r="D41" s="76"/>
      <c r="E41" s="76"/>
      <c r="F41" s="1"/>
      <c r="G41" s="1"/>
      <c r="H41" s="1"/>
      <c r="I41" s="1"/>
      <c r="J41" s="1"/>
      <c r="K41" s="1"/>
    </row>
    <row r="42" spans="1:23">
      <c r="A42" s="46"/>
      <c r="B42" s="1"/>
      <c r="C42" s="1"/>
      <c r="D42" s="71"/>
      <c r="E42" s="71"/>
      <c r="F42" s="1"/>
      <c r="G42" s="1"/>
      <c r="H42" s="1"/>
      <c r="I42" s="80" t="s">
        <v>7</v>
      </c>
      <c r="J42" s="1"/>
      <c r="K42" s="1"/>
    </row>
    <row r="43" spans="1:23">
      <c r="A43" s="70" t="s">
        <v>51</v>
      </c>
      <c r="B43" s="1"/>
      <c r="C43" s="1"/>
      <c r="D43" s="71"/>
      <c r="E43" s="71"/>
      <c r="F43" s="1"/>
      <c r="G43" s="1"/>
      <c r="H43" s="1"/>
      <c r="I43" s="1"/>
      <c r="J43" s="1"/>
      <c r="K43" s="1"/>
    </row>
    <row r="44" spans="1:23">
      <c r="A44" s="46" t="s">
        <v>52</v>
      </c>
      <c r="B44" s="81">
        <f>1+B6</f>
        <v>1.1901085957707567</v>
      </c>
      <c r="C44" s="1"/>
      <c r="E44" s="71">
        <f>D35*B44</f>
        <v>383.78621996415364</v>
      </c>
      <c r="F44" s="1"/>
      <c r="G44" s="1"/>
      <c r="H44" s="1"/>
      <c r="I44" s="1"/>
      <c r="J44" s="1"/>
      <c r="K44" s="1"/>
    </row>
    <row r="45" spans="1:23">
      <c r="A45" s="46" t="s">
        <v>53</v>
      </c>
      <c r="B45" s="82">
        <f>+E29</f>
        <v>5428</v>
      </c>
      <c r="C45" s="1"/>
      <c r="E45" s="71"/>
      <c r="F45" s="1"/>
      <c r="G45" s="1"/>
      <c r="H45" s="1"/>
      <c r="I45" s="1"/>
      <c r="J45" s="1"/>
      <c r="K45" s="1"/>
    </row>
    <row r="46" spans="1:23">
      <c r="A46" s="83" t="s">
        <v>54</v>
      </c>
      <c r="B46" s="1"/>
      <c r="C46" s="1"/>
      <c r="E46" s="76">
        <f>+E44*B45</f>
        <v>2083191.601965426</v>
      </c>
      <c r="F46" s="1"/>
      <c r="G46" s="79"/>
      <c r="H46" s="1"/>
      <c r="I46" s="1"/>
      <c r="J46" s="1"/>
      <c r="K46" s="1"/>
    </row>
    <row r="47" spans="1:23">
      <c r="A47" s="83" t="s">
        <v>55</v>
      </c>
      <c r="E47" s="84">
        <f>+E11</f>
        <v>330400</v>
      </c>
    </row>
    <row r="48" spans="1:23">
      <c r="A48" s="85" t="s">
        <v>56</v>
      </c>
      <c r="B48" s="86"/>
      <c r="C48" s="86"/>
      <c r="D48" s="87"/>
      <c r="E48" s="88">
        <f>SUM(E46:E47)</f>
        <v>2413591.601965426</v>
      </c>
    </row>
    <row r="50" spans="1:1">
      <c r="A50" s="89" t="s">
        <v>57</v>
      </c>
    </row>
  </sheetData>
  <mergeCells count="4">
    <mergeCell ref="A1:J1"/>
    <mergeCell ref="A2:J2"/>
    <mergeCell ref="A3:J3"/>
    <mergeCell ref="B9:C9"/>
  </mergeCells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Normal="100" workbookViewId="0">
      <selection activeCell="A35" sqref="A35"/>
    </sheetView>
  </sheetViews>
  <sheetFormatPr defaultRowHeight="15.75"/>
  <cols>
    <col min="1" max="1" width="16.125" customWidth="1"/>
    <col min="3" max="3" width="10.5" bestFit="1" customWidth="1"/>
    <col min="5" max="5" width="9.625" customWidth="1"/>
    <col min="6" max="6" width="13.25" customWidth="1"/>
  </cols>
  <sheetData>
    <row r="1" spans="1:8">
      <c r="A1" s="100" t="s">
        <v>0</v>
      </c>
      <c r="B1" s="100"/>
      <c r="C1" s="100"/>
      <c r="D1" s="100"/>
      <c r="E1" s="100"/>
      <c r="F1" s="100"/>
    </row>
    <row r="2" spans="1:8">
      <c r="A2" s="100" t="s">
        <v>58</v>
      </c>
      <c r="B2" s="100"/>
      <c r="C2" s="100"/>
      <c r="D2" s="100"/>
      <c r="E2" s="100"/>
      <c r="F2" s="100"/>
    </row>
    <row r="3" spans="1:8">
      <c r="A3" s="100" t="s">
        <v>59</v>
      </c>
      <c r="B3" s="100"/>
      <c r="C3" s="100"/>
      <c r="D3" s="100"/>
      <c r="E3" s="100"/>
      <c r="F3" s="100"/>
    </row>
    <row r="4" spans="1:8">
      <c r="A4" s="1"/>
      <c r="B4" s="1"/>
      <c r="C4" s="1"/>
      <c r="D4" s="1"/>
      <c r="E4" s="1"/>
      <c r="F4" s="1"/>
    </row>
    <row r="5" spans="1:8">
      <c r="A5" s="1"/>
      <c r="B5" s="101"/>
      <c r="C5" s="101"/>
      <c r="D5" s="101"/>
      <c r="E5" s="101"/>
      <c r="F5" s="101"/>
      <c r="H5" s="90" t="s">
        <v>5</v>
      </c>
    </row>
    <row r="6" spans="1:8">
      <c r="A6" s="46" t="s">
        <v>60</v>
      </c>
      <c r="B6" s="22" t="s">
        <v>16</v>
      </c>
      <c r="C6" s="22" t="s">
        <v>61</v>
      </c>
      <c r="D6" s="22" t="s">
        <v>62</v>
      </c>
      <c r="E6" s="22" t="s">
        <v>63</v>
      </c>
      <c r="F6" s="13" t="s">
        <v>16</v>
      </c>
      <c r="H6" s="22" t="s">
        <v>63</v>
      </c>
    </row>
    <row r="7" spans="1:8">
      <c r="A7" s="91" t="s">
        <v>64</v>
      </c>
      <c r="B7" s="92" t="s">
        <v>27</v>
      </c>
      <c r="C7" s="92" t="s">
        <v>65</v>
      </c>
      <c r="D7" s="92" t="s">
        <v>66</v>
      </c>
      <c r="E7" s="93" t="s">
        <v>67</v>
      </c>
      <c r="F7" s="92" t="s">
        <v>68</v>
      </c>
      <c r="H7" s="93" t="s">
        <v>67</v>
      </c>
    </row>
    <row r="8" spans="1:8">
      <c r="A8" s="68" t="s">
        <v>69</v>
      </c>
      <c r="B8" s="94">
        <v>2312.5295341261431</v>
      </c>
      <c r="C8" s="30">
        <f>F8*E8/100</f>
        <v>1187615.8186237135</v>
      </c>
      <c r="D8" s="72">
        <f>C8/B8</f>
        <v>513.55703834177791</v>
      </c>
      <c r="E8" s="102">
        <f>ROUND(H8*(1+$E$14),3)</f>
        <v>8.1319999999999997</v>
      </c>
      <c r="F8" s="94">
        <v>14604227.971270457</v>
      </c>
      <c r="H8" s="95">
        <v>6.3959999999999999</v>
      </c>
    </row>
    <row r="9" spans="1:8">
      <c r="A9" s="68" t="s">
        <v>70</v>
      </c>
      <c r="B9" s="94">
        <v>1766.7256956709446</v>
      </c>
      <c r="C9" s="30">
        <f>F9*E9/100</f>
        <v>602209.391065103</v>
      </c>
      <c r="D9" s="72">
        <f>C9/B9</f>
        <v>340.86185112986857</v>
      </c>
      <c r="E9" s="103">
        <f>ROUND(H9*(1+$E$14),3)</f>
        <v>5.4710000000000001</v>
      </c>
      <c r="F9" s="94">
        <v>11007300.147415517</v>
      </c>
      <c r="H9">
        <v>4.3029999999999999</v>
      </c>
    </row>
    <row r="10" spans="1:8">
      <c r="A10" s="68" t="s">
        <v>71</v>
      </c>
      <c r="B10" s="94">
        <v>1348.7447702029124</v>
      </c>
      <c r="C10" s="30">
        <f>F10*E10/100</f>
        <v>293384.08836473332</v>
      </c>
      <c r="D10" s="72">
        <f>C10/B10</f>
        <v>217.52380053388089</v>
      </c>
      <c r="E10" s="102">
        <f>ROUND(H10*(1+$E$14),3)</f>
        <v>3.419</v>
      </c>
      <c r="F10" s="94">
        <v>8580991.1776757333</v>
      </c>
      <c r="H10" s="95">
        <v>2.6890000000000001</v>
      </c>
    </row>
    <row r="11" spans="1:8">
      <c r="A11" s="46" t="s">
        <v>61</v>
      </c>
      <c r="B11" s="94">
        <f>'Exhibit No.__(JRS-11) p1'!E29</f>
        <v>5428</v>
      </c>
      <c r="C11" s="30">
        <f>SUM(C8:C10)</f>
        <v>2083209.2980535498</v>
      </c>
      <c r="D11" s="72">
        <f>C11/B11</f>
        <v>383.78948011303424</v>
      </c>
      <c r="E11" s="102">
        <f>C11/F11*100</f>
        <v>6.0925879137405827</v>
      </c>
      <c r="F11" s="94">
        <f>SUM(F8:F10)</f>
        <v>34192519.296361707</v>
      </c>
      <c r="H11" s="95">
        <v>4.984</v>
      </c>
    </row>
    <row r="13" spans="1:8">
      <c r="B13" t="s">
        <v>7</v>
      </c>
    </row>
    <row r="14" spans="1:8">
      <c r="E14" s="18">
        <v>0.27134999999999998</v>
      </c>
    </row>
    <row r="16" spans="1:8">
      <c r="C16" s="96">
        <f>'Exhibit No.__(JRS-11) p1'!D40</f>
        <v>1674316.1600000001</v>
      </c>
      <c r="D16" s="74">
        <v>322.48</v>
      </c>
      <c r="H16" t="s">
        <v>7</v>
      </c>
    </row>
    <row r="17" spans="3:4">
      <c r="C17" s="96">
        <f>'Exhibit No.__(JRS-11) p1'!E40</f>
        <v>2083191.601965426</v>
      </c>
      <c r="D17" s="74">
        <f>'Exhibit No.__(JRS-11) p1'!E35</f>
        <v>383.78621996415364</v>
      </c>
    </row>
  </sheetData>
  <mergeCells count="4">
    <mergeCell ref="A1:F1"/>
    <mergeCell ref="A2:F2"/>
    <mergeCell ref="A3:F3"/>
    <mergeCell ref="B5:F5"/>
  </mergeCells>
  <printOptions horizontalCentered="1"/>
  <pageMargins left="0.25" right="0.25" top="0.5" bottom="0.2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2CDF39-A209-4337-B5A5-0DA39C90B50A}"/>
</file>

<file path=customXml/itemProps2.xml><?xml version="1.0" encoding="utf-8"?>
<ds:datastoreItem xmlns:ds="http://schemas.openxmlformats.org/officeDocument/2006/customXml" ds:itemID="{6FB42473-AD8D-4529-82C1-78E1E2EA0B88}"/>
</file>

<file path=customXml/itemProps3.xml><?xml version="1.0" encoding="utf-8"?>
<ds:datastoreItem xmlns:ds="http://schemas.openxmlformats.org/officeDocument/2006/customXml" ds:itemID="{61B604C8-4A86-472E-808F-709C6C8C54C8}"/>
</file>

<file path=customXml/itemProps4.xml><?xml version="1.0" encoding="utf-8"?>
<ds:datastoreItem xmlns:ds="http://schemas.openxmlformats.org/officeDocument/2006/customXml" ds:itemID="{C3E9AD03-C4FB-4D6E-BFE0-FD72C4B38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Exhibit No.__(JRS-11) p1</vt:lpstr>
      <vt:lpstr>Exhibit No.__(JRS-11) p2</vt:lpstr>
      <vt:lpstr>'Exhibit No.__(JRS-11) p1'!Print_Area</vt:lpstr>
      <vt:lpstr>'Exhibit No.__(JRS-11) p2'!Print_Area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2014-04-28T22:55:46Z</dcterms:created>
  <dcterms:modified xsi:type="dcterms:W3CDTF">2014-04-29T00:08:39Z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