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13 PF Colstrip Reg Asset Amortization\"/>
    </mc:Choice>
  </mc:AlternateContent>
  <bookViews>
    <workbookView xWindow="0" yWindow="0" windowWidth="19152" windowHeight="7188"/>
  </bookViews>
  <sheets>
    <sheet name="Adjustment" sheetId="3" r:id="rId1"/>
    <sheet name="2018 Adds" sheetId="2" r:id="rId2"/>
    <sheet name="2019 Adds-Amort" sheetId="5" r:id="rId3"/>
    <sheet name="2019 Adds-Rate Base" sheetId="6" r:id="rId4"/>
    <sheet name="Summary" sheetId="1" r:id="rId5"/>
  </sheets>
  <definedNames>
    <definedName name="_xlnm.Print_Area" localSheetId="1">'2018 Adds'!$A$1:$P$51</definedName>
    <definedName name="_xlnm.Print_Area" localSheetId="2">'2019 Adds-Amort'!$C$4:$M$32</definedName>
    <definedName name="_xlnm.Print_Area" localSheetId="3">'2019 Adds-Rate Base'!$E$5:$J$26</definedName>
    <definedName name="_xlnm.Print_Area" localSheetId="0">Adjustment!$A$1:$I$28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H49" i="2"/>
  <c r="D25" i="1"/>
  <c r="D24" i="1"/>
  <c r="E25" i="1"/>
  <c r="E24" i="1"/>
  <c r="D5" i="1"/>
  <c r="E28" i="1" l="1"/>
  <c r="F28" i="1"/>
  <c r="F9" i="6" l="1"/>
  <c r="M21" i="5"/>
  <c r="G21" i="5"/>
  <c r="U34" i="2"/>
  <c r="X33" i="2"/>
  <c r="P32" i="2"/>
  <c r="R8" i="2"/>
  <c r="AB17" i="2"/>
  <c r="T15" i="2"/>
  <c r="AA13" i="2"/>
  <c r="AN12" i="2"/>
  <c r="AD10" i="2"/>
  <c r="AN9" i="2"/>
  <c r="I32" i="2"/>
  <c r="H32" i="2"/>
  <c r="I34" i="2"/>
  <c r="H34" i="2"/>
  <c r="I33" i="2"/>
  <c r="H33" i="2"/>
  <c r="H6" i="2"/>
  <c r="H7" i="2"/>
  <c r="H8" i="2"/>
  <c r="H9" i="2"/>
  <c r="H10" i="2"/>
  <c r="H11" i="2"/>
  <c r="H12" i="2"/>
  <c r="H13" i="2"/>
  <c r="H14" i="2"/>
  <c r="H15" i="2"/>
  <c r="H16" i="2"/>
  <c r="H17" i="2"/>
  <c r="H5" i="2"/>
  <c r="I6" i="2"/>
  <c r="I7" i="2"/>
  <c r="I8" i="2"/>
  <c r="I9" i="2"/>
  <c r="I10" i="2"/>
  <c r="I11" i="2"/>
  <c r="I12" i="2"/>
  <c r="I13" i="2"/>
  <c r="I14" i="2"/>
  <c r="I15" i="2"/>
  <c r="I16" i="2"/>
  <c r="I17" i="2"/>
  <c r="I5" i="2"/>
  <c r="G10" i="6" l="1"/>
  <c r="F10" i="6"/>
  <c r="G8" i="6"/>
  <c r="F8" i="6"/>
  <c r="H9" i="6" l="1"/>
  <c r="H10" i="6"/>
  <c r="G11" i="6"/>
  <c r="H8" i="6"/>
  <c r="F11" i="6"/>
  <c r="J19" i="5"/>
  <c r="M23" i="5" s="1"/>
  <c r="G28" i="5" s="1"/>
  <c r="D19" i="5"/>
  <c r="K7" i="5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L18" i="5" s="1"/>
  <c r="M1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F18" i="5" s="1"/>
  <c r="G18" i="5" s="1"/>
  <c r="H11" i="6" l="1"/>
  <c r="H14" i="6" s="1"/>
  <c r="H23" i="6" s="1"/>
  <c r="H25" i="6" s="1"/>
  <c r="G23" i="5"/>
  <c r="G27" i="5" s="1"/>
  <c r="G29" i="5" s="1"/>
  <c r="H23" i="3" s="1"/>
  <c r="G12" i="3"/>
  <c r="G13" i="3"/>
  <c r="D10" i="3"/>
  <c r="E10" i="3" s="1"/>
  <c r="G10" i="3" s="1"/>
  <c r="C15" i="3"/>
  <c r="C16" i="3" s="1"/>
  <c r="C14" i="3"/>
  <c r="D14" i="3" s="1"/>
  <c r="C10" i="3"/>
  <c r="E14" i="3" l="1"/>
  <c r="D15" i="3"/>
  <c r="E15" i="3" s="1"/>
  <c r="G15" i="3" s="1"/>
  <c r="E43" i="2"/>
  <c r="H41" i="2"/>
  <c r="I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J32" i="2"/>
  <c r="J41" i="2" s="1"/>
  <c r="K32" i="2"/>
  <c r="L32" i="2" s="1"/>
  <c r="M32" i="2" s="1"/>
  <c r="N32" i="2" s="1"/>
  <c r="O32" i="2" s="1"/>
  <c r="J33" i="2"/>
  <c r="K33" i="2" s="1"/>
  <c r="L33" i="2" s="1"/>
  <c r="M33" i="2" s="1"/>
  <c r="J34" i="2"/>
  <c r="K34" i="2"/>
  <c r="L34" i="2" s="1"/>
  <c r="M34" i="2" s="1"/>
  <c r="N34" i="2" s="1"/>
  <c r="F41" i="2"/>
  <c r="G41" i="2"/>
  <c r="AM12" i="2"/>
  <c r="AT18" i="2"/>
  <c r="J6" i="2"/>
  <c r="J7" i="2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J8" i="2"/>
  <c r="K8" i="2" s="1"/>
  <c r="L8" i="2" s="1"/>
  <c r="M8" i="2" s="1"/>
  <c r="N8" i="2" s="1"/>
  <c r="O8" i="2" s="1"/>
  <c r="P8" i="2" s="1"/>
  <c r="Q8" i="2" s="1"/>
  <c r="J9" i="2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J10" i="2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J11" i="2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J12" i="2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J13" i="2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J14" i="2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J15" i="2"/>
  <c r="K15" i="2" s="1"/>
  <c r="L15" i="2" s="1"/>
  <c r="M15" i="2" s="1"/>
  <c r="N15" i="2" s="1"/>
  <c r="O15" i="2" s="1"/>
  <c r="P15" i="2" s="1"/>
  <c r="Q15" i="2" s="1"/>
  <c r="R15" i="2" s="1"/>
  <c r="S15" i="2" s="1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J17" i="2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J5" i="2"/>
  <c r="K5" i="2" s="1"/>
  <c r="H18" i="2"/>
  <c r="H43" i="2" s="1"/>
  <c r="N33" i="2" l="1"/>
  <c r="O33" i="2" s="1"/>
  <c r="P33" i="2" s="1"/>
  <c r="M41" i="2"/>
  <c r="L41" i="2"/>
  <c r="K41" i="2"/>
  <c r="G14" i="3"/>
  <c r="G16" i="3" s="1"/>
  <c r="E16" i="3"/>
  <c r="D16" i="3"/>
  <c r="O34" i="2"/>
  <c r="P34" i="2" s="1"/>
  <c r="Q34" i="2" s="1"/>
  <c r="R34" i="2" s="1"/>
  <c r="S34" i="2" s="1"/>
  <c r="T34" i="2" s="1"/>
  <c r="AR32" i="2"/>
  <c r="K6" i="2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J18" i="2"/>
  <c r="J43" i="2" s="1"/>
  <c r="V7" i="2"/>
  <c r="W7" i="2" s="1"/>
  <c r="I18" i="2"/>
  <c r="I43" i="2" s="1"/>
  <c r="AR8" i="2"/>
  <c r="AS8" i="2" s="1"/>
  <c r="AB11" i="2"/>
  <c r="AC11" i="2" s="1"/>
  <c r="AD11" i="2" s="1"/>
  <c r="AE11" i="2" s="1"/>
  <c r="AF11" i="2" s="1"/>
  <c r="AG11" i="2" s="1"/>
  <c r="AH11" i="2" s="1"/>
  <c r="AI11" i="2" s="1"/>
  <c r="AJ11" i="2" s="1"/>
  <c r="AK11" i="2" s="1"/>
  <c r="AL11" i="2" s="1"/>
  <c r="AM11" i="2" s="1"/>
  <c r="AN11" i="2" s="1"/>
  <c r="AC10" i="2"/>
  <c r="AR14" i="2"/>
  <c r="AS14" i="2" s="1"/>
  <c r="AR16" i="2"/>
  <c r="AS16" i="2" s="1"/>
  <c r="V13" i="2"/>
  <c r="W13" i="2" s="1"/>
  <c r="X13" i="2" s="1"/>
  <c r="Y13" i="2" s="1"/>
  <c r="Z13" i="2" s="1"/>
  <c r="AR15" i="2"/>
  <c r="AS15" i="2" s="1"/>
  <c r="AR12" i="2"/>
  <c r="AS12" i="2" s="1"/>
  <c r="V9" i="2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AJ9" i="2" s="1"/>
  <c r="AK9" i="2" s="1"/>
  <c r="AL9" i="2" s="1"/>
  <c r="AM9" i="2" s="1"/>
  <c r="V17" i="2"/>
  <c r="W17" i="2" s="1"/>
  <c r="X17" i="2" s="1"/>
  <c r="Y17" i="2" s="1"/>
  <c r="Z17" i="2" s="1"/>
  <c r="AA17" i="2" s="1"/>
  <c r="L5" i="2"/>
  <c r="E5" i="1"/>
  <c r="P41" i="2" l="1"/>
  <c r="Q33" i="2"/>
  <c r="AS32" i="2"/>
  <c r="O41" i="2"/>
  <c r="N41" i="2"/>
  <c r="AR34" i="2"/>
  <c r="AS34" i="2" s="1"/>
  <c r="AR10" i="2"/>
  <c r="AS10" i="2" s="1"/>
  <c r="K18" i="2"/>
  <c r="K43" i="2" s="1"/>
  <c r="Y6" i="2"/>
  <c r="Z6" i="2" s="1"/>
  <c r="AA6" i="2" s="1"/>
  <c r="AB6" i="2" s="1"/>
  <c r="AC6" i="2" s="1"/>
  <c r="AD6" i="2" s="1"/>
  <c r="AR17" i="2"/>
  <c r="AS17" i="2" s="1"/>
  <c r="AR11" i="2"/>
  <c r="AS11" i="2" s="1"/>
  <c r="AR9" i="2"/>
  <c r="AS9" i="2" s="1"/>
  <c r="AR13" i="2"/>
  <c r="AS13" i="2" s="1"/>
  <c r="X7" i="2"/>
  <c r="M5" i="2"/>
  <c r="L18" i="2"/>
  <c r="L43" i="2" s="1"/>
  <c r="G18" i="2"/>
  <c r="G43" i="2" s="1"/>
  <c r="F18" i="2"/>
  <c r="F43" i="2" s="1"/>
  <c r="E41" i="2"/>
  <c r="E18" i="2"/>
  <c r="R33" i="2" l="1"/>
  <c r="Q41" i="2"/>
  <c r="H51" i="2"/>
  <c r="H22" i="3" s="1"/>
  <c r="H24" i="3" s="1"/>
  <c r="G45" i="2"/>
  <c r="H45" i="2" s="1"/>
  <c r="F45" i="2"/>
  <c r="AE6" i="2"/>
  <c r="Y7" i="2"/>
  <c r="N5" i="2"/>
  <c r="M18" i="2"/>
  <c r="M43" i="2" s="1"/>
  <c r="F25" i="1"/>
  <c r="D14" i="1"/>
  <c r="E12" i="1"/>
  <c r="F12" i="1"/>
  <c r="G12" i="1"/>
  <c r="E7" i="1"/>
  <c r="F7" i="1"/>
  <c r="D12" i="1"/>
  <c r="D7" i="1"/>
  <c r="E11" i="1"/>
  <c r="R41" i="2" l="1"/>
  <c r="S33" i="2"/>
  <c r="H47" i="2"/>
  <c r="I45" i="2"/>
  <c r="AF6" i="2"/>
  <c r="Z7" i="2"/>
  <c r="N18" i="2"/>
  <c r="N43" i="2" s="1"/>
  <c r="O5" i="2"/>
  <c r="E17" i="1"/>
  <c r="G6" i="1"/>
  <c r="G10" i="1"/>
  <c r="G11" i="1"/>
  <c r="G5" i="1"/>
  <c r="G7" i="1" s="1"/>
  <c r="G14" i="1" s="1"/>
  <c r="S41" i="2" l="1"/>
  <c r="T33" i="2"/>
  <c r="J45" i="2"/>
  <c r="I47" i="2"/>
  <c r="C9" i="3"/>
  <c r="E21" i="1"/>
  <c r="E26" i="1"/>
  <c r="E29" i="1" s="1"/>
  <c r="AG6" i="2"/>
  <c r="AA7" i="2"/>
  <c r="O18" i="2"/>
  <c r="O43" i="2" s="1"/>
  <c r="P5" i="2"/>
  <c r="U33" i="2" l="1"/>
  <c r="T41" i="2"/>
  <c r="K45" i="2"/>
  <c r="J47" i="2"/>
  <c r="D9" i="3"/>
  <c r="D11" i="3" s="1"/>
  <c r="D18" i="3" s="1"/>
  <c r="C11" i="3"/>
  <c r="C18" i="3" s="1"/>
  <c r="F24" i="1"/>
  <c r="F26" i="1" s="1"/>
  <c r="F29" i="1" s="1"/>
  <c r="D26" i="1"/>
  <c r="D29" i="1" s="1"/>
  <c r="AH6" i="2"/>
  <c r="AB7" i="2"/>
  <c r="P18" i="2"/>
  <c r="P43" i="2" s="1"/>
  <c r="Q5" i="2"/>
  <c r="V33" i="2" l="1"/>
  <c r="U41" i="2"/>
  <c r="L45" i="2"/>
  <c r="K47" i="2"/>
  <c r="E9" i="3"/>
  <c r="AI6" i="2"/>
  <c r="AC7" i="2"/>
  <c r="R5" i="2"/>
  <c r="Q18" i="2"/>
  <c r="Q43" i="2" s="1"/>
  <c r="V41" i="2" l="1"/>
  <c r="W33" i="2"/>
  <c r="E11" i="3"/>
  <c r="E18" i="3" s="1"/>
  <c r="G9" i="3"/>
  <c r="G11" i="3" s="1"/>
  <c r="G18" i="3" s="1"/>
  <c r="M45" i="2"/>
  <c r="L47" i="2"/>
  <c r="AD7" i="2"/>
  <c r="AJ6" i="2"/>
  <c r="R18" i="2"/>
  <c r="R43" i="2" s="1"/>
  <c r="S5" i="2"/>
  <c r="W41" i="2" l="1"/>
  <c r="H18" i="3"/>
  <c r="I18" i="3" s="1"/>
  <c r="N45" i="2"/>
  <c r="M47" i="2"/>
  <c r="AE7" i="2"/>
  <c r="AK6" i="2"/>
  <c r="S18" i="2"/>
  <c r="S43" i="2" s="1"/>
  <c r="T5" i="2"/>
  <c r="X41" i="2" l="1"/>
  <c r="AR33" i="2"/>
  <c r="T18" i="2"/>
  <c r="T43" i="2" s="1"/>
  <c r="U5" i="2"/>
  <c r="O45" i="2"/>
  <c r="O47" i="2" s="1"/>
  <c r="N47" i="2"/>
  <c r="AF7" i="2"/>
  <c r="AL6" i="2"/>
  <c r="AS33" i="2" l="1"/>
  <c r="AS41" i="2" s="1"/>
  <c r="AR41" i="2"/>
  <c r="AM6" i="2"/>
  <c r="AN6" i="2" s="1"/>
  <c r="AO6" i="2" s="1"/>
  <c r="AP6" i="2" s="1"/>
  <c r="AQ6" i="2" s="1"/>
  <c r="V5" i="2"/>
  <c r="U18" i="2"/>
  <c r="U43" i="2" s="1"/>
  <c r="AG7" i="2"/>
  <c r="AR6" i="2" l="1"/>
  <c r="AS6" i="2" s="1"/>
  <c r="W5" i="2"/>
  <c r="V18" i="2"/>
  <c r="V43" i="2" s="1"/>
  <c r="AH7" i="2"/>
  <c r="X5" i="2" l="1"/>
  <c r="W18" i="2"/>
  <c r="W43" i="2" s="1"/>
  <c r="AI7" i="2"/>
  <c r="Y5" i="2" l="1"/>
  <c r="X18" i="2"/>
  <c r="X43" i="2" s="1"/>
  <c r="AJ7" i="2"/>
  <c r="Z5" i="2" l="1"/>
  <c r="Y18" i="2"/>
  <c r="Y43" i="2" s="1"/>
  <c r="AK7" i="2"/>
  <c r="AA5" i="2" l="1"/>
  <c r="Z18" i="2"/>
  <c r="Z43" i="2" s="1"/>
  <c r="AL7" i="2"/>
  <c r="AM7" i="2" s="1"/>
  <c r="AN7" i="2" s="1"/>
  <c r="AR7" i="2"/>
  <c r="AB5" i="2" l="1"/>
  <c r="AA18" i="2"/>
  <c r="AA43" i="2" s="1"/>
  <c r="AS7" i="2"/>
  <c r="AC5" i="2" l="1"/>
  <c r="AB18" i="2"/>
  <c r="AB43" i="2" s="1"/>
  <c r="AD5" i="2" l="1"/>
  <c r="AC18" i="2"/>
  <c r="AC43" i="2" s="1"/>
  <c r="AE5" i="2" l="1"/>
  <c r="AD18" i="2"/>
  <c r="AD43" i="2" s="1"/>
  <c r="AF5" i="2" l="1"/>
  <c r="AE18" i="2"/>
  <c r="AE43" i="2" s="1"/>
  <c r="AG5" i="2" l="1"/>
  <c r="AF18" i="2"/>
  <c r="AF43" i="2" s="1"/>
  <c r="AH5" i="2" l="1"/>
  <c r="AG18" i="2"/>
  <c r="AG43" i="2" s="1"/>
  <c r="AI5" i="2" l="1"/>
  <c r="AH18" i="2"/>
  <c r="AH43" i="2" s="1"/>
  <c r="AJ5" i="2" l="1"/>
  <c r="AI18" i="2"/>
  <c r="AI43" i="2" s="1"/>
  <c r="AK5" i="2" l="1"/>
  <c r="AJ18" i="2"/>
  <c r="AJ43" i="2" s="1"/>
  <c r="AL5" i="2" l="1"/>
  <c r="AK18" i="2"/>
  <c r="AK43" i="2" s="1"/>
  <c r="AM5" i="2" l="1"/>
  <c r="AL18" i="2"/>
  <c r="AL43" i="2" s="1"/>
  <c r="AM18" i="2" l="1"/>
  <c r="AM43" i="2" s="1"/>
  <c r="AN5" i="2"/>
  <c r="AO5" i="2" l="1"/>
  <c r="AN18" i="2"/>
  <c r="AN43" i="2" s="1"/>
  <c r="AO18" i="2" l="1"/>
  <c r="AO43" i="2" s="1"/>
  <c r="AP5" i="2"/>
  <c r="AP18" i="2" l="1"/>
  <c r="AP43" i="2" s="1"/>
  <c r="AQ5" i="2"/>
  <c r="AQ18" i="2" l="1"/>
  <c r="AQ43" i="2" s="1"/>
  <c r="AR5" i="2"/>
  <c r="AS5" i="2" l="1"/>
  <c r="AS18" i="2" s="1"/>
  <c r="AR18" i="2"/>
</calcChain>
</file>

<file path=xl/sharedStrings.xml><?xml version="1.0" encoding="utf-8"?>
<sst xmlns="http://schemas.openxmlformats.org/spreadsheetml/2006/main" count="142" uniqueCount="87">
  <si>
    <t>Colstrip Generation</t>
  </si>
  <si>
    <t>Colstrip Transmission</t>
  </si>
  <si>
    <t xml:space="preserve">  Cost</t>
  </si>
  <si>
    <t xml:space="preserve">   A/D</t>
  </si>
  <si>
    <t>2018 Additions</t>
  </si>
  <si>
    <t>2018 Retirements</t>
  </si>
  <si>
    <t>NBV</t>
  </si>
  <si>
    <t>12/31/2018 NBV</t>
  </si>
  <si>
    <t>Q1 Deprec</t>
  </si>
  <si>
    <t>3/31/2019 NBV</t>
  </si>
  <si>
    <t>ED.C3.310200</t>
  </si>
  <si>
    <t>ED.C3.311000</t>
  </si>
  <si>
    <t>ED.C3.312000</t>
  </si>
  <si>
    <t>ED.C3.313000</t>
  </si>
  <si>
    <t>ED.C3.314000</t>
  </si>
  <si>
    <t>ED.C3.315000</t>
  </si>
  <si>
    <t>ED.C3.316000</t>
  </si>
  <si>
    <t>ED.C4.310200</t>
  </si>
  <si>
    <t>ED.C4.311000</t>
  </si>
  <si>
    <t>ED.C4.312000</t>
  </si>
  <si>
    <t>ED.C4.313000</t>
  </si>
  <si>
    <t>ED.C4.314000</t>
  </si>
  <si>
    <t>ED.C4.315000</t>
  </si>
  <si>
    <t>ED.C4.316000</t>
  </si>
  <si>
    <t>Asset Key</t>
  </si>
  <si>
    <t>Asset Category</t>
  </si>
  <si>
    <t>COL3</t>
  </si>
  <si>
    <t>ED.AN.353000</t>
  </si>
  <si>
    <t>ED.AN.354000</t>
  </si>
  <si>
    <t>ED.AN.355000</t>
  </si>
  <si>
    <t>ED.AN.356000</t>
  </si>
  <si>
    <t>COL4</t>
  </si>
  <si>
    <t>BVW</t>
  </si>
  <si>
    <t>GARLN</t>
  </si>
  <si>
    <t>SYB</t>
  </si>
  <si>
    <t>424T</t>
  </si>
  <si>
    <t>ED.AN.350400</t>
  </si>
  <si>
    <t>ED.AN.352000</t>
  </si>
  <si>
    <t>ED.AN.359000</t>
  </si>
  <si>
    <t>429T</t>
  </si>
  <si>
    <t>Old Deprec Rate</t>
  </si>
  <si>
    <t>Cost</t>
  </si>
  <si>
    <t>A/D</t>
  </si>
  <si>
    <t>New Deprec Rate</t>
  </si>
  <si>
    <t>Colstrip Generation -12/31/2017</t>
  </si>
  <si>
    <t>Colstrip Generation -2018 Adds</t>
  </si>
  <si>
    <t>Colstrip Transmission -12/31/2017</t>
  </si>
  <si>
    <t>Colstrip Transmission -2018 Adds</t>
  </si>
  <si>
    <t xml:space="preserve">  Depreciation in 2018</t>
  </si>
  <si>
    <t>Depreciate through 2027</t>
  </si>
  <si>
    <t>Depreciate with Stated Deprec Rates</t>
  </si>
  <si>
    <t>Defer and Amortize</t>
  </si>
  <si>
    <t>Per Results</t>
  </si>
  <si>
    <t>Assets at 12/31/2017</t>
  </si>
  <si>
    <t>Generation Depreciation</t>
  </si>
  <si>
    <t>Transmission Depreciation</t>
  </si>
  <si>
    <t>Adjust to EOP Expense</t>
  </si>
  <si>
    <t>Restated</t>
  </si>
  <si>
    <t>SYSTEM</t>
  </si>
  <si>
    <t>WA Share</t>
  </si>
  <si>
    <t>Adjustment</t>
  </si>
  <si>
    <t>Revised</t>
  </si>
  <si>
    <t>Gen/Trans Depreciation</t>
  </si>
  <si>
    <t>Regulatory Amortization</t>
  </si>
  <si>
    <t>A</t>
  </si>
  <si>
    <t>Generation</t>
  </si>
  <si>
    <t>Transmission</t>
  </si>
  <si>
    <t>TTP</t>
  </si>
  <si>
    <t>EOP Balance</t>
  </si>
  <si>
    <t>AMA 2019</t>
  </si>
  <si>
    <t>2019 Deprec Exp Estimate</t>
  </si>
  <si>
    <t>WA Share Amortization for 34 Years</t>
  </si>
  <si>
    <t>B</t>
  </si>
  <si>
    <t>Note: 2019 Depreciation was estimated using the effective depreciation rate for 2018 Colstrip additions.</t>
  </si>
  <si>
    <t>2019 Additions</t>
  </si>
  <si>
    <t>Plant</t>
  </si>
  <si>
    <t>ADFIT</t>
  </si>
  <si>
    <t xml:space="preserve">   Rate Base</t>
  </si>
  <si>
    <t>Total</t>
  </si>
  <si>
    <t>WA Allocation Factor</t>
  </si>
  <si>
    <t>Pro Forma adjustment adds WA share of 2019 Colstrip additions on EOP basis.</t>
  </si>
  <si>
    <t>Total Rate Base Adjustment</t>
  </si>
  <si>
    <t>Record Use of Tax Reform Credit</t>
  </si>
  <si>
    <t xml:space="preserve">   Net Rate Base Adjustment</t>
  </si>
  <si>
    <t>C</t>
  </si>
  <si>
    <t>D</t>
  </si>
  <si>
    <t>Annual Amortization (33.75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</si>
</sst>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 applyAlignment="1">
      <alignment horizontal="center"/>
    </xf>
    <xf numFmtId="165" fontId="3" fillId="0" borderId="0" xfId="3" quotePrefix="1" applyNumberFormat="1" applyFont="1" applyFill="1"/>
    <xf numFmtId="10" fontId="0" fillId="0" borderId="0" xfId="2" applyNumberFormat="1" applyFont="1"/>
    <xf numFmtId="164" fontId="0" fillId="0" borderId="0" xfId="0" applyNumberFormat="1"/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2" xfId="1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10" fontId="0" fillId="0" borderId="0" xfId="0" applyNumberFormat="1" applyAlignment="1">
      <alignment horizontal="center"/>
    </xf>
    <xf numFmtId="164" fontId="0" fillId="2" borderId="0" xfId="0" applyNumberFormat="1" applyFill="1"/>
    <xf numFmtId="164" fontId="0" fillId="2" borderId="0" xfId="1" applyNumberFormat="1" applyFont="1" applyFill="1"/>
    <xf numFmtId="164" fontId="0" fillId="0" borderId="6" xfId="1" applyNumberFormat="1" applyFont="1" applyBorder="1"/>
    <xf numFmtId="0" fontId="4" fillId="0" borderId="0" xfId="0" applyFont="1"/>
    <xf numFmtId="164" fontId="4" fillId="0" borderId="0" xfId="1" applyNumberFormat="1" applyFont="1"/>
    <xf numFmtId="17" fontId="0" fillId="0" borderId="0" xfId="0" applyNumberFormat="1"/>
    <xf numFmtId="164" fontId="0" fillId="0" borderId="2" xfId="0" applyNumberForma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164" fontId="0" fillId="0" borderId="7" xfId="1" applyNumberFormat="1" applyFont="1" applyBorder="1"/>
    <xf numFmtId="0" fontId="0" fillId="0" borderId="8" xfId="0" applyBorder="1"/>
    <xf numFmtId="164" fontId="0" fillId="0" borderId="9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13</xdr:row>
      <xdr:rowOff>83820</xdr:rowOff>
    </xdr:from>
    <xdr:to>
      <xdr:col>8</xdr:col>
      <xdr:colOff>548640</xdr:colOff>
      <xdr:row>23</xdr:row>
      <xdr:rowOff>0</xdr:rowOff>
    </xdr:to>
    <xdr:sp macro="" textlink="">
      <xdr:nvSpPr>
        <xdr:cNvPr id="4" name="Curved Left Arrow 3"/>
        <xdr:cNvSpPr/>
      </xdr:nvSpPr>
      <xdr:spPr>
        <a:xfrm>
          <a:off x="7056120" y="2651760"/>
          <a:ext cx="480060" cy="1752600"/>
        </a:xfrm>
        <a:prstGeom prst="curvedLeftArrow">
          <a:avLst/>
        </a:prstGeom>
        <a:solidFill>
          <a:schemeClr val="bg2">
            <a:lumMod val="9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6"/>
  <sheetViews>
    <sheetView tabSelected="1" zoomScaleNormal="100" workbookViewId="0">
      <selection activeCell="H22" sqref="H22"/>
    </sheetView>
  </sheetViews>
  <sheetFormatPr defaultRowHeight="14.4" x14ac:dyDescent="0.3"/>
  <cols>
    <col min="1" max="1" width="4.44140625" customWidth="1"/>
    <col min="2" max="2" width="18.44140625" bestFit="1" customWidth="1"/>
    <col min="3" max="3" width="12.5546875" bestFit="1" customWidth="1"/>
    <col min="5" max="5" width="10" bestFit="1" customWidth="1"/>
    <col min="6" max="6" width="1.44140625" customWidth="1"/>
    <col min="7" max="7" width="10" bestFit="1" customWidth="1"/>
    <col min="8" max="8" width="12.6640625" customWidth="1"/>
    <col min="9" max="9" width="10" bestFit="1" customWidth="1"/>
  </cols>
  <sheetData>
    <row r="5" spans="1:10" ht="15" thickBot="1" x14ac:dyDescent="0.35">
      <c r="G5" s="15">
        <v>0.65390000000000004</v>
      </c>
    </row>
    <row r="6" spans="1:10" ht="15" thickBot="1" x14ac:dyDescent="0.35">
      <c r="C6" s="28" t="s">
        <v>58</v>
      </c>
      <c r="D6" s="29"/>
      <c r="E6" s="30"/>
      <c r="G6" s="28" t="s">
        <v>59</v>
      </c>
      <c r="H6" s="29"/>
      <c r="I6" s="30"/>
    </row>
    <row r="7" spans="1:10" s="11" customFormat="1" ht="43.2" x14ac:dyDescent="0.3">
      <c r="C7" s="11" t="s">
        <v>52</v>
      </c>
      <c r="D7" s="11" t="s">
        <v>56</v>
      </c>
      <c r="E7" s="11" t="s">
        <v>57</v>
      </c>
      <c r="G7" s="11" t="s">
        <v>57</v>
      </c>
      <c r="H7" s="11" t="s">
        <v>60</v>
      </c>
      <c r="I7" s="11" t="s">
        <v>61</v>
      </c>
    </row>
    <row r="8" spans="1:10" x14ac:dyDescent="0.3">
      <c r="A8" t="s">
        <v>54</v>
      </c>
      <c r="C8" s="2"/>
      <c r="D8" s="2"/>
      <c r="E8" s="2"/>
      <c r="F8" s="2"/>
      <c r="G8" s="2"/>
      <c r="H8" s="2"/>
      <c r="I8" s="2"/>
      <c r="J8" s="2"/>
    </row>
    <row r="9" spans="1:10" x14ac:dyDescent="0.3">
      <c r="B9" t="s">
        <v>53</v>
      </c>
      <c r="C9" s="2">
        <f>Summary!E17</f>
        <v>6293344</v>
      </c>
      <c r="D9" s="2">
        <f>6309506-C9</f>
        <v>16162</v>
      </c>
      <c r="E9" s="2">
        <f>SUM(C9:D9)</f>
        <v>6309506</v>
      </c>
      <c r="F9" s="14"/>
      <c r="G9" s="2">
        <f>E9*$G$5</f>
        <v>4125785.9734</v>
      </c>
      <c r="H9" s="2"/>
      <c r="I9" s="2"/>
      <c r="J9" s="2"/>
    </row>
    <row r="10" spans="1:10" x14ac:dyDescent="0.3">
      <c r="B10" t="s">
        <v>4</v>
      </c>
      <c r="C10" s="2">
        <f>Summary!E18</f>
        <v>54786</v>
      </c>
      <c r="D10" s="2">
        <f>90134-C10</f>
        <v>35348</v>
      </c>
      <c r="E10" s="2">
        <f t="shared" ref="E10:E15" si="0">SUM(C10:D10)</f>
        <v>90134</v>
      </c>
      <c r="F10" s="14"/>
      <c r="G10" s="2">
        <f t="shared" ref="G10:G15" si="1">E10*$G$5</f>
        <v>58938.622600000002</v>
      </c>
      <c r="H10" s="2"/>
      <c r="I10" s="2"/>
      <c r="J10" s="2"/>
    </row>
    <row r="11" spans="1:10" x14ac:dyDescent="0.3">
      <c r="C11" s="5">
        <f>SUM(C9:C10)</f>
        <v>6348130</v>
      </c>
      <c r="D11" s="5">
        <f t="shared" ref="D11:E11" si="2">SUM(D9:D10)</f>
        <v>51510</v>
      </c>
      <c r="E11" s="5">
        <f t="shared" si="2"/>
        <v>6399640</v>
      </c>
      <c r="F11" s="14"/>
      <c r="G11" s="5">
        <f t="shared" ref="G11" si="3">SUM(G9:G10)</f>
        <v>4184724.5959999999</v>
      </c>
      <c r="H11" s="2"/>
      <c r="I11" s="2"/>
      <c r="J11" s="2"/>
    </row>
    <row r="12" spans="1:10" x14ac:dyDescent="0.3">
      <c r="C12" s="2"/>
      <c r="D12" s="2"/>
      <c r="E12" s="2"/>
      <c r="F12" s="14"/>
      <c r="G12" s="2">
        <f t="shared" si="1"/>
        <v>0</v>
      </c>
      <c r="H12" s="2"/>
      <c r="I12" s="2"/>
      <c r="J12" s="2"/>
    </row>
    <row r="13" spans="1:10" x14ac:dyDescent="0.3">
      <c r="A13" t="s">
        <v>55</v>
      </c>
      <c r="C13" s="2"/>
      <c r="D13" s="2"/>
      <c r="E13" s="2"/>
      <c r="F13" s="14"/>
      <c r="G13" s="2">
        <f t="shared" si="1"/>
        <v>0</v>
      </c>
      <c r="H13" s="2"/>
      <c r="I13" s="2"/>
      <c r="J13" s="2"/>
    </row>
    <row r="14" spans="1:10" x14ac:dyDescent="0.3">
      <c r="B14" t="s">
        <v>53</v>
      </c>
      <c r="C14" s="2">
        <f>Summary!E19</f>
        <v>759347</v>
      </c>
      <c r="D14" s="2">
        <f>758745-C14</f>
        <v>-602</v>
      </c>
      <c r="E14" s="2">
        <f t="shared" si="0"/>
        <v>758745</v>
      </c>
      <c r="F14" s="14"/>
      <c r="G14" s="2">
        <f t="shared" si="1"/>
        <v>496143.35550000001</v>
      </c>
      <c r="H14" s="2"/>
      <c r="I14" s="2"/>
      <c r="J14" s="2"/>
    </row>
    <row r="15" spans="1:10" x14ac:dyDescent="0.3">
      <c r="B15" t="s">
        <v>4</v>
      </c>
      <c r="C15" s="2">
        <f>Summary!E20</f>
        <v>1296</v>
      </c>
      <c r="D15" s="2">
        <f>2338-C15</f>
        <v>1042</v>
      </c>
      <c r="E15" s="2">
        <f t="shared" si="0"/>
        <v>2338</v>
      </c>
      <c r="F15" s="14"/>
      <c r="G15" s="2">
        <f t="shared" si="1"/>
        <v>1528.8182000000002</v>
      </c>
      <c r="H15" s="2"/>
      <c r="I15" s="2"/>
      <c r="J15" s="2"/>
    </row>
    <row r="16" spans="1:10" x14ac:dyDescent="0.3">
      <c r="C16" s="5">
        <f>SUM(C14:C15)</f>
        <v>760643</v>
      </c>
      <c r="D16" s="5">
        <f t="shared" ref="D16:E16" si="4">SUM(D14:D15)</f>
        <v>440</v>
      </c>
      <c r="E16" s="5">
        <f t="shared" si="4"/>
        <v>761083</v>
      </c>
      <c r="F16" s="14"/>
      <c r="G16" s="5">
        <f t="shared" ref="G16" si="5">SUM(G14:G15)</f>
        <v>497672.17369999998</v>
      </c>
      <c r="H16" s="2"/>
      <c r="I16" s="2"/>
      <c r="J16" s="2"/>
    </row>
    <row r="17" spans="1:10" ht="15" thickBot="1" x14ac:dyDescent="0.35">
      <c r="C17" s="2"/>
      <c r="D17" s="2"/>
      <c r="E17" s="2"/>
      <c r="F17" s="14"/>
      <c r="G17" s="2"/>
      <c r="H17" s="2"/>
      <c r="I17" s="2"/>
      <c r="J17" s="2"/>
    </row>
    <row r="18" spans="1:10" ht="15" thickBot="1" x14ac:dyDescent="0.35">
      <c r="A18" t="s">
        <v>62</v>
      </c>
      <c r="C18" s="2">
        <f>SUM(C11,C16)</f>
        <v>7108773</v>
      </c>
      <c r="D18" s="2">
        <f t="shared" ref="D18:G18" si="6">SUM(D11,D16)</f>
        <v>51950</v>
      </c>
      <c r="E18" s="2">
        <f t="shared" si="6"/>
        <v>7160723</v>
      </c>
      <c r="F18" s="14"/>
      <c r="G18" s="2">
        <f t="shared" si="6"/>
        <v>4682396.7697000001</v>
      </c>
      <c r="H18" s="18">
        <f>4533492-G18</f>
        <v>-148904.76970000006</v>
      </c>
      <c r="I18" s="14">
        <f>SUM(G18:H18)</f>
        <v>4533492</v>
      </c>
      <c r="J18" s="2"/>
    </row>
    <row r="19" spans="1:10" x14ac:dyDescent="0.3">
      <c r="C19" s="2"/>
      <c r="D19" s="2"/>
      <c r="E19" s="2"/>
      <c r="F19" s="14"/>
      <c r="G19" s="2"/>
      <c r="H19" s="14"/>
      <c r="I19" s="2"/>
      <c r="J19" s="2"/>
    </row>
    <row r="20" spans="1:10" x14ac:dyDescent="0.3">
      <c r="A20" t="s">
        <v>63</v>
      </c>
      <c r="C20" s="2"/>
      <c r="D20" s="2"/>
      <c r="E20" s="2"/>
      <c r="F20" s="14"/>
      <c r="G20" s="2"/>
      <c r="H20" s="2"/>
      <c r="I20" s="2"/>
      <c r="J20" s="2"/>
    </row>
    <row r="21" spans="1:10" x14ac:dyDescent="0.3">
      <c r="B21" t="s">
        <v>53</v>
      </c>
      <c r="C21" s="2"/>
      <c r="D21" s="2"/>
      <c r="E21" s="2"/>
      <c r="F21" s="14"/>
      <c r="G21" s="2"/>
      <c r="H21" s="2">
        <v>1561002</v>
      </c>
      <c r="I21" s="20" t="s">
        <v>72</v>
      </c>
      <c r="J21" s="2"/>
    </row>
    <row r="22" spans="1:10" x14ac:dyDescent="0.3">
      <c r="B22" t="s">
        <v>4</v>
      </c>
      <c r="C22" s="2"/>
      <c r="D22" s="2"/>
      <c r="E22" s="2"/>
      <c r="F22" s="2"/>
      <c r="G22" s="2"/>
      <c r="H22" s="2">
        <f>'2018 Adds'!H51</f>
        <v>87236.460679768934</v>
      </c>
      <c r="I22" s="20" t="s">
        <v>64</v>
      </c>
      <c r="J22" s="2"/>
    </row>
    <row r="23" spans="1:10" ht="15" thickBot="1" x14ac:dyDescent="0.35">
      <c r="B23" t="s">
        <v>74</v>
      </c>
      <c r="C23" s="2"/>
      <c r="D23" s="2"/>
      <c r="E23" s="2"/>
      <c r="F23" s="2"/>
      <c r="G23" s="2"/>
      <c r="H23" s="2">
        <f>'2019 Adds-Amort'!G29</f>
        <v>74920.338865320547</v>
      </c>
      <c r="I23" s="20" t="s">
        <v>84</v>
      </c>
      <c r="J23" s="2"/>
    </row>
    <row r="24" spans="1:10" ht="15" thickBot="1" x14ac:dyDescent="0.35">
      <c r="C24" s="2"/>
      <c r="D24" s="2"/>
      <c r="E24" s="2"/>
      <c r="F24" s="2"/>
      <c r="G24" s="2"/>
      <c r="H24" s="18">
        <f>SUM(H21:H23)</f>
        <v>1723158.7995450897</v>
      </c>
      <c r="I24" s="2"/>
      <c r="J24" s="2"/>
    </row>
    <row r="25" spans="1:10" x14ac:dyDescent="0.3">
      <c r="C25" s="2"/>
      <c r="D25" s="2"/>
      <c r="E25" s="2"/>
      <c r="F25" s="2"/>
      <c r="G25" s="2"/>
      <c r="H25" s="2"/>
      <c r="I25" s="2"/>
      <c r="J25" s="2"/>
    </row>
    <row r="26" spans="1:10" x14ac:dyDescent="0.3">
      <c r="C26" s="2"/>
      <c r="D26" s="2"/>
      <c r="E26" s="2"/>
      <c r="F26" s="2"/>
      <c r="G26" s="2"/>
      <c r="H26" s="2"/>
      <c r="I26" s="2"/>
      <c r="J26" s="2"/>
    </row>
  </sheetData>
  <mergeCells count="2">
    <mergeCell ref="C6:E6"/>
    <mergeCell ref="G6:I6"/>
  </mergeCells>
  <printOptions horizontalCentered="1" gridLines="1"/>
  <pageMargins left="0.7" right="0.7" top="0.75" bottom="0.75" header="0.3" footer="0.3"/>
  <pageSetup orientation="landscape" r:id="rId1"/>
  <headerFooter>
    <oddFooter>&amp;LAvista
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51"/>
  <sheetViews>
    <sheetView zoomScaleNormal="100" workbookViewId="0">
      <pane xSplit="4" ySplit="3" topLeftCell="E26" activePane="bottomRight" state="frozen"/>
      <selection activeCell="B24" sqref="B24"/>
      <selection pane="topRight" activeCell="B24" sqref="B24"/>
      <selection pane="bottomLeft" activeCell="B24" sqref="B24"/>
      <selection pane="bottomRight" activeCell="H17" sqref="H17"/>
    </sheetView>
  </sheetViews>
  <sheetFormatPr defaultRowHeight="14.4" x14ac:dyDescent="0.3"/>
  <cols>
    <col min="1" max="1" width="7.5546875" customWidth="1"/>
    <col min="2" max="2" width="13.21875" bestFit="1" customWidth="1"/>
    <col min="3" max="3" width="9.88671875" customWidth="1"/>
    <col min="4" max="4" width="11" bestFit="1" customWidth="1"/>
    <col min="5" max="6" width="11.109375" bestFit="1" customWidth="1"/>
    <col min="7" max="7" width="10.109375" bestFit="1" customWidth="1"/>
    <col min="8" max="8" width="11.109375" bestFit="1" customWidth="1"/>
    <col min="44" max="44" width="10" bestFit="1" customWidth="1"/>
    <col min="45" max="45" width="10.5546875" bestFit="1" customWidth="1"/>
  </cols>
  <sheetData>
    <row r="2" spans="2:45" x14ac:dyDescent="0.3">
      <c r="E2" s="1">
        <v>43465</v>
      </c>
      <c r="F2" s="1">
        <v>43465</v>
      </c>
    </row>
    <row r="3" spans="2:45" s="11" customFormat="1" ht="43.2" x14ac:dyDescent="0.3">
      <c r="B3" s="11" t="s">
        <v>25</v>
      </c>
      <c r="C3" s="11" t="s">
        <v>40</v>
      </c>
      <c r="D3" s="11" t="s">
        <v>43</v>
      </c>
      <c r="E3" s="10" t="s">
        <v>41</v>
      </c>
      <c r="F3" s="11" t="s">
        <v>42</v>
      </c>
      <c r="G3" s="11">
        <v>2019</v>
      </c>
      <c r="H3" s="11">
        <v>2020</v>
      </c>
      <c r="I3" s="11">
        <v>2021</v>
      </c>
      <c r="J3" s="11">
        <v>2022</v>
      </c>
      <c r="K3" s="11">
        <v>2023</v>
      </c>
      <c r="L3" s="11">
        <v>2024</v>
      </c>
      <c r="M3" s="11">
        <v>2025</v>
      </c>
      <c r="N3" s="11">
        <v>2026</v>
      </c>
      <c r="O3" s="11">
        <v>2027</v>
      </c>
      <c r="P3" s="11">
        <v>2028</v>
      </c>
      <c r="Q3" s="11">
        <v>2029</v>
      </c>
      <c r="R3" s="11">
        <v>2030</v>
      </c>
      <c r="S3" s="11">
        <v>2031</v>
      </c>
      <c r="T3" s="11">
        <v>2032</v>
      </c>
      <c r="U3" s="11">
        <v>2033</v>
      </c>
      <c r="V3" s="11">
        <v>2034</v>
      </c>
      <c r="W3" s="11">
        <v>2035</v>
      </c>
      <c r="X3" s="11">
        <v>2036</v>
      </c>
      <c r="Y3" s="11">
        <v>2037</v>
      </c>
      <c r="Z3" s="11">
        <v>2038</v>
      </c>
      <c r="AA3" s="11">
        <v>2039</v>
      </c>
      <c r="AB3" s="11">
        <v>2040</v>
      </c>
      <c r="AC3" s="11">
        <v>2041</v>
      </c>
      <c r="AD3" s="11">
        <v>2042</v>
      </c>
      <c r="AE3" s="11">
        <v>2043</v>
      </c>
      <c r="AF3" s="11">
        <v>2044</v>
      </c>
      <c r="AG3" s="11">
        <v>2045</v>
      </c>
      <c r="AH3" s="11">
        <v>2046</v>
      </c>
      <c r="AI3" s="11">
        <v>2047</v>
      </c>
      <c r="AJ3" s="11">
        <v>2048</v>
      </c>
      <c r="AK3" s="11">
        <v>2049</v>
      </c>
      <c r="AL3" s="11">
        <v>2050</v>
      </c>
      <c r="AM3" s="11">
        <v>2051</v>
      </c>
      <c r="AN3" s="11">
        <v>2052</v>
      </c>
      <c r="AO3" s="11">
        <v>2053</v>
      </c>
      <c r="AP3" s="11">
        <v>2054</v>
      </c>
      <c r="AQ3" s="11">
        <v>2055</v>
      </c>
    </row>
    <row r="4" spans="2:45" x14ac:dyDescent="0.3">
      <c r="B4" t="s">
        <v>10</v>
      </c>
      <c r="C4" s="2"/>
      <c r="D4" s="2"/>
      <c r="E4" s="2">
        <v>0</v>
      </c>
      <c r="F4" s="2"/>
    </row>
    <row r="5" spans="2:45" x14ac:dyDescent="0.3">
      <c r="B5" t="s">
        <v>11</v>
      </c>
      <c r="C5" s="8">
        <v>1.5607578329479021E-2</v>
      </c>
      <c r="D5" s="8">
        <v>1.9914184775725444E-2</v>
      </c>
      <c r="E5" s="2">
        <v>461216.26199999999</v>
      </c>
      <c r="F5" s="2">
        <v>4461.6797416580694</v>
      </c>
      <c r="G5" s="2">
        <v>4461.6797416580694</v>
      </c>
      <c r="H5" s="2">
        <f>($E5*$C5*3/12)+($E5*$D5*9/12)</f>
        <v>8688.1766312766777</v>
      </c>
      <c r="I5" s="2">
        <f>$E5*$D5</f>
        <v>9184.7458630373967</v>
      </c>
      <c r="J5" s="9">
        <f t="shared" ref="J5:T5" si="0">I5</f>
        <v>9184.7458630373967</v>
      </c>
      <c r="K5" s="9">
        <f t="shared" si="0"/>
        <v>9184.7458630373967</v>
      </c>
      <c r="L5" s="9">
        <f t="shared" si="0"/>
        <v>9184.7458630373967</v>
      </c>
      <c r="M5" s="9">
        <f t="shared" si="0"/>
        <v>9184.7458630373967</v>
      </c>
      <c r="N5" s="9">
        <f t="shared" si="0"/>
        <v>9184.7458630373967</v>
      </c>
      <c r="O5" s="9">
        <f t="shared" si="0"/>
        <v>9184.7458630373967</v>
      </c>
      <c r="P5" s="9">
        <f t="shared" si="0"/>
        <v>9184.7458630373967</v>
      </c>
      <c r="Q5" s="9">
        <f t="shared" si="0"/>
        <v>9184.7458630373967</v>
      </c>
      <c r="R5" s="9">
        <f t="shared" si="0"/>
        <v>9184.7458630373967</v>
      </c>
      <c r="S5" s="9">
        <f t="shared" si="0"/>
        <v>9184.7458630373967</v>
      </c>
      <c r="T5" s="9">
        <f t="shared" si="0"/>
        <v>9184.7458630373967</v>
      </c>
      <c r="U5" s="9">
        <f t="shared" ref="U5:AC5" si="1">T5</f>
        <v>9184.7458630373967</v>
      </c>
      <c r="V5" s="9">
        <f t="shared" si="1"/>
        <v>9184.7458630373967</v>
      </c>
      <c r="W5" s="9">
        <f t="shared" si="1"/>
        <v>9184.7458630373967</v>
      </c>
      <c r="X5" s="9">
        <f t="shared" si="1"/>
        <v>9184.7458630373967</v>
      </c>
      <c r="Y5" s="9">
        <f t="shared" si="1"/>
        <v>9184.7458630373967</v>
      </c>
      <c r="Z5" s="9">
        <f t="shared" si="1"/>
        <v>9184.7458630373967</v>
      </c>
      <c r="AA5" s="9">
        <f t="shared" si="1"/>
        <v>9184.7458630373967</v>
      </c>
      <c r="AB5" s="9">
        <f t="shared" si="1"/>
        <v>9184.7458630373967</v>
      </c>
      <c r="AC5" s="9">
        <f t="shared" si="1"/>
        <v>9184.7458630373967</v>
      </c>
      <c r="AD5" s="9">
        <f t="shared" ref="AD5:AL5" si="2">AC5</f>
        <v>9184.7458630373967</v>
      </c>
      <c r="AE5" s="9">
        <f t="shared" si="2"/>
        <v>9184.7458630373967</v>
      </c>
      <c r="AF5" s="9">
        <f t="shared" si="2"/>
        <v>9184.7458630373967</v>
      </c>
      <c r="AG5" s="9">
        <f t="shared" si="2"/>
        <v>9184.7458630373967</v>
      </c>
      <c r="AH5" s="9">
        <f t="shared" si="2"/>
        <v>9184.7458630373967</v>
      </c>
      <c r="AI5" s="9">
        <f t="shared" si="2"/>
        <v>9184.7458630373967</v>
      </c>
      <c r="AJ5" s="9">
        <f t="shared" si="2"/>
        <v>9184.7458630373967</v>
      </c>
      <c r="AK5" s="9">
        <f t="shared" si="2"/>
        <v>9184.7458630373967</v>
      </c>
      <c r="AL5" s="9">
        <f t="shared" si="2"/>
        <v>9184.7458630373967</v>
      </c>
      <c r="AM5" s="9">
        <f t="shared" ref="AM5:AN5" si="3">AL5</f>
        <v>9184.7458630373967</v>
      </c>
      <c r="AN5" s="9">
        <f t="shared" si="3"/>
        <v>9184.7458630373967</v>
      </c>
      <c r="AO5" s="9">
        <f t="shared" ref="AO5:AQ5" si="4">AN5</f>
        <v>9184.7458630373967</v>
      </c>
      <c r="AP5" s="9">
        <f t="shared" si="4"/>
        <v>9184.7458630373967</v>
      </c>
      <c r="AQ5" s="9">
        <f t="shared" si="4"/>
        <v>9184.7458630373967</v>
      </c>
      <c r="AR5" s="9">
        <f t="shared" ref="AR5:AR17" si="5">SUM(F5:AQ5)</f>
        <v>339077.64132090175</v>
      </c>
      <c r="AS5" s="9">
        <f>AR5-E5</f>
        <v>-122138.62067909824</v>
      </c>
    </row>
    <row r="6" spans="2:45" x14ac:dyDescent="0.3">
      <c r="B6" t="s">
        <v>12</v>
      </c>
      <c r="C6" s="8">
        <v>1.9317992718059809E-2</v>
      </c>
      <c r="D6" s="8">
        <v>2.6716725845957183E-2</v>
      </c>
      <c r="E6" s="2">
        <v>461216.19199999992</v>
      </c>
      <c r="F6" s="2">
        <v>5522.3616883055656</v>
      </c>
      <c r="G6" s="2">
        <v>5522.3616883055656</v>
      </c>
      <c r="H6" s="2">
        <f t="shared" ref="H6:H17" si="6">($E6*$C6*3/12)+($E6*$D6*9/12)</f>
        <v>11469.08267766208</v>
      </c>
      <c r="I6" s="2">
        <f t="shared" ref="I6:I17" si="7">$E6*$D6</f>
        <v>12322.186557380348</v>
      </c>
      <c r="J6" s="9">
        <f t="shared" ref="J6:T17" si="8">I6</f>
        <v>12322.186557380348</v>
      </c>
      <c r="K6" s="9">
        <f t="shared" si="8"/>
        <v>12322.186557380348</v>
      </c>
      <c r="L6" s="9">
        <f t="shared" si="8"/>
        <v>12322.186557380348</v>
      </c>
      <c r="M6" s="9">
        <f t="shared" si="8"/>
        <v>12322.186557380348</v>
      </c>
      <c r="N6" s="9">
        <f t="shared" si="8"/>
        <v>12322.186557380348</v>
      </c>
      <c r="O6" s="9">
        <f t="shared" si="8"/>
        <v>12322.186557380348</v>
      </c>
      <c r="P6" s="9">
        <f t="shared" si="8"/>
        <v>12322.186557380348</v>
      </c>
      <c r="Q6" s="9">
        <f t="shared" si="8"/>
        <v>12322.186557380348</v>
      </c>
      <c r="R6" s="9">
        <f t="shared" si="8"/>
        <v>12322.186557380348</v>
      </c>
      <c r="S6" s="9">
        <f t="shared" si="8"/>
        <v>12322.186557380348</v>
      </c>
      <c r="T6" s="9">
        <f t="shared" si="8"/>
        <v>12322.186557380348</v>
      </c>
      <c r="U6" s="9">
        <f t="shared" ref="U6:AC6" si="9">T6</f>
        <v>12322.186557380348</v>
      </c>
      <c r="V6" s="9">
        <f t="shared" si="9"/>
        <v>12322.186557380348</v>
      </c>
      <c r="W6" s="9">
        <f t="shared" si="9"/>
        <v>12322.186557380348</v>
      </c>
      <c r="X6" s="9">
        <f t="shared" si="9"/>
        <v>12322.186557380348</v>
      </c>
      <c r="Y6" s="9">
        <f t="shared" si="9"/>
        <v>12322.186557380348</v>
      </c>
      <c r="Z6" s="9">
        <f t="shared" si="9"/>
        <v>12322.186557380348</v>
      </c>
      <c r="AA6" s="9">
        <f t="shared" si="9"/>
        <v>12322.186557380348</v>
      </c>
      <c r="AB6" s="9">
        <f t="shared" si="9"/>
        <v>12322.186557380348</v>
      </c>
      <c r="AC6" s="9">
        <f t="shared" si="9"/>
        <v>12322.186557380348</v>
      </c>
      <c r="AD6" s="9">
        <f t="shared" ref="AD6:AL6" si="10">AC6</f>
        <v>12322.186557380348</v>
      </c>
      <c r="AE6" s="9">
        <f t="shared" si="10"/>
        <v>12322.186557380348</v>
      </c>
      <c r="AF6" s="9">
        <f t="shared" si="10"/>
        <v>12322.186557380348</v>
      </c>
      <c r="AG6" s="9">
        <f t="shared" si="10"/>
        <v>12322.186557380348</v>
      </c>
      <c r="AH6" s="9">
        <f t="shared" si="10"/>
        <v>12322.186557380348</v>
      </c>
      <c r="AI6" s="9">
        <f t="shared" si="10"/>
        <v>12322.186557380348</v>
      </c>
      <c r="AJ6" s="9">
        <f t="shared" si="10"/>
        <v>12322.186557380348</v>
      </c>
      <c r="AK6" s="9">
        <f t="shared" si="10"/>
        <v>12322.186557380348</v>
      </c>
      <c r="AL6" s="9">
        <f t="shared" si="10"/>
        <v>12322.186557380348</v>
      </c>
      <c r="AM6" s="9">
        <f t="shared" ref="AM6:AN6" si="11">AL6</f>
        <v>12322.186557380348</v>
      </c>
      <c r="AN6" s="9">
        <f t="shared" si="11"/>
        <v>12322.186557380348</v>
      </c>
      <c r="AO6" s="9">
        <f t="shared" ref="AO6:AQ6" si="12">AN6</f>
        <v>12322.186557380348</v>
      </c>
      <c r="AP6" s="9">
        <f t="shared" si="12"/>
        <v>12322.186557380348</v>
      </c>
      <c r="AQ6" s="9">
        <f t="shared" si="12"/>
        <v>12322.186557380348</v>
      </c>
      <c r="AR6" s="9">
        <f t="shared" si="5"/>
        <v>453790.33556258556</v>
      </c>
      <c r="AS6" s="9">
        <f t="shared" ref="AS6:AS17" si="13">AR6-E6</f>
        <v>-7425.8564374143607</v>
      </c>
    </row>
    <row r="7" spans="2:45" x14ac:dyDescent="0.3">
      <c r="B7" t="s">
        <v>13</v>
      </c>
      <c r="C7" s="8">
        <v>2.92E-2</v>
      </c>
      <c r="D7" s="8">
        <v>9.2177077016373565E-2</v>
      </c>
      <c r="E7" s="2"/>
      <c r="F7" s="2">
        <v>0</v>
      </c>
      <c r="G7" s="2">
        <v>0</v>
      </c>
      <c r="H7" s="2">
        <f t="shared" si="6"/>
        <v>0</v>
      </c>
      <c r="I7" s="2">
        <f t="shared" si="7"/>
        <v>0</v>
      </c>
      <c r="J7" s="9">
        <f t="shared" si="8"/>
        <v>0</v>
      </c>
      <c r="K7" s="9">
        <f t="shared" si="8"/>
        <v>0</v>
      </c>
      <c r="L7" s="9">
        <f t="shared" si="8"/>
        <v>0</v>
      </c>
      <c r="M7" s="9">
        <f t="shared" si="8"/>
        <v>0</v>
      </c>
      <c r="N7" s="9">
        <f t="shared" si="8"/>
        <v>0</v>
      </c>
      <c r="O7" s="9">
        <f t="shared" si="8"/>
        <v>0</v>
      </c>
      <c r="P7" s="9">
        <f t="shared" si="8"/>
        <v>0</v>
      </c>
      <c r="Q7" s="9">
        <f t="shared" si="8"/>
        <v>0</v>
      </c>
      <c r="R7" s="9">
        <f t="shared" si="8"/>
        <v>0</v>
      </c>
      <c r="S7" s="9">
        <f t="shared" si="8"/>
        <v>0</v>
      </c>
      <c r="T7" s="9">
        <f t="shared" si="8"/>
        <v>0</v>
      </c>
      <c r="U7" s="9">
        <f t="shared" ref="U7:AC7" si="14">T7</f>
        <v>0</v>
      </c>
      <c r="V7" s="9">
        <f t="shared" si="14"/>
        <v>0</v>
      </c>
      <c r="W7" s="9">
        <f t="shared" si="14"/>
        <v>0</v>
      </c>
      <c r="X7" s="9">
        <f t="shared" si="14"/>
        <v>0</v>
      </c>
      <c r="Y7" s="9">
        <f t="shared" si="14"/>
        <v>0</v>
      </c>
      <c r="Z7" s="9">
        <f t="shared" si="14"/>
        <v>0</v>
      </c>
      <c r="AA7" s="9">
        <f t="shared" si="14"/>
        <v>0</v>
      </c>
      <c r="AB7" s="9">
        <f t="shared" si="14"/>
        <v>0</v>
      </c>
      <c r="AC7" s="9">
        <f t="shared" si="14"/>
        <v>0</v>
      </c>
      <c r="AD7" s="9">
        <f t="shared" ref="AD7:AL7" si="15">AC7</f>
        <v>0</v>
      </c>
      <c r="AE7" s="9">
        <f t="shared" si="15"/>
        <v>0</v>
      </c>
      <c r="AF7" s="9">
        <f t="shared" si="15"/>
        <v>0</v>
      </c>
      <c r="AG7" s="9">
        <f t="shared" si="15"/>
        <v>0</v>
      </c>
      <c r="AH7" s="9">
        <f t="shared" si="15"/>
        <v>0</v>
      </c>
      <c r="AI7" s="9">
        <f t="shared" si="15"/>
        <v>0</v>
      </c>
      <c r="AJ7" s="9">
        <f t="shared" si="15"/>
        <v>0</v>
      </c>
      <c r="AK7" s="9">
        <f t="shared" si="15"/>
        <v>0</v>
      </c>
      <c r="AL7" s="9">
        <f t="shared" si="15"/>
        <v>0</v>
      </c>
      <c r="AM7" s="9">
        <f t="shared" ref="AM7:AN7" si="16">AL7</f>
        <v>0</v>
      </c>
      <c r="AN7" s="9">
        <f t="shared" si="16"/>
        <v>0</v>
      </c>
      <c r="AO7" s="9"/>
      <c r="AR7" s="9">
        <f t="shared" si="5"/>
        <v>0</v>
      </c>
      <c r="AS7" s="9">
        <f t="shared" si="13"/>
        <v>0</v>
      </c>
    </row>
    <row r="8" spans="2:45" x14ac:dyDescent="0.3">
      <c r="B8" t="s">
        <v>14</v>
      </c>
      <c r="C8" s="8">
        <v>2.7859478702577545E-2</v>
      </c>
      <c r="D8" s="8">
        <v>8.3373311814496642E-2</v>
      </c>
      <c r="E8" s="2">
        <v>461216.19199999992</v>
      </c>
      <c r="F8" s="2">
        <v>7964.0840582494511</v>
      </c>
      <c r="G8" s="2">
        <v>7964.0840582494511</v>
      </c>
      <c r="H8" s="2">
        <f t="shared" si="6"/>
        <v>32052.151711710037</v>
      </c>
      <c r="I8" s="2">
        <f t="shared" si="7"/>
        <v>38453.121389510743</v>
      </c>
      <c r="J8" s="9">
        <f t="shared" si="8"/>
        <v>38453.121389510743</v>
      </c>
      <c r="K8" s="9">
        <f t="shared" si="8"/>
        <v>38453.121389510743</v>
      </c>
      <c r="L8" s="9">
        <f t="shared" si="8"/>
        <v>38453.121389510743</v>
      </c>
      <c r="M8" s="9">
        <f t="shared" si="8"/>
        <v>38453.121389510743</v>
      </c>
      <c r="N8" s="9">
        <f t="shared" si="8"/>
        <v>38453.121389510743</v>
      </c>
      <c r="O8" s="9">
        <f t="shared" si="8"/>
        <v>38453.121389510743</v>
      </c>
      <c r="P8" s="9">
        <f t="shared" si="8"/>
        <v>38453.121389510743</v>
      </c>
      <c r="Q8" s="9">
        <f t="shared" si="8"/>
        <v>38453.121389510743</v>
      </c>
      <c r="R8" s="9">
        <f t="shared" si="8"/>
        <v>38453.121389510743</v>
      </c>
      <c r="S8" s="9">
        <v>28705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R8" s="9">
        <f t="shared" si="5"/>
        <v>461216.53372331645</v>
      </c>
      <c r="AS8" s="9">
        <f t="shared" si="13"/>
        <v>0.34172331652371213</v>
      </c>
    </row>
    <row r="9" spans="2:45" x14ac:dyDescent="0.3">
      <c r="B9" t="s">
        <v>15</v>
      </c>
      <c r="C9" s="8">
        <v>1.7276969436675553E-2</v>
      </c>
      <c r="D9" s="8">
        <v>2.9704221835736032E-2</v>
      </c>
      <c r="E9" s="2">
        <v>461216.21199999994</v>
      </c>
      <c r="F9" s="2">
        <v>4938.9021071696843</v>
      </c>
      <c r="G9" s="2">
        <v>4938.9021071696843</v>
      </c>
      <c r="H9" s="2">
        <f t="shared" si="6"/>
        <v>12267.156106220213</v>
      </c>
      <c r="I9" s="2">
        <f t="shared" si="7"/>
        <v>13700.068675485858</v>
      </c>
      <c r="J9" s="9">
        <f t="shared" si="8"/>
        <v>13700.068675485858</v>
      </c>
      <c r="K9" s="9">
        <f t="shared" si="8"/>
        <v>13700.068675485858</v>
      </c>
      <c r="L9" s="9">
        <f t="shared" si="8"/>
        <v>13700.068675485858</v>
      </c>
      <c r="M9" s="9">
        <f t="shared" si="8"/>
        <v>13700.068675485858</v>
      </c>
      <c r="N9" s="9">
        <f t="shared" si="8"/>
        <v>13700.068675485858</v>
      </c>
      <c r="O9" s="9">
        <f t="shared" si="8"/>
        <v>13700.068675485858</v>
      </c>
      <c r="P9" s="9">
        <f t="shared" si="8"/>
        <v>13700.068675485858</v>
      </c>
      <c r="Q9" s="9">
        <f t="shared" si="8"/>
        <v>13700.068675485858</v>
      </c>
      <c r="R9" s="9">
        <f t="shared" si="8"/>
        <v>13700.068675485858</v>
      </c>
      <c r="S9" s="9">
        <f t="shared" si="8"/>
        <v>13700.068675485858</v>
      </c>
      <c r="T9" s="9">
        <f t="shared" si="8"/>
        <v>13700.068675485858</v>
      </c>
      <c r="U9" s="9">
        <f t="shared" ref="U9:AC9" si="17">T9</f>
        <v>13700.068675485858</v>
      </c>
      <c r="V9" s="9">
        <f t="shared" si="17"/>
        <v>13700.068675485858</v>
      </c>
      <c r="W9" s="9">
        <f t="shared" si="17"/>
        <v>13700.068675485858</v>
      </c>
      <c r="X9" s="9">
        <f t="shared" si="17"/>
        <v>13700.068675485858</v>
      </c>
      <c r="Y9" s="9">
        <f t="shared" si="17"/>
        <v>13700.068675485858</v>
      </c>
      <c r="Z9" s="9">
        <f t="shared" si="17"/>
        <v>13700.068675485858</v>
      </c>
      <c r="AA9" s="9">
        <f t="shared" si="17"/>
        <v>13700.068675485858</v>
      </c>
      <c r="AB9" s="9">
        <f t="shared" si="17"/>
        <v>13700.068675485858</v>
      </c>
      <c r="AC9" s="9">
        <f t="shared" si="17"/>
        <v>13700.068675485858</v>
      </c>
      <c r="AD9" s="9">
        <f t="shared" ref="AD9:AL9" si="18">AC9</f>
        <v>13700.068675485858</v>
      </c>
      <c r="AE9" s="9">
        <f t="shared" si="18"/>
        <v>13700.068675485858</v>
      </c>
      <c r="AF9" s="9">
        <f t="shared" si="18"/>
        <v>13700.068675485858</v>
      </c>
      <c r="AG9" s="9">
        <f t="shared" si="18"/>
        <v>13700.068675485858</v>
      </c>
      <c r="AH9" s="9">
        <f t="shared" si="18"/>
        <v>13700.068675485858</v>
      </c>
      <c r="AI9" s="9">
        <f t="shared" si="18"/>
        <v>13700.068675485858</v>
      </c>
      <c r="AJ9" s="9">
        <f t="shared" si="18"/>
        <v>13700.068675485858</v>
      </c>
      <c r="AK9" s="9">
        <f t="shared" si="18"/>
        <v>13700.068675485858</v>
      </c>
      <c r="AL9" s="9">
        <f t="shared" si="18"/>
        <v>13700.068675485858</v>
      </c>
      <c r="AM9" s="9">
        <f t="shared" ref="AM9:AN9" si="19">AL9</f>
        <v>13700.068675485858</v>
      </c>
      <c r="AN9" s="9">
        <f t="shared" si="19"/>
        <v>13700.068675485858</v>
      </c>
      <c r="AO9" s="9">
        <v>669</v>
      </c>
      <c r="AR9" s="9">
        <f t="shared" si="5"/>
        <v>461216.15793610679</v>
      </c>
      <c r="AS9" s="9">
        <f t="shared" si="13"/>
        <v>-5.4063893156126142E-2</v>
      </c>
    </row>
    <row r="10" spans="2:45" x14ac:dyDescent="0.3">
      <c r="B10" t="s">
        <v>16</v>
      </c>
      <c r="C10" s="8">
        <v>1.4582375067416472E-2</v>
      </c>
      <c r="D10" s="8">
        <v>4.2136221172684028E-2</v>
      </c>
      <c r="E10" s="2">
        <v>461216.19199999992</v>
      </c>
      <c r="F10" s="2">
        <v>4168.6085387908206</v>
      </c>
      <c r="G10" s="2">
        <v>4168.6085387908206</v>
      </c>
      <c r="H10" s="2">
        <f t="shared" si="6"/>
        <v>16256.837480628717</v>
      </c>
      <c r="I10" s="2">
        <f t="shared" si="7"/>
        <v>19433.907474535099</v>
      </c>
      <c r="J10" s="9">
        <f t="shared" si="8"/>
        <v>19433.907474535099</v>
      </c>
      <c r="K10" s="9">
        <f t="shared" si="8"/>
        <v>19433.907474535099</v>
      </c>
      <c r="L10" s="9">
        <f t="shared" si="8"/>
        <v>19433.907474535099</v>
      </c>
      <c r="M10" s="9">
        <f t="shared" si="8"/>
        <v>19433.907474535099</v>
      </c>
      <c r="N10" s="9">
        <f t="shared" si="8"/>
        <v>19433.907474535099</v>
      </c>
      <c r="O10" s="9">
        <f t="shared" si="8"/>
        <v>19433.907474535099</v>
      </c>
      <c r="P10" s="9">
        <f t="shared" si="8"/>
        <v>19433.907474535099</v>
      </c>
      <c r="Q10" s="9">
        <f t="shared" si="8"/>
        <v>19433.907474535099</v>
      </c>
      <c r="R10" s="9">
        <f t="shared" si="8"/>
        <v>19433.907474535099</v>
      </c>
      <c r="S10" s="9">
        <f t="shared" si="8"/>
        <v>19433.907474535099</v>
      </c>
      <c r="T10" s="9">
        <f t="shared" si="8"/>
        <v>19433.907474535099</v>
      </c>
      <c r="U10" s="9">
        <f t="shared" ref="U10:AD10" si="20">T10</f>
        <v>19433.907474535099</v>
      </c>
      <c r="V10" s="9">
        <f t="shared" si="20"/>
        <v>19433.907474535099</v>
      </c>
      <c r="W10" s="9">
        <f t="shared" si="20"/>
        <v>19433.907474535099</v>
      </c>
      <c r="X10" s="9">
        <f t="shared" si="20"/>
        <v>19433.907474535099</v>
      </c>
      <c r="Y10" s="9">
        <f t="shared" si="20"/>
        <v>19433.907474535099</v>
      </c>
      <c r="Z10" s="9">
        <f t="shared" si="20"/>
        <v>19433.907474535099</v>
      </c>
      <c r="AA10" s="9">
        <f t="shared" si="20"/>
        <v>19433.907474535099</v>
      </c>
      <c r="AB10" s="9">
        <f t="shared" si="20"/>
        <v>19433.907474535099</v>
      </c>
      <c r="AC10" s="9">
        <f t="shared" si="20"/>
        <v>19433.907474535099</v>
      </c>
      <c r="AD10" s="9">
        <f t="shared" si="20"/>
        <v>19433.907474535099</v>
      </c>
      <c r="AE10" s="9">
        <v>9076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R10" s="9">
        <f t="shared" si="5"/>
        <v>461216.01899798267</v>
      </c>
      <c r="AS10" s="9">
        <f t="shared" si="13"/>
        <v>-0.1730020172544755</v>
      </c>
    </row>
    <row r="11" spans="2:45" x14ac:dyDescent="0.3">
      <c r="B11" t="s">
        <v>17</v>
      </c>
      <c r="C11" s="8"/>
      <c r="D11" s="8"/>
      <c r="E11" s="2"/>
      <c r="F11" s="2">
        <v>0</v>
      </c>
      <c r="G11" s="2">
        <v>0</v>
      </c>
      <c r="H11" s="2">
        <f t="shared" si="6"/>
        <v>0</v>
      </c>
      <c r="I11" s="2">
        <f t="shared" si="7"/>
        <v>0</v>
      </c>
      <c r="J11" s="9">
        <f t="shared" si="8"/>
        <v>0</v>
      </c>
      <c r="K11" s="9">
        <f t="shared" si="8"/>
        <v>0</v>
      </c>
      <c r="L11" s="9">
        <f t="shared" si="8"/>
        <v>0</v>
      </c>
      <c r="M11" s="9">
        <f t="shared" si="8"/>
        <v>0</v>
      </c>
      <c r="N11" s="9">
        <f t="shared" si="8"/>
        <v>0</v>
      </c>
      <c r="O11" s="9">
        <f t="shared" si="8"/>
        <v>0</v>
      </c>
      <c r="P11" s="9">
        <f t="shared" si="8"/>
        <v>0</v>
      </c>
      <c r="Q11" s="9">
        <f t="shared" si="8"/>
        <v>0</v>
      </c>
      <c r="R11" s="9">
        <f t="shared" si="8"/>
        <v>0</v>
      </c>
      <c r="S11" s="9">
        <f t="shared" si="8"/>
        <v>0</v>
      </c>
      <c r="T11" s="9">
        <f t="shared" si="8"/>
        <v>0</v>
      </c>
      <c r="U11" s="9">
        <f t="shared" ref="U11:AC11" si="21">T11</f>
        <v>0</v>
      </c>
      <c r="V11" s="9">
        <f t="shared" si="21"/>
        <v>0</v>
      </c>
      <c r="W11" s="9">
        <f t="shared" si="21"/>
        <v>0</v>
      </c>
      <c r="X11" s="9">
        <f t="shared" si="21"/>
        <v>0</v>
      </c>
      <c r="Y11" s="9">
        <f t="shared" si="21"/>
        <v>0</v>
      </c>
      <c r="Z11" s="9">
        <f t="shared" si="21"/>
        <v>0</v>
      </c>
      <c r="AA11" s="9">
        <f t="shared" si="21"/>
        <v>0</v>
      </c>
      <c r="AB11" s="9">
        <f t="shared" si="21"/>
        <v>0</v>
      </c>
      <c r="AC11" s="9">
        <f t="shared" si="21"/>
        <v>0</v>
      </c>
      <c r="AD11" s="9">
        <f t="shared" ref="AD11:AL11" si="22">AC11</f>
        <v>0</v>
      </c>
      <c r="AE11" s="9">
        <f t="shared" si="22"/>
        <v>0</v>
      </c>
      <c r="AF11" s="9">
        <f t="shared" si="22"/>
        <v>0</v>
      </c>
      <c r="AG11" s="9">
        <f t="shared" si="22"/>
        <v>0</v>
      </c>
      <c r="AH11" s="9">
        <f t="shared" si="22"/>
        <v>0</v>
      </c>
      <c r="AI11" s="9">
        <f t="shared" si="22"/>
        <v>0</v>
      </c>
      <c r="AJ11" s="9">
        <f t="shared" si="22"/>
        <v>0</v>
      </c>
      <c r="AK11" s="9">
        <f t="shared" si="22"/>
        <v>0</v>
      </c>
      <c r="AL11" s="9">
        <f t="shared" si="22"/>
        <v>0</v>
      </c>
      <c r="AM11" s="9">
        <f t="shared" ref="AM11:AN11" si="23">AL11</f>
        <v>0</v>
      </c>
      <c r="AN11" s="9">
        <f t="shared" si="23"/>
        <v>0</v>
      </c>
      <c r="AO11" s="9"/>
      <c r="AR11" s="9">
        <f t="shared" si="5"/>
        <v>0</v>
      </c>
      <c r="AS11" s="9">
        <f t="shared" si="13"/>
        <v>0</v>
      </c>
    </row>
    <row r="12" spans="2:45" x14ac:dyDescent="0.3">
      <c r="B12" t="s">
        <v>18</v>
      </c>
      <c r="C12" s="8">
        <v>1.675207719262075E-2</v>
      </c>
      <c r="D12" s="8">
        <v>2.9460750468074434E-2</v>
      </c>
      <c r="E12" s="2">
        <v>555552.32750000001</v>
      </c>
      <c r="F12" s="2">
        <v>5552.0958093173176</v>
      </c>
      <c r="G12" s="2">
        <v>5552.0958093173176</v>
      </c>
      <c r="H12" s="2">
        <f t="shared" si="6"/>
        <v>14601.90523803163</v>
      </c>
      <c r="I12" s="2">
        <f t="shared" si="7"/>
        <v>16366.988492435466</v>
      </c>
      <c r="J12" s="9">
        <f t="shared" si="8"/>
        <v>16366.988492435466</v>
      </c>
      <c r="K12" s="9">
        <f t="shared" si="8"/>
        <v>16366.988492435466</v>
      </c>
      <c r="L12" s="9">
        <f t="shared" si="8"/>
        <v>16366.988492435466</v>
      </c>
      <c r="M12" s="9">
        <f t="shared" si="8"/>
        <v>16366.988492435466</v>
      </c>
      <c r="N12" s="9">
        <f t="shared" si="8"/>
        <v>16366.988492435466</v>
      </c>
      <c r="O12" s="9">
        <f t="shared" si="8"/>
        <v>16366.988492435466</v>
      </c>
      <c r="P12" s="9">
        <f t="shared" si="8"/>
        <v>16366.988492435466</v>
      </c>
      <c r="Q12" s="9">
        <f t="shared" si="8"/>
        <v>16366.988492435466</v>
      </c>
      <c r="R12" s="9">
        <f t="shared" si="8"/>
        <v>16366.988492435466</v>
      </c>
      <c r="S12" s="9">
        <f t="shared" si="8"/>
        <v>16366.988492435466</v>
      </c>
      <c r="T12" s="9">
        <f t="shared" si="8"/>
        <v>16366.988492435466</v>
      </c>
      <c r="U12" s="9">
        <f t="shared" ref="U12:AC12" si="24">T12</f>
        <v>16366.988492435466</v>
      </c>
      <c r="V12" s="9">
        <f t="shared" si="24"/>
        <v>16366.988492435466</v>
      </c>
      <c r="W12" s="9">
        <f t="shared" si="24"/>
        <v>16366.988492435466</v>
      </c>
      <c r="X12" s="9">
        <f t="shared" si="24"/>
        <v>16366.988492435466</v>
      </c>
      <c r="Y12" s="9">
        <f t="shared" si="24"/>
        <v>16366.988492435466</v>
      </c>
      <c r="Z12" s="9">
        <f t="shared" si="24"/>
        <v>16366.988492435466</v>
      </c>
      <c r="AA12" s="9">
        <f t="shared" si="24"/>
        <v>16366.988492435466</v>
      </c>
      <c r="AB12" s="9">
        <f t="shared" si="24"/>
        <v>16366.988492435466</v>
      </c>
      <c r="AC12" s="9">
        <f t="shared" si="24"/>
        <v>16366.988492435466</v>
      </c>
      <c r="AD12" s="9">
        <f t="shared" ref="AD12:AL12" si="25">AC12</f>
        <v>16366.988492435466</v>
      </c>
      <c r="AE12" s="9">
        <f t="shared" si="25"/>
        <v>16366.988492435466</v>
      </c>
      <c r="AF12" s="9">
        <f t="shared" si="25"/>
        <v>16366.988492435466</v>
      </c>
      <c r="AG12" s="9">
        <f t="shared" si="25"/>
        <v>16366.988492435466</v>
      </c>
      <c r="AH12" s="9">
        <f t="shared" si="25"/>
        <v>16366.988492435466</v>
      </c>
      <c r="AI12" s="9">
        <f t="shared" si="25"/>
        <v>16366.988492435466</v>
      </c>
      <c r="AJ12" s="9">
        <f t="shared" si="25"/>
        <v>16366.988492435466</v>
      </c>
      <c r="AK12" s="9">
        <f t="shared" si="25"/>
        <v>16366.988492435466</v>
      </c>
      <c r="AL12" s="9">
        <f t="shared" si="25"/>
        <v>16366.988492435466</v>
      </c>
      <c r="AM12" s="9">
        <f t="shared" ref="AM12:AN12" si="26">AL12</f>
        <v>16366.988492435466</v>
      </c>
      <c r="AN12" s="9">
        <f t="shared" si="26"/>
        <v>16366.988492435466</v>
      </c>
      <c r="AO12" s="9">
        <v>6103</v>
      </c>
      <c r="AR12" s="9">
        <f t="shared" si="5"/>
        <v>555552.72861460131</v>
      </c>
      <c r="AS12" s="9">
        <f t="shared" si="13"/>
        <v>0.40111460129264742</v>
      </c>
    </row>
    <row r="13" spans="2:45" x14ac:dyDescent="0.3">
      <c r="B13" t="s">
        <v>19</v>
      </c>
      <c r="C13" s="8">
        <v>2.1965636782670838E-2</v>
      </c>
      <c r="D13" s="8">
        <v>4.7887963749550296E-2</v>
      </c>
      <c r="E13" s="2">
        <v>555552.3175</v>
      </c>
      <c r="F13" s="2">
        <v>7280.0117534396368</v>
      </c>
      <c r="G13" s="2">
        <v>7280.0117534396368</v>
      </c>
      <c r="H13" s="2">
        <f t="shared" si="6"/>
        <v>23003.967036057998</v>
      </c>
      <c r="I13" s="2">
        <f t="shared" si="7"/>
        <v>26604.269241418657</v>
      </c>
      <c r="J13" s="9">
        <f t="shared" si="8"/>
        <v>26604.269241418657</v>
      </c>
      <c r="K13" s="9">
        <f t="shared" si="8"/>
        <v>26604.269241418657</v>
      </c>
      <c r="L13" s="9">
        <f t="shared" si="8"/>
        <v>26604.269241418657</v>
      </c>
      <c r="M13" s="9">
        <f t="shared" si="8"/>
        <v>26604.269241418657</v>
      </c>
      <c r="N13" s="9">
        <f t="shared" si="8"/>
        <v>26604.269241418657</v>
      </c>
      <c r="O13" s="9">
        <f t="shared" si="8"/>
        <v>26604.269241418657</v>
      </c>
      <c r="P13" s="9">
        <f t="shared" si="8"/>
        <v>26604.269241418657</v>
      </c>
      <c r="Q13" s="9">
        <f t="shared" si="8"/>
        <v>26604.269241418657</v>
      </c>
      <c r="R13" s="9">
        <f t="shared" si="8"/>
        <v>26604.269241418657</v>
      </c>
      <c r="S13" s="9">
        <f t="shared" si="8"/>
        <v>26604.269241418657</v>
      </c>
      <c r="T13" s="9">
        <f t="shared" si="8"/>
        <v>26604.269241418657</v>
      </c>
      <c r="U13" s="9">
        <f t="shared" ref="U13:AA13" si="27">T13</f>
        <v>26604.269241418657</v>
      </c>
      <c r="V13" s="9">
        <f t="shared" si="27"/>
        <v>26604.269241418657</v>
      </c>
      <c r="W13" s="9">
        <f t="shared" si="27"/>
        <v>26604.269241418657</v>
      </c>
      <c r="X13" s="9">
        <f t="shared" si="27"/>
        <v>26604.269241418657</v>
      </c>
      <c r="Y13" s="9">
        <f t="shared" si="27"/>
        <v>26604.269241418657</v>
      </c>
      <c r="Z13" s="9">
        <f t="shared" si="27"/>
        <v>26604.269241418657</v>
      </c>
      <c r="AA13" s="9">
        <f t="shared" si="27"/>
        <v>26604.269241418657</v>
      </c>
      <c r="AB13" s="9">
        <v>12507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R13" s="9">
        <f t="shared" si="5"/>
        <v>555552.10612989159</v>
      </c>
      <c r="AS13" s="9">
        <f t="shared" si="13"/>
        <v>-0.21137010841630399</v>
      </c>
    </row>
    <row r="14" spans="2:45" x14ac:dyDescent="0.3">
      <c r="B14" t="s">
        <v>20</v>
      </c>
      <c r="C14" s="8">
        <v>2.92E-2</v>
      </c>
      <c r="D14" s="8">
        <v>9.3389933292904792E-2</v>
      </c>
      <c r="E14" s="2"/>
      <c r="F14" s="2">
        <v>0</v>
      </c>
      <c r="G14" s="2">
        <v>0</v>
      </c>
      <c r="H14" s="2">
        <f t="shared" si="6"/>
        <v>0</v>
      </c>
      <c r="I14" s="2">
        <f t="shared" si="7"/>
        <v>0</v>
      </c>
      <c r="J14" s="9">
        <f t="shared" si="8"/>
        <v>0</v>
      </c>
      <c r="K14" s="9">
        <f t="shared" si="8"/>
        <v>0</v>
      </c>
      <c r="L14" s="9">
        <f t="shared" si="8"/>
        <v>0</v>
      </c>
      <c r="M14" s="9">
        <f t="shared" si="8"/>
        <v>0</v>
      </c>
      <c r="N14" s="9">
        <f t="shared" si="8"/>
        <v>0</v>
      </c>
      <c r="O14" s="9">
        <f t="shared" si="8"/>
        <v>0</v>
      </c>
      <c r="P14" s="9">
        <f t="shared" si="8"/>
        <v>0</v>
      </c>
      <c r="Q14" s="9">
        <f t="shared" si="8"/>
        <v>0</v>
      </c>
      <c r="R14" s="9">
        <f t="shared" si="8"/>
        <v>0</v>
      </c>
      <c r="S14" s="9">
        <f t="shared" si="8"/>
        <v>0</v>
      </c>
      <c r="T14" s="9">
        <f t="shared" si="8"/>
        <v>0</v>
      </c>
      <c r="U14" s="9">
        <f t="shared" ref="U14:AC14" si="28">T14</f>
        <v>0</v>
      </c>
      <c r="V14" s="9">
        <f t="shared" si="28"/>
        <v>0</v>
      </c>
      <c r="W14" s="9">
        <f t="shared" si="28"/>
        <v>0</v>
      </c>
      <c r="X14" s="9">
        <f t="shared" si="28"/>
        <v>0</v>
      </c>
      <c r="Y14" s="9">
        <f t="shared" si="28"/>
        <v>0</v>
      </c>
      <c r="Z14" s="9">
        <f t="shared" si="28"/>
        <v>0</v>
      </c>
      <c r="AA14" s="9">
        <f t="shared" si="28"/>
        <v>0</v>
      </c>
      <c r="AB14" s="9">
        <f t="shared" si="28"/>
        <v>0</v>
      </c>
      <c r="AC14" s="9">
        <f t="shared" si="28"/>
        <v>0</v>
      </c>
      <c r="AD14" s="9">
        <f t="shared" ref="AD14:AL14" si="29">AC14</f>
        <v>0</v>
      </c>
      <c r="AE14" s="9">
        <f t="shared" si="29"/>
        <v>0</v>
      </c>
      <c r="AF14" s="9">
        <f t="shared" si="29"/>
        <v>0</v>
      </c>
      <c r="AG14" s="9">
        <f t="shared" si="29"/>
        <v>0</v>
      </c>
      <c r="AH14" s="9">
        <f t="shared" si="29"/>
        <v>0</v>
      </c>
      <c r="AI14" s="9">
        <f t="shared" si="29"/>
        <v>0</v>
      </c>
      <c r="AJ14" s="9">
        <f t="shared" si="29"/>
        <v>0</v>
      </c>
      <c r="AK14" s="9">
        <f t="shared" si="29"/>
        <v>0</v>
      </c>
      <c r="AL14" s="9">
        <f t="shared" si="29"/>
        <v>0</v>
      </c>
      <c r="AM14" s="9">
        <f t="shared" ref="AM14:AN14" si="30">AL14</f>
        <v>0</v>
      </c>
      <c r="AN14" s="9">
        <f t="shared" si="30"/>
        <v>0</v>
      </c>
      <c r="AO14" s="9"/>
      <c r="AR14" s="9">
        <f t="shared" si="5"/>
        <v>0</v>
      </c>
      <c r="AS14" s="9">
        <f t="shared" si="13"/>
        <v>0</v>
      </c>
    </row>
    <row r="15" spans="2:45" x14ac:dyDescent="0.3">
      <c r="B15" t="s">
        <v>21</v>
      </c>
      <c r="C15" s="8">
        <v>2.8754110256000436E-2</v>
      </c>
      <c r="D15" s="8">
        <v>7.5890160374915958E-2</v>
      </c>
      <c r="E15" s="2">
        <v>555552.28749999998</v>
      </c>
      <c r="F15" s="2">
        <v>9529.8970751297966</v>
      </c>
      <c r="G15" s="2">
        <v>9529.8970751297966</v>
      </c>
      <c r="H15" s="2">
        <f t="shared" si="6"/>
        <v>35614.317078206877</v>
      </c>
      <c r="I15" s="2">
        <f t="shared" si="7"/>
        <v>42160.952195026417</v>
      </c>
      <c r="J15" s="9">
        <f t="shared" si="8"/>
        <v>42160.952195026417</v>
      </c>
      <c r="K15" s="9">
        <f t="shared" si="8"/>
        <v>42160.952195026417</v>
      </c>
      <c r="L15" s="9">
        <f t="shared" si="8"/>
        <v>42160.952195026417</v>
      </c>
      <c r="M15" s="9">
        <f t="shared" si="8"/>
        <v>42160.952195026417</v>
      </c>
      <c r="N15" s="9">
        <f t="shared" si="8"/>
        <v>42160.952195026417</v>
      </c>
      <c r="O15" s="9">
        <f t="shared" si="8"/>
        <v>42160.952195026417</v>
      </c>
      <c r="P15" s="9">
        <f t="shared" si="8"/>
        <v>42160.952195026417</v>
      </c>
      <c r="Q15" s="9">
        <f t="shared" si="8"/>
        <v>42160.952195026417</v>
      </c>
      <c r="R15" s="9">
        <f t="shared" si="8"/>
        <v>42160.952195026417</v>
      </c>
      <c r="S15" s="9">
        <f t="shared" si="8"/>
        <v>42160.952195026417</v>
      </c>
      <c r="T15" s="9">
        <f>S15-5053</f>
        <v>37107.952195026417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R15" s="9">
        <f t="shared" si="5"/>
        <v>555552.53756878362</v>
      </c>
      <c r="AS15" s="9">
        <f t="shared" si="13"/>
        <v>0.25006878364365548</v>
      </c>
    </row>
    <row r="16" spans="2:45" x14ac:dyDescent="0.3">
      <c r="B16" t="s">
        <v>22</v>
      </c>
      <c r="C16" s="8">
        <v>1.8767010399034896E-2</v>
      </c>
      <c r="D16" s="8">
        <v>3.7155496432975534E-2</v>
      </c>
      <c r="E16" s="2"/>
      <c r="F16" s="2">
        <v>0</v>
      </c>
      <c r="G16" s="2">
        <v>0</v>
      </c>
      <c r="H16" s="2">
        <f t="shared" si="6"/>
        <v>0</v>
      </c>
      <c r="I16" s="2">
        <f t="shared" si="7"/>
        <v>0</v>
      </c>
      <c r="J16" s="9">
        <f t="shared" si="8"/>
        <v>0</v>
      </c>
      <c r="K16" s="9">
        <f t="shared" si="8"/>
        <v>0</v>
      </c>
      <c r="L16" s="9">
        <f t="shared" si="8"/>
        <v>0</v>
      </c>
      <c r="M16" s="9">
        <f t="shared" si="8"/>
        <v>0</v>
      </c>
      <c r="N16" s="9">
        <f t="shared" si="8"/>
        <v>0</v>
      </c>
      <c r="O16" s="9">
        <f t="shared" si="8"/>
        <v>0</v>
      </c>
      <c r="P16" s="9">
        <f t="shared" si="8"/>
        <v>0</v>
      </c>
      <c r="Q16" s="9">
        <f t="shared" si="8"/>
        <v>0</v>
      </c>
      <c r="R16" s="9">
        <f t="shared" si="8"/>
        <v>0</v>
      </c>
      <c r="S16" s="9">
        <f t="shared" si="8"/>
        <v>0</v>
      </c>
      <c r="T16" s="9">
        <f t="shared" si="8"/>
        <v>0</v>
      </c>
      <c r="U16" s="9">
        <f t="shared" ref="U16:AC16" si="31">T16</f>
        <v>0</v>
      </c>
      <c r="V16" s="9">
        <f t="shared" si="31"/>
        <v>0</v>
      </c>
      <c r="W16" s="9">
        <f t="shared" si="31"/>
        <v>0</v>
      </c>
      <c r="X16" s="9">
        <f t="shared" si="31"/>
        <v>0</v>
      </c>
      <c r="Y16" s="9">
        <f t="shared" si="31"/>
        <v>0</v>
      </c>
      <c r="Z16" s="9">
        <f t="shared" si="31"/>
        <v>0</v>
      </c>
      <c r="AA16" s="9">
        <f t="shared" si="31"/>
        <v>0</v>
      </c>
      <c r="AB16" s="9">
        <f t="shared" si="31"/>
        <v>0</v>
      </c>
      <c r="AC16" s="9">
        <f t="shared" si="31"/>
        <v>0</v>
      </c>
      <c r="AD16" s="9">
        <f t="shared" ref="AD16:AL16" si="32">AC16</f>
        <v>0</v>
      </c>
      <c r="AE16" s="9">
        <f t="shared" si="32"/>
        <v>0</v>
      </c>
      <c r="AF16" s="9">
        <f t="shared" si="32"/>
        <v>0</v>
      </c>
      <c r="AG16" s="9">
        <f t="shared" si="32"/>
        <v>0</v>
      </c>
      <c r="AH16" s="9">
        <f t="shared" si="32"/>
        <v>0</v>
      </c>
      <c r="AI16" s="9">
        <f t="shared" si="32"/>
        <v>0</v>
      </c>
      <c r="AJ16" s="9">
        <f t="shared" si="32"/>
        <v>0</v>
      </c>
      <c r="AK16" s="9">
        <f t="shared" si="32"/>
        <v>0</v>
      </c>
      <c r="AL16" s="9">
        <f t="shared" si="32"/>
        <v>0</v>
      </c>
      <c r="AM16" s="9">
        <f t="shared" ref="AM16:AN16" si="33">AL16</f>
        <v>0</v>
      </c>
      <c r="AN16" s="9">
        <f t="shared" si="33"/>
        <v>0</v>
      </c>
      <c r="AO16" s="9"/>
      <c r="AR16" s="9">
        <f t="shared" si="5"/>
        <v>0</v>
      </c>
      <c r="AS16" s="9">
        <f t="shared" si="13"/>
        <v>0</v>
      </c>
    </row>
    <row r="17" spans="1:46" x14ac:dyDescent="0.3">
      <c r="B17" t="s">
        <v>23</v>
      </c>
      <c r="C17" s="8">
        <v>1.6196570897655867E-2</v>
      </c>
      <c r="D17" s="8">
        <v>4.7426549824171584E-2</v>
      </c>
      <c r="E17" s="2">
        <v>555552.35750000004</v>
      </c>
      <c r="F17" s="2">
        <v>5367.9859288957978</v>
      </c>
      <c r="G17" s="2">
        <v>5367.9859288957978</v>
      </c>
      <c r="H17" s="2">
        <f t="shared" si="6"/>
        <v>22010.459458584453</v>
      </c>
      <c r="I17" s="2">
        <f t="shared" si="7"/>
        <v>26347.931562909736</v>
      </c>
      <c r="J17" s="9">
        <f t="shared" si="8"/>
        <v>26347.931562909736</v>
      </c>
      <c r="K17" s="9">
        <f t="shared" si="8"/>
        <v>26347.931562909736</v>
      </c>
      <c r="L17" s="9">
        <f t="shared" si="8"/>
        <v>26347.931562909736</v>
      </c>
      <c r="M17" s="9">
        <f t="shared" si="8"/>
        <v>26347.931562909736</v>
      </c>
      <c r="N17" s="9">
        <f t="shared" si="8"/>
        <v>26347.931562909736</v>
      </c>
      <c r="O17" s="9">
        <f t="shared" si="8"/>
        <v>26347.931562909736</v>
      </c>
      <c r="P17" s="9">
        <f t="shared" si="8"/>
        <v>26347.931562909736</v>
      </c>
      <c r="Q17" s="9">
        <f t="shared" si="8"/>
        <v>26347.931562909736</v>
      </c>
      <c r="R17" s="9">
        <f t="shared" si="8"/>
        <v>26347.931562909736</v>
      </c>
      <c r="S17" s="9">
        <f t="shared" si="8"/>
        <v>26347.931562909736</v>
      </c>
      <c r="T17" s="9">
        <f t="shared" si="8"/>
        <v>26347.931562909736</v>
      </c>
      <c r="U17" s="9">
        <f t="shared" ref="U17:AA17" si="34">T17</f>
        <v>26347.931562909736</v>
      </c>
      <c r="V17" s="9">
        <f t="shared" si="34"/>
        <v>26347.931562909736</v>
      </c>
      <c r="W17" s="9">
        <f t="shared" si="34"/>
        <v>26347.931562909736</v>
      </c>
      <c r="X17" s="9">
        <f t="shared" si="34"/>
        <v>26347.931562909736</v>
      </c>
      <c r="Y17" s="9">
        <f t="shared" si="34"/>
        <v>26347.931562909736</v>
      </c>
      <c r="Z17" s="9">
        <f t="shared" si="34"/>
        <v>26347.931562909736</v>
      </c>
      <c r="AA17" s="9">
        <f t="shared" si="34"/>
        <v>26347.931562909736</v>
      </c>
      <c r="AB17" s="9">
        <f>AA17-4153</f>
        <v>22194.931562909736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R17" s="9">
        <f t="shared" si="5"/>
        <v>555552.06257457077</v>
      </c>
      <c r="AS17" s="9">
        <f t="shared" si="13"/>
        <v>-0.2949254292761907</v>
      </c>
    </row>
    <row r="18" spans="1:46" x14ac:dyDescent="0.3">
      <c r="E18" s="9">
        <f>SUM(E4:E17)</f>
        <v>4528290.34</v>
      </c>
      <c r="F18" s="2">
        <f>SUM(F4:F17)</f>
        <v>54785.626700956142</v>
      </c>
      <c r="G18" s="2">
        <f>SUM(G4:G17)</f>
        <v>54785.626700956142</v>
      </c>
      <c r="H18" s="2">
        <f>SUM(H4:H17)</f>
        <v>175964.05341837867</v>
      </c>
      <c r="I18" s="2">
        <f>SUM(I4:I17)</f>
        <v>204574.17145173973</v>
      </c>
      <c r="J18" s="2">
        <f t="shared" ref="J18:T18" si="35">SUM(J4:J17)</f>
        <v>204574.17145173973</v>
      </c>
      <c r="K18" s="2">
        <f t="shared" si="35"/>
        <v>204574.17145173973</v>
      </c>
      <c r="L18" s="2">
        <f t="shared" si="35"/>
        <v>204574.17145173973</v>
      </c>
      <c r="M18" s="2">
        <f t="shared" si="35"/>
        <v>204574.17145173973</v>
      </c>
      <c r="N18" s="2">
        <f t="shared" si="35"/>
        <v>204574.17145173973</v>
      </c>
      <c r="O18" s="2">
        <f t="shared" si="35"/>
        <v>204574.17145173973</v>
      </c>
      <c r="P18" s="2">
        <f t="shared" si="35"/>
        <v>204574.17145173973</v>
      </c>
      <c r="Q18" s="2">
        <f t="shared" si="35"/>
        <v>204574.17145173973</v>
      </c>
      <c r="R18" s="2">
        <f t="shared" si="35"/>
        <v>204574.17145173973</v>
      </c>
      <c r="S18" s="2">
        <f t="shared" si="35"/>
        <v>194826.05006222898</v>
      </c>
      <c r="T18" s="2">
        <f t="shared" si="35"/>
        <v>161068.05006222898</v>
      </c>
      <c r="U18" s="2">
        <f t="shared" ref="U18" si="36">SUM(U4:U17)</f>
        <v>123960.09786720257</v>
      </c>
      <c r="V18" s="2">
        <f t="shared" ref="V18" si="37">SUM(V4:V17)</f>
        <v>123960.09786720257</v>
      </c>
      <c r="W18" s="2">
        <f t="shared" ref="W18" si="38">SUM(W4:W17)</f>
        <v>123960.09786720257</v>
      </c>
      <c r="X18" s="2">
        <f t="shared" ref="X18" si="39">SUM(X4:X17)</f>
        <v>123960.09786720257</v>
      </c>
      <c r="Y18" s="2">
        <f t="shared" ref="Y18" si="40">SUM(Y4:Y17)</f>
        <v>123960.09786720257</v>
      </c>
      <c r="Z18" s="2">
        <f t="shared" ref="Z18" si="41">SUM(Z4:Z17)</f>
        <v>123960.09786720257</v>
      </c>
      <c r="AA18" s="2">
        <f t="shared" ref="AA18" si="42">SUM(AA4:AA17)</f>
        <v>123960.09786720257</v>
      </c>
      <c r="AB18" s="2">
        <f t="shared" ref="AB18" si="43">SUM(AB4:AB17)</f>
        <v>105709.82862578391</v>
      </c>
      <c r="AC18" s="2">
        <f t="shared" ref="AC18" si="44">SUM(AC4:AC17)</f>
        <v>71007.897062874166</v>
      </c>
      <c r="AD18" s="2">
        <f t="shared" ref="AD18" si="45">SUM(AD4:AD17)</f>
        <v>71007.897062874166</v>
      </c>
      <c r="AE18" s="2">
        <f t="shared" ref="AE18" si="46">SUM(AE4:AE17)</f>
        <v>60649.989588339071</v>
      </c>
      <c r="AF18" s="2">
        <f t="shared" ref="AF18" si="47">SUM(AF4:AF17)</f>
        <v>51573.989588339071</v>
      </c>
      <c r="AG18" s="2">
        <f t="shared" ref="AG18" si="48">SUM(AG4:AG17)</f>
        <v>51573.989588339071</v>
      </c>
      <c r="AH18" s="2">
        <f t="shared" ref="AH18" si="49">SUM(AH4:AH17)</f>
        <v>51573.989588339071</v>
      </c>
      <c r="AI18" s="2">
        <f t="shared" ref="AI18" si="50">SUM(AI4:AI17)</f>
        <v>51573.989588339071</v>
      </c>
      <c r="AJ18" s="2">
        <f t="shared" ref="AJ18" si="51">SUM(AJ4:AJ17)</f>
        <v>51573.989588339071</v>
      </c>
      <c r="AK18" s="2">
        <f t="shared" ref="AK18" si="52">SUM(AK4:AK17)</f>
        <v>51573.989588339071</v>
      </c>
      <c r="AL18" s="2">
        <f t="shared" ref="AL18" si="53">SUM(AL4:AL17)</f>
        <v>51573.989588339071</v>
      </c>
      <c r="AM18" s="2">
        <f t="shared" ref="AM18" si="54">SUM(AM4:AM17)</f>
        <v>51573.989588339071</v>
      </c>
      <c r="AN18" s="2">
        <f t="shared" ref="AN18" si="55">SUM(AN4:AN17)</f>
        <v>51573.989588339071</v>
      </c>
      <c r="AO18" s="2">
        <f t="shared" ref="AO18" si="56">SUM(AO4:AO17)</f>
        <v>28278.932420417746</v>
      </c>
      <c r="AP18" s="2">
        <f t="shared" ref="AP18" si="57">SUM(AP4:AP17)</f>
        <v>21506.932420417746</v>
      </c>
      <c r="AQ18" s="2">
        <f t="shared" ref="AQ18" si="58">SUM(AQ4:AQ17)</f>
        <v>21506.932420417746</v>
      </c>
      <c r="AR18" s="2">
        <f t="shared" ref="AR18" si="59">SUM(AR4:AR17)</f>
        <v>4398726.1224287404</v>
      </c>
      <c r="AS18" s="2">
        <f t="shared" ref="AS18" si="60">SUM(AS4:AS17)</f>
        <v>-129564.21757125924</v>
      </c>
      <c r="AT18" s="2">
        <f t="shared" ref="AT18" si="61">SUM(AT4:AT17)</f>
        <v>0</v>
      </c>
    </row>
    <row r="20" spans="1:46" x14ac:dyDescent="0.3">
      <c r="E20" s="1">
        <v>43465</v>
      </c>
      <c r="F20" s="1">
        <v>43465</v>
      </c>
    </row>
    <row r="21" spans="1:46" ht="43.2" x14ac:dyDescent="0.3">
      <c r="A21" t="s">
        <v>24</v>
      </c>
      <c r="B21" s="11" t="s">
        <v>25</v>
      </c>
      <c r="C21" s="11" t="s">
        <v>40</v>
      </c>
      <c r="D21" s="11" t="s">
        <v>43</v>
      </c>
      <c r="E21" s="10" t="s">
        <v>41</v>
      </c>
      <c r="F21" s="11" t="s">
        <v>42</v>
      </c>
    </row>
    <row r="22" spans="1:46" x14ac:dyDescent="0.3">
      <c r="A22" t="s">
        <v>26</v>
      </c>
      <c r="B22" t="s">
        <v>27</v>
      </c>
      <c r="C22" s="7">
        <v>2.3300000000000001E-2</v>
      </c>
      <c r="D22" s="7"/>
      <c r="E22" s="2">
        <v>0</v>
      </c>
      <c r="F22" s="2">
        <v>0</v>
      </c>
    </row>
    <row r="23" spans="1:46" x14ac:dyDescent="0.3">
      <c r="A23" t="s">
        <v>26</v>
      </c>
      <c r="B23" t="s">
        <v>28</v>
      </c>
      <c r="C23" s="7">
        <v>1.7999999999999999E-2</v>
      </c>
      <c r="D23" s="7"/>
      <c r="E23" s="2">
        <v>0</v>
      </c>
      <c r="F23" s="2">
        <v>0</v>
      </c>
    </row>
    <row r="24" spans="1:46" x14ac:dyDescent="0.3">
      <c r="A24" t="s">
        <v>26</v>
      </c>
      <c r="B24" t="s">
        <v>29</v>
      </c>
      <c r="C24" s="7">
        <v>1.38E-2</v>
      </c>
      <c r="D24" s="7"/>
      <c r="E24" s="2">
        <v>0</v>
      </c>
      <c r="F24" s="2">
        <v>0</v>
      </c>
    </row>
    <row r="25" spans="1:46" x14ac:dyDescent="0.3">
      <c r="A25" t="s">
        <v>26</v>
      </c>
      <c r="B25" t="s">
        <v>30</v>
      </c>
      <c r="C25" s="7">
        <v>1.5900000000000001E-2</v>
      </c>
      <c r="D25" s="7"/>
      <c r="E25" s="2">
        <v>0</v>
      </c>
      <c r="F25" s="2">
        <v>0</v>
      </c>
    </row>
    <row r="26" spans="1:46" x14ac:dyDescent="0.3">
      <c r="A26" t="s">
        <v>31</v>
      </c>
      <c r="B26" t="s">
        <v>27</v>
      </c>
      <c r="C26" s="7">
        <v>2.3300000000000001E-2</v>
      </c>
      <c r="D26" s="7"/>
      <c r="E26" s="2">
        <v>0</v>
      </c>
      <c r="F26" s="2">
        <v>0</v>
      </c>
    </row>
    <row r="27" spans="1:46" x14ac:dyDescent="0.3">
      <c r="A27" t="s">
        <v>31</v>
      </c>
      <c r="B27" t="s">
        <v>30</v>
      </c>
      <c r="C27" s="7">
        <v>1.5900000000000001E-2</v>
      </c>
      <c r="D27" s="7"/>
      <c r="E27" s="2">
        <v>0</v>
      </c>
      <c r="F27" s="2">
        <v>0</v>
      </c>
    </row>
    <row r="28" spans="1:46" x14ac:dyDescent="0.3">
      <c r="A28" t="s">
        <v>32</v>
      </c>
      <c r="B28" t="s">
        <v>27</v>
      </c>
      <c r="C28" s="7">
        <v>2.0969999999999999E-2</v>
      </c>
      <c r="D28" s="7"/>
      <c r="E28" s="2">
        <v>0</v>
      </c>
      <c r="F28" s="2">
        <v>0</v>
      </c>
    </row>
    <row r="29" spans="1:46" x14ac:dyDescent="0.3">
      <c r="A29" t="s">
        <v>33</v>
      </c>
      <c r="B29" t="s">
        <v>27</v>
      </c>
      <c r="C29" s="7">
        <v>2.0969999999999999E-2</v>
      </c>
      <c r="D29" s="7"/>
      <c r="E29" s="2">
        <v>0</v>
      </c>
      <c r="F29" s="2">
        <v>0</v>
      </c>
    </row>
    <row r="30" spans="1:46" x14ac:dyDescent="0.3">
      <c r="A30" t="s">
        <v>34</v>
      </c>
      <c r="B30" t="s">
        <v>27</v>
      </c>
      <c r="C30" s="7">
        <v>2.0969999999999999E-2</v>
      </c>
      <c r="D30" s="7"/>
      <c r="E30" s="2">
        <v>0</v>
      </c>
      <c r="F30" s="2">
        <v>0</v>
      </c>
    </row>
    <row r="31" spans="1:46" x14ac:dyDescent="0.3">
      <c r="A31" t="s">
        <v>35</v>
      </c>
      <c r="B31" t="s">
        <v>36</v>
      </c>
      <c r="C31" s="7">
        <v>1.2999999999999999E-2</v>
      </c>
      <c r="D31" s="7"/>
      <c r="E31" s="2">
        <v>0</v>
      </c>
      <c r="F31" s="2">
        <v>0</v>
      </c>
    </row>
    <row r="32" spans="1:46" x14ac:dyDescent="0.3">
      <c r="A32" t="s">
        <v>35</v>
      </c>
      <c r="B32" t="s">
        <v>37</v>
      </c>
      <c r="C32" s="7">
        <v>1.6500000000000001E-2</v>
      </c>
      <c r="D32" s="7">
        <v>0.1119</v>
      </c>
      <c r="E32" s="2">
        <v>56.45</v>
      </c>
      <c r="F32" s="2">
        <v>0.516484375</v>
      </c>
      <c r="G32" s="2">
        <v>0.516484375</v>
      </c>
      <c r="H32" s="2">
        <f>($E32*$C32*3/12)+($E32*$D32*9/12)</f>
        <v>4.9704225000000006</v>
      </c>
      <c r="I32" s="2">
        <f>$E32*$D32</f>
        <v>6.3167550000000006</v>
      </c>
      <c r="J32" s="9">
        <f t="shared" ref="J32:P32" si="62">I32</f>
        <v>6.3167550000000006</v>
      </c>
      <c r="K32" s="9">
        <f t="shared" si="62"/>
        <v>6.3167550000000006</v>
      </c>
      <c r="L32" s="9">
        <f t="shared" si="62"/>
        <v>6.3167550000000006</v>
      </c>
      <c r="M32" s="9">
        <f t="shared" si="62"/>
        <v>6.3167550000000006</v>
      </c>
      <c r="N32" s="9">
        <f t="shared" si="62"/>
        <v>6.3167550000000006</v>
      </c>
      <c r="O32" s="9">
        <f t="shared" si="62"/>
        <v>6.3167550000000006</v>
      </c>
      <c r="P32" s="9">
        <f t="shared" si="62"/>
        <v>6.3167550000000006</v>
      </c>
      <c r="AR32" s="9">
        <f t="shared" ref="AR32:AR34" si="63">SUM(F32:AQ32)</f>
        <v>56.537431250000004</v>
      </c>
      <c r="AS32" s="9">
        <f t="shared" ref="AS32:AS34" si="64">AR32-E32</f>
        <v>8.7431250000001626E-2</v>
      </c>
    </row>
    <row r="33" spans="1:45" x14ac:dyDescent="0.3">
      <c r="A33" t="s">
        <v>35</v>
      </c>
      <c r="B33" t="s">
        <v>27</v>
      </c>
      <c r="C33" s="7">
        <v>2.3300000000000001E-2</v>
      </c>
      <c r="D33" s="7">
        <v>5.6899999999999999E-2</v>
      </c>
      <c r="E33" s="2">
        <v>99937.69</v>
      </c>
      <c r="F33" s="2">
        <v>1291.03614633333</v>
      </c>
      <c r="G33" s="2">
        <v>1291.03614633333</v>
      </c>
      <c r="H33" s="2">
        <f t="shared" ref="H33:H34" si="65">($E33*$C33*3/12)+($E33*$D33*9/12)</f>
        <v>4846.977965</v>
      </c>
      <c r="I33" s="2">
        <f t="shared" ref="I33:I34" si="66">$E33*$D33</f>
        <v>5686.4545610000005</v>
      </c>
      <c r="J33" s="9">
        <f t="shared" ref="J33:P34" si="67">I33</f>
        <v>5686.4545610000005</v>
      </c>
      <c r="K33" s="9">
        <f t="shared" si="67"/>
        <v>5686.4545610000005</v>
      </c>
      <c r="L33" s="9">
        <f t="shared" si="67"/>
        <v>5686.4545610000005</v>
      </c>
      <c r="M33" s="9">
        <f t="shared" si="67"/>
        <v>5686.4545610000005</v>
      </c>
      <c r="N33" s="9">
        <f t="shared" si="67"/>
        <v>5686.4545610000005</v>
      </c>
      <c r="O33" s="9">
        <f t="shared" si="67"/>
        <v>5686.4545610000005</v>
      </c>
      <c r="P33" s="9">
        <f t="shared" si="67"/>
        <v>5686.4545610000005</v>
      </c>
      <c r="Q33" s="9">
        <f t="shared" ref="Q33:X33" si="68">P33</f>
        <v>5686.4545610000005</v>
      </c>
      <c r="R33" s="9">
        <f t="shared" si="68"/>
        <v>5686.4545610000005</v>
      </c>
      <c r="S33" s="9">
        <f t="shared" si="68"/>
        <v>5686.4545610000005</v>
      </c>
      <c r="T33" s="9">
        <f t="shared" si="68"/>
        <v>5686.4545610000005</v>
      </c>
      <c r="U33" s="9">
        <f t="shared" si="68"/>
        <v>5686.4545610000005</v>
      </c>
      <c r="V33" s="9">
        <f t="shared" si="68"/>
        <v>5686.4545610000005</v>
      </c>
      <c r="W33" s="9">
        <f t="shared" si="68"/>
        <v>5686.4545610000005</v>
      </c>
      <c r="X33" s="9">
        <f t="shared" si="68"/>
        <v>5686.4545610000005</v>
      </c>
      <c r="Y33">
        <v>1525</v>
      </c>
      <c r="AR33" s="9">
        <f t="shared" si="63"/>
        <v>99937.323233666684</v>
      </c>
      <c r="AS33" s="9">
        <f t="shared" si="64"/>
        <v>-0.36676633331808262</v>
      </c>
    </row>
    <row r="34" spans="1:45" x14ac:dyDescent="0.3">
      <c r="A34" t="s">
        <v>35</v>
      </c>
      <c r="B34" t="s">
        <v>28</v>
      </c>
      <c r="C34" s="7">
        <v>1.7999999999999999E-2</v>
      </c>
      <c r="D34" s="7">
        <v>6.7500000000000004E-2</v>
      </c>
      <c r="E34" s="2">
        <v>469.76000000000005</v>
      </c>
      <c r="F34" s="2">
        <v>4.6881599999999999</v>
      </c>
      <c r="G34" s="2">
        <v>4.6881599999999999</v>
      </c>
      <c r="H34" s="2">
        <f t="shared" si="65"/>
        <v>25.895520000000001</v>
      </c>
      <c r="I34" s="2">
        <f t="shared" si="66"/>
        <v>31.708800000000004</v>
      </c>
      <c r="J34" s="9">
        <f t="shared" si="67"/>
        <v>31.708800000000004</v>
      </c>
      <c r="K34" s="9">
        <f t="shared" si="67"/>
        <v>31.708800000000004</v>
      </c>
      <c r="L34" s="9">
        <f t="shared" si="67"/>
        <v>31.708800000000004</v>
      </c>
      <c r="M34" s="9">
        <f t="shared" si="67"/>
        <v>31.708800000000004</v>
      </c>
      <c r="N34" s="9">
        <f t="shared" si="67"/>
        <v>31.708800000000004</v>
      </c>
      <c r="O34" s="9">
        <f t="shared" si="67"/>
        <v>31.708800000000004</v>
      </c>
      <c r="P34" s="9">
        <f t="shared" si="67"/>
        <v>31.708800000000004</v>
      </c>
      <c r="Q34" s="9">
        <f t="shared" ref="Q34:U34" si="69">P34</f>
        <v>31.708800000000004</v>
      </c>
      <c r="R34" s="9">
        <f t="shared" si="69"/>
        <v>31.708800000000004</v>
      </c>
      <c r="S34" s="9">
        <f t="shared" si="69"/>
        <v>31.708800000000004</v>
      </c>
      <c r="T34" s="9">
        <f t="shared" si="69"/>
        <v>31.708800000000004</v>
      </c>
      <c r="U34" s="9">
        <f t="shared" si="69"/>
        <v>31.708800000000004</v>
      </c>
      <c r="V34" s="9">
        <v>22</v>
      </c>
      <c r="AR34" s="9">
        <f t="shared" si="63"/>
        <v>469.48623999999995</v>
      </c>
      <c r="AS34" s="9">
        <f t="shared" si="64"/>
        <v>-0.27376000000009526</v>
      </c>
    </row>
    <row r="35" spans="1:45" x14ac:dyDescent="0.3">
      <c r="A35" t="s">
        <v>35</v>
      </c>
      <c r="B35" t="s">
        <v>30</v>
      </c>
      <c r="C35" s="7">
        <v>1.5900000000000001E-2</v>
      </c>
      <c r="D35" s="7"/>
      <c r="E35" s="2">
        <v>0</v>
      </c>
      <c r="F35" s="2">
        <v>0</v>
      </c>
    </row>
    <row r="36" spans="1:45" x14ac:dyDescent="0.3">
      <c r="A36" t="s">
        <v>35</v>
      </c>
      <c r="B36" t="s">
        <v>38</v>
      </c>
      <c r="C36" s="7">
        <v>1.66E-2</v>
      </c>
      <c r="D36" s="7"/>
      <c r="E36" s="2">
        <v>0</v>
      </c>
      <c r="F36" s="2">
        <v>0</v>
      </c>
    </row>
    <row r="37" spans="1:45" x14ac:dyDescent="0.3">
      <c r="A37" t="s">
        <v>39</v>
      </c>
      <c r="B37" t="s">
        <v>36</v>
      </c>
      <c r="C37" s="7">
        <v>1.2999999999999999E-2</v>
      </c>
      <c r="D37" s="7"/>
      <c r="E37" s="2">
        <v>0</v>
      </c>
      <c r="F37" s="2">
        <v>0</v>
      </c>
    </row>
    <row r="38" spans="1:45" x14ac:dyDescent="0.3">
      <c r="A38" t="s">
        <v>39</v>
      </c>
      <c r="B38" t="s">
        <v>28</v>
      </c>
      <c r="C38" s="7">
        <v>1.7999999999999999E-2</v>
      </c>
      <c r="D38" s="7"/>
      <c r="E38" s="2">
        <v>0</v>
      </c>
      <c r="F38" s="2">
        <v>0</v>
      </c>
    </row>
    <row r="39" spans="1:45" x14ac:dyDescent="0.3">
      <c r="A39" t="s">
        <v>39</v>
      </c>
      <c r="B39" t="s">
        <v>30</v>
      </c>
      <c r="C39" s="7">
        <v>1.5900000000000001E-2</v>
      </c>
      <c r="D39" s="7"/>
      <c r="E39" s="2">
        <v>0</v>
      </c>
      <c r="F39" s="2">
        <v>0</v>
      </c>
    </row>
    <row r="40" spans="1:45" x14ac:dyDescent="0.3">
      <c r="A40" t="s">
        <v>39</v>
      </c>
      <c r="B40" t="s">
        <v>38</v>
      </c>
      <c r="C40" s="7">
        <v>1.66E-2</v>
      </c>
      <c r="D40" s="7"/>
      <c r="E40" s="2">
        <v>0</v>
      </c>
      <c r="F40" s="2">
        <v>0</v>
      </c>
    </row>
    <row r="41" spans="1:45" x14ac:dyDescent="0.3">
      <c r="E41" s="2">
        <f>SUM(E22:E40)</f>
        <v>100463.9</v>
      </c>
      <c r="F41" s="2">
        <f t="shared" ref="F41:G41" si="70">SUM(F22:F40)</f>
        <v>1296.2407907083298</v>
      </c>
      <c r="G41" s="2">
        <f t="shared" si="70"/>
        <v>1296.2407907083298</v>
      </c>
      <c r="H41" s="2">
        <f t="shared" ref="H41" si="71">SUM(H22:H40)</f>
        <v>4877.8439074999997</v>
      </c>
      <c r="I41" s="2">
        <f t="shared" ref="I41" si="72">SUM(I22:I40)</f>
        <v>5724.4801160000006</v>
      </c>
      <c r="J41" s="2">
        <f t="shared" ref="J41" si="73">SUM(J22:J40)</f>
        <v>5724.4801160000006</v>
      </c>
      <c r="K41" s="2">
        <f t="shared" ref="K41" si="74">SUM(K22:K40)</f>
        <v>5724.4801160000006</v>
      </c>
      <c r="L41" s="2">
        <f t="shared" ref="L41" si="75">SUM(L22:L40)</f>
        <v>5724.4801160000006</v>
      </c>
      <c r="M41" s="2">
        <f t="shared" ref="M41" si="76">SUM(M22:M40)</f>
        <v>5724.4801160000006</v>
      </c>
      <c r="N41" s="2">
        <f t="shared" ref="N41" si="77">SUM(N22:N40)</f>
        <v>5724.4801160000006</v>
      </c>
      <c r="O41" s="2">
        <f t="shared" ref="O41" si="78">SUM(O22:O40)</f>
        <v>5724.4801160000006</v>
      </c>
      <c r="P41" s="2">
        <f t="shared" ref="P41" si="79">SUM(P22:P40)</f>
        <v>5724.4801160000006</v>
      </c>
      <c r="Q41" s="2">
        <f t="shared" ref="Q41" si="80">SUM(Q22:Q40)</f>
        <v>5718.1633610000008</v>
      </c>
      <c r="R41" s="2">
        <f t="shared" ref="R41" si="81">SUM(R22:R40)</f>
        <v>5718.1633610000008</v>
      </c>
      <c r="S41" s="2">
        <f t="shared" ref="S41" si="82">SUM(S22:S40)</f>
        <v>5718.1633610000008</v>
      </c>
      <c r="T41" s="2">
        <f t="shared" ref="T41" si="83">SUM(T22:T40)</f>
        <v>5718.1633610000008</v>
      </c>
      <c r="U41" s="2">
        <f t="shared" ref="U41" si="84">SUM(U22:U40)</f>
        <v>5718.1633610000008</v>
      </c>
      <c r="V41" s="2">
        <f t="shared" ref="V41" si="85">SUM(V22:V40)</f>
        <v>5708.4545610000005</v>
      </c>
      <c r="W41" s="2">
        <f t="shared" ref="W41" si="86">SUM(W22:W40)</f>
        <v>5686.4545610000005</v>
      </c>
      <c r="X41" s="2">
        <f t="shared" ref="X41" si="87">SUM(X22:X40)</f>
        <v>5686.4545610000005</v>
      </c>
      <c r="Y41" s="2">
        <f t="shared" ref="Y41" si="88">SUM(Y22:Y40)</f>
        <v>1525</v>
      </c>
      <c r="Z41" s="2">
        <f t="shared" ref="Z41" si="89">SUM(Z22:Z40)</f>
        <v>0</v>
      </c>
      <c r="AA41" s="2">
        <f t="shared" ref="AA41" si="90">SUM(AA22:AA40)</f>
        <v>0</v>
      </c>
      <c r="AB41" s="2">
        <f t="shared" ref="AB41" si="91">SUM(AB22:AB40)</f>
        <v>0</v>
      </c>
      <c r="AC41" s="2">
        <f t="shared" ref="AC41" si="92">SUM(AC22:AC40)</f>
        <v>0</v>
      </c>
      <c r="AD41" s="2">
        <f t="shared" ref="AD41" si="93">SUM(AD22:AD40)</f>
        <v>0</v>
      </c>
      <c r="AE41" s="2">
        <f t="shared" ref="AE41" si="94">SUM(AE22:AE40)</f>
        <v>0</v>
      </c>
      <c r="AF41" s="2">
        <f t="shared" ref="AF41" si="95">SUM(AF22:AF40)</f>
        <v>0</v>
      </c>
      <c r="AG41" s="2">
        <f t="shared" ref="AG41" si="96">SUM(AG22:AG40)</f>
        <v>0</v>
      </c>
      <c r="AH41" s="2">
        <f t="shared" ref="AH41" si="97">SUM(AH22:AH40)</f>
        <v>0</v>
      </c>
      <c r="AI41" s="2">
        <f t="shared" ref="AI41" si="98">SUM(AI22:AI40)</f>
        <v>0</v>
      </c>
      <c r="AJ41" s="2">
        <f t="shared" ref="AJ41" si="99">SUM(AJ22:AJ40)</f>
        <v>0</v>
      </c>
      <c r="AK41" s="2">
        <f t="shared" ref="AK41" si="100">SUM(AK22:AK40)</f>
        <v>0</v>
      </c>
      <c r="AL41" s="2">
        <f t="shared" ref="AL41" si="101">SUM(AL22:AL40)</f>
        <v>0</v>
      </c>
      <c r="AM41" s="2">
        <f t="shared" ref="AM41" si="102">SUM(AM22:AM40)</f>
        <v>0</v>
      </c>
      <c r="AN41" s="2">
        <f t="shared" ref="AN41" si="103">SUM(AN22:AN40)</f>
        <v>0</v>
      </c>
      <c r="AO41" s="2">
        <f t="shared" ref="AO41" si="104">SUM(AO22:AO40)</f>
        <v>0</v>
      </c>
      <c r="AP41" s="2">
        <f t="shared" ref="AP41" si="105">SUM(AP22:AP40)</f>
        <v>0</v>
      </c>
      <c r="AQ41" s="2">
        <f t="shared" ref="AQ41" si="106">SUM(AQ22:AQ40)</f>
        <v>0</v>
      </c>
      <c r="AR41" s="2">
        <f t="shared" ref="AR41" si="107">SUM(AR22:AR40)</f>
        <v>100463.34690491669</v>
      </c>
      <c r="AS41" s="2">
        <f t="shared" ref="AS41" si="108">SUM(AS22:AS40)</f>
        <v>-0.55309508331817625</v>
      </c>
    </row>
    <row r="43" spans="1:45" x14ac:dyDescent="0.3">
      <c r="B43" t="s">
        <v>50</v>
      </c>
      <c r="E43" s="9">
        <f>SUM(E18,E41)</f>
        <v>4628754.24</v>
      </c>
      <c r="F43" s="9">
        <f t="shared" ref="F43:AQ43" si="109">SUM(F18,F41)</f>
        <v>56081.867491664474</v>
      </c>
      <c r="G43" s="9">
        <f t="shared" si="109"/>
        <v>56081.867491664474</v>
      </c>
      <c r="H43" s="16">
        <f t="shared" si="109"/>
        <v>180841.89732587867</v>
      </c>
      <c r="I43" s="9">
        <f t="shared" si="109"/>
        <v>210298.65156773973</v>
      </c>
      <c r="J43" s="9">
        <f t="shared" si="109"/>
        <v>210298.65156773973</v>
      </c>
      <c r="K43" s="9">
        <f t="shared" si="109"/>
        <v>210298.65156773973</v>
      </c>
      <c r="L43" s="9">
        <f t="shared" si="109"/>
        <v>210298.65156773973</v>
      </c>
      <c r="M43" s="9">
        <f t="shared" si="109"/>
        <v>210298.65156773973</v>
      </c>
      <c r="N43" s="9">
        <f t="shared" si="109"/>
        <v>210298.65156773973</v>
      </c>
      <c r="O43" s="9">
        <f t="shared" si="109"/>
        <v>210298.65156773973</v>
      </c>
      <c r="P43" s="9">
        <f t="shared" si="109"/>
        <v>210298.65156773973</v>
      </c>
      <c r="Q43" s="9">
        <f t="shared" si="109"/>
        <v>210292.33481273975</v>
      </c>
      <c r="R43" s="9">
        <f t="shared" si="109"/>
        <v>210292.33481273975</v>
      </c>
      <c r="S43" s="9">
        <f t="shared" si="109"/>
        <v>200544.213423229</v>
      </c>
      <c r="T43" s="9">
        <f t="shared" si="109"/>
        <v>166786.213423229</v>
      </c>
      <c r="U43" s="9">
        <f t="shared" si="109"/>
        <v>129678.26122820257</v>
      </c>
      <c r="V43" s="9">
        <f t="shared" si="109"/>
        <v>129668.55242820257</v>
      </c>
      <c r="W43" s="9">
        <f t="shared" si="109"/>
        <v>129646.55242820257</v>
      </c>
      <c r="X43" s="9">
        <f t="shared" si="109"/>
        <v>129646.55242820257</v>
      </c>
      <c r="Y43" s="9">
        <f t="shared" si="109"/>
        <v>125485.09786720257</v>
      </c>
      <c r="Z43" s="9">
        <f t="shared" si="109"/>
        <v>123960.09786720257</v>
      </c>
      <c r="AA43" s="9">
        <f t="shared" si="109"/>
        <v>123960.09786720257</v>
      </c>
      <c r="AB43" s="9">
        <f t="shared" si="109"/>
        <v>105709.82862578391</v>
      </c>
      <c r="AC43" s="9">
        <f t="shared" si="109"/>
        <v>71007.897062874166</v>
      </c>
      <c r="AD43" s="9">
        <f t="shared" si="109"/>
        <v>71007.897062874166</v>
      </c>
      <c r="AE43" s="9">
        <f t="shared" si="109"/>
        <v>60649.989588339071</v>
      </c>
      <c r="AF43" s="9">
        <f t="shared" si="109"/>
        <v>51573.989588339071</v>
      </c>
      <c r="AG43" s="9">
        <f t="shared" si="109"/>
        <v>51573.989588339071</v>
      </c>
      <c r="AH43" s="9">
        <f t="shared" si="109"/>
        <v>51573.989588339071</v>
      </c>
      <c r="AI43" s="9">
        <f t="shared" si="109"/>
        <v>51573.989588339071</v>
      </c>
      <c r="AJ43" s="9">
        <f t="shared" si="109"/>
        <v>51573.989588339071</v>
      </c>
      <c r="AK43" s="9">
        <f t="shared" si="109"/>
        <v>51573.989588339071</v>
      </c>
      <c r="AL43" s="9">
        <f t="shared" si="109"/>
        <v>51573.989588339071</v>
      </c>
      <c r="AM43" s="9">
        <f t="shared" si="109"/>
        <v>51573.989588339071</v>
      </c>
      <c r="AN43" s="9">
        <f t="shared" si="109"/>
        <v>51573.989588339071</v>
      </c>
      <c r="AO43" s="9">
        <f t="shared" si="109"/>
        <v>28278.932420417746</v>
      </c>
      <c r="AP43" s="9">
        <f t="shared" si="109"/>
        <v>21506.932420417746</v>
      </c>
      <c r="AQ43" s="9">
        <f t="shared" si="109"/>
        <v>21506.932420417746</v>
      </c>
    </row>
    <row r="45" spans="1:45" x14ac:dyDescent="0.3">
      <c r="B45" t="s">
        <v>49</v>
      </c>
      <c r="F45" s="9">
        <f>F43</f>
        <v>56081.867491664474</v>
      </c>
      <c r="G45" s="9">
        <f>G43</f>
        <v>56081.867491664474</v>
      </c>
      <c r="H45" s="17">
        <f>(E43-F45-G45)/8</f>
        <v>564573.81312708394</v>
      </c>
      <c r="I45" s="2">
        <f>H45</f>
        <v>564573.81312708394</v>
      </c>
      <c r="J45" s="2">
        <f t="shared" ref="J45:O45" si="110">I45</f>
        <v>564573.81312708394</v>
      </c>
      <c r="K45" s="2">
        <f t="shared" si="110"/>
        <v>564573.81312708394</v>
      </c>
      <c r="L45" s="2">
        <f t="shared" si="110"/>
        <v>564573.81312708394</v>
      </c>
      <c r="M45" s="2">
        <f t="shared" si="110"/>
        <v>564573.81312708394</v>
      </c>
      <c r="N45" s="2">
        <f t="shared" si="110"/>
        <v>564573.81312708394</v>
      </c>
      <c r="O45" s="2">
        <f t="shared" si="110"/>
        <v>564573.81312708394</v>
      </c>
    </row>
    <row r="47" spans="1:45" x14ac:dyDescent="0.3">
      <c r="H47" s="9">
        <f>H45-H43</f>
        <v>383731.91580120526</v>
      </c>
      <c r="I47" s="9">
        <f t="shared" ref="I47:O47" si="111">I45-I43</f>
        <v>354275.16155934421</v>
      </c>
      <c r="J47" s="9">
        <f t="shared" si="111"/>
        <v>354275.16155934421</v>
      </c>
      <c r="K47" s="9">
        <f t="shared" si="111"/>
        <v>354275.16155934421</v>
      </c>
      <c r="L47" s="9">
        <f t="shared" si="111"/>
        <v>354275.16155934421</v>
      </c>
      <c r="M47" s="9">
        <f t="shared" si="111"/>
        <v>354275.16155934421</v>
      </c>
      <c r="N47" s="9">
        <f t="shared" si="111"/>
        <v>354275.16155934421</v>
      </c>
      <c r="O47" s="9">
        <f t="shared" si="111"/>
        <v>354275.16155934421</v>
      </c>
    </row>
    <row r="49" spans="2:9" x14ac:dyDescent="0.3">
      <c r="B49" t="s">
        <v>51</v>
      </c>
      <c r="H49" s="17">
        <f>(E43-F43-G43-(G43/12*3))/33.75</f>
        <v>133409.48261166681</v>
      </c>
    </row>
    <row r="50" spans="2:9" x14ac:dyDescent="0.3">
      <c r="H50" s="13">
        <v>0.65390000000000004</v>
      </c>
    </row>
    <row r="51" spans="2:9" ht="15" thickBot="1" x14ac:dyDescent="0.35">
      <c r="H51" s="12">
        <f>H49*H50</f>
        <v>87236.460679768934</v>
      </c>
      <c r="I51" s="19" t="s">
        <v>64</v>
      </c>
    </row>
  </sheetData>
  <pageMargins left="0.7" right="0.7" top="0.75" bottom="0.75" header="0.3" footer="0.3"/>
  <pageSetup scale="63" orientation="landscape" r:id="rId1"/>
  <headerFooter>
    <oddFooter>&amp;LAvista
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2"/>
  <sheetViews>
    <sheetView topLeftCell="A4" zoomScaleNormal="100" workbookViewId="0">
      <selection activeCell="G21" sqref="G21"/>
    </sheetView>
  </sheetViews>
  <sheetFormatPr defaultRowHeight="14.4" x14ac:dyDescent="0.3"/>
  <cols>
    <col min="4" max="5" width="12.5546875" bestFit="1" customWidth="1"/>
    <col min="6" max="6" width="10" bestFit="1" customWidth="1"/>
    <col min="7" max="7" width="12.5546875" customWidth="1"/>
  </cols>
  <sheetData>
    <row r="4" spans="3:13" ht="15" thickBot="1" x14ac:dyDescent="0.35"/>
    <row r="5" spans="3:13" ht="15" thickBot="1" x14ac:dyDescent="0.35">
      <c r="D5" s="31" t="s">
        <v>65</v>
      </c>
      <c r="E5" s="32"/>
      <c r="F5" s="32"/>
      <c r="G5" s="33"/>
      <c r="J5" s="31" t="s">
        <v>66</v>
      </c>
      <c r="K5" s="32"/>
      <c r="L5" s="32"/>
      <c r="M5" s="33"/>
    </row>
    <row r="6" spans="3:13" s="11" customFormat="1" ht="57.6" x14ac:dyDescent="0.3">
      <c r="D6" s="11" t="s">
        <v>67</v>
      </c>
      <c r="E6" s="11" t="s">
        <v>68</v>
      </c>
      <c r="F6" s="11" t="s">
        <v>69</v>
      </c>
      <c r="G6" s="11" t="s">
        <v>70</v>
      </c>
      <c r="J6" s="11" t="s">
        <v>67</v>
      </c>
      <c r="K6" s="11" t="s">
        <v>68</v>
      </c>
      <c r="L6" s="11" t="s">
        <v>69</v>
      </c>
      <c r="M6" s="11" t="s">
        <v>70</v>
      </c>
    </row>
    <row r="7" spans="3:13" x14ac:dyDescent="0.3">
      <c r="C7" s="21">
        <v>43466</v>
      </c>
      <c r="D7" s="2">
        <v>140000</v>
      </c>
      <c r="E7" s="2">
        <f>D7</f>
        <v>140000</v>
      </c>
      <c r="F7" s="2"/>
      <c r="I7" s="21">
        <v>43466</v>
      </c>
      <c r="J7" s="2">
        <v>18200</v>
      </c>
      <c r="K7" s="2">
        <f>J7</f>
        <v>18200</v>
      </c>
      <c r="L7" s="2"/>
    </row>
    <row r="8" spans="3:13" x14ac:dyDescent="0.3">
      <c r="C8" s="21">
        <v>43497</v>
      </c>
      <c r="D8" s="2">
        <v>140000</v>
      </c>
      <c r="E8" s="2">
        <f>D8+E7</f>
        <v>280000</v>
      </c>
      <c r="F8" s="2"/>
      <c r="I8" s="21">
        <v>43497</v>
      </c>
      <c r="J8" s="2">
        <v>18200</v>
      </c>
      <c r="K8" s="2">
        <f>J8+K7</f>
        <v>36400</v>
      </c>
      <c r="L8" s="2"/>
    </row>
    <row r="9" spans="3:13" x14ac:dyDescent="0.3">
      <c r="C9" s="21">
        <v>43525</v>
      </c>
      <c r="D9" s="2">
        <v>210000</v>
      </c>
      <c r="E9" s="2">
        <f t="shared" ref="E9:E18" si="0">D9+E8</f>
        <v>490000</v>
      </c>
      <c r="F9" s="2"/>
      <c r="I9" s="21">
        <v>43525</v>
      </c>
      <c r="J9" s="2">
        <v>27300</v>
      </c>
      <c r="K9" s="2">
        <f t="shared" ref="K9:K18" si="1">J9+K8</f>
        <v>63700</v>
      </c>
      <c r="L9" s="2"/>
    </row>
    <row r="10" spans="3:13" x14ac:dyDescent="0.3">
      <c r="C10" s="21">
        <v>43556</v>
      </c>
      <c r="D10" s="2">
        <v>245000</v>
      </c>
      <c r="E10" s="2">
        <f t="shared" si="0"/>
        <v>735000</v>
      </c>
      <c r="F10" s="2"/>
      <c r="I10" s="21">
        <v>43556</v>
      </c>
      <c r="J10" s="2">
        <v>31850</v>
      </c>
      <c r="K10" s="2">
        <f t="shared" si="1"/>
        <v>95550</v>
      </c>
      <c r="L10" s="2"/>
    </row>
    <row r="11" spans="3:13" x14ac:dyDescent="0.3">
      <c r="C11" s="21">
        <v>43586</v>
      </c>
      <c r="D11" s="2">
        <v>280000</v>
      </c>
      <c r="E11" s="2">
        <f t="shared" si="0"/>
        <v>1015000</v>
      </c>
      <c r="F11" s="2"/>
      <c r="I11" s="21">
        <v>43586</v>
      </c>
      <c r="J11" s="2">
        <v>36400</v>
      </c>
      <c r="K11" s="2">
        <f t="shared" si="1"/>
        <v>131950</v>
      </c>
      <c r="L11" s="2"/>
    </row>
    <row r="12" spans="3:13" x14ac:dyDescent="0.3">
      <c r="C12" s="21">
        <v>43617</v>
      </c>
      <c r="D12" s="2">
        <v>420000</v>
      </c>
      <c r="E12" s="2">
        <f t="shared" si="0"/>
        <v>1435000</v>
      </c>
      <c r="F12" s="2"/>
      <c r="I12" s="21">
        <v>43617</v>
      </c>
      <c r="J12" s="2">
        <v>54600</v>
      </c>
      <c r="K12" s="2">
        <f t="shared" si="1"/>
        <v>186550</v>
      </c>
      <c r="L12" s="2"/>
    </row>
    <row r="13" spans="3:13" x14ac:dyDescent="0.3">
      <c r="C13" s="21">
        <v>43647</v>
      </c>
      <c r="D13" s="2">
        <v>420000</v>
      </c>
      <c r="E13" s="2">
        <f t="shared" si="0"/>
        <v>1855000</v>
      </c>
      <c r="F13" s="2"/>
      <c r="I13" s="21">
        <v>43647</v>
      </c>
      <c r="J13" s="2">
        <v>54600</v>
      </c>
      <c r="K13" s="2">
        <f t="shared" si="1"/>
        <v>241150</v>
      </c>
      <c r="L13" s="2"/>
    </row>
    <row r="14" spans="3:13" x14ac:dyDescent="0.3">
      <c r="C14" s="21">
        <v>43678</v>
      </c>
      <c r="D14" s="2">
        <v>385000</v>
      </c>
      <c r="E14" s="2">
        <f t="shared" si="0"/>
        <v>2240000</v>
      </c>
      <c r="F14" s="2"/>
      <c r="I14" s="21">
        <v>43678</v>
      </c>
      <c r="J14" s="2">
        <v>50050</v>
      </c>
      <c r="K14" s="2">
        <f t="shared" si="1"/>
        <v>291200</v>
      </c>
      <c r="L14" s="2"/>
    </row>
    <row r="15" spans="3:13" x14ac:dyDescent="0.3">
      <c r="C15" s="21">
        <v>43709</v>
      </c>
      <c r="D15" s="2">
        <v>385000</v>
      </c>
      <c r="E15" s="2">
        <f t="shared" si="0"/>
        <v>2625000</v>
      </c>
      <c r="F15" s="2"/>
      <c r="I15" s="21">
        <v>43709</v>
      </c>
      <c r="J15" s="2">
        <v>50050</v>
      </c>
      <c r="K15" s="2">
        <f t="shared" si="1"/>
        <v>341250</v>
      </c>
      <c r="L15" s="2"/>
    </row>
    <row r="16" spans="3:13" x14ac:dyDescent="0.3">
      <c r="C16" s="21">
        <v>43739</v>
      </c>
      <c r="D16" s="2">
        <v>315000</v>
      </c>
      <c r="E16" s="2">
        <f t="shared" si="0"/>
        <v>2940000</v>
      </c>
      <c r="F16" s="2"/>
      <c r="I16" s="21">
        <v>43739</v>
      </c>
      <c r="J16" s="2">
        <v>40950</v>
      </c>
      <c r="K16" s="2">
        <f t="shared" si="1"/>
        <v>382200</v>
      </c>
      <c r="L16" s="2"/>
    </row>
    <row r="17" spans="3:13" x14ac:dyDescent="0.3">
      <c r="C17" s="21">
        <v>43770</v>
      </c>
      <c r="D17" s="2">
        <v>280000</v>
      </c>
      <c r="E17" s="2">
        <f t="shared" si="0"/>
        <v>3220000</v>
      </c>
      <c r="F17" s="2"/>
      <c r="I17" s="21">
        <v>43770</v>
      </c>
      <c r="J17" s="2">
        <v>36400</v>
      </c>
      <c r="K17" s="2">
        <f t="shared" si="1"/>
        <v>418600</v>
      </c>
      <c r="L17" s="2"/>
    </row>
    <row r="18" spans="3:13" x14ac:dyDescent="0.3">
      <c r="C18" s="21">
        <v>43800</v>
      </c>
      <c r="D18" s="2">
        <v>280000</v>
      </c>
      <c r="E18" s="2">
        <f t="shared" si="0"/>
        <v>3500000</v>
      </c>
      <c r="F18" s="2">
        <f>(((0+E18)/2)+(E7+E8+E9+E10+E11+E12+E13+E14+E15+E16+E17))/12</f>
        <v>1560416.6666666667</v>
      </c>
      <c r="G18" s="2">
        <f>F18*(175964/4528290)</f>
        <v>60635.948301308737</v>
      </c>
      <c r="I18" s="21">
        <v>43800</v>
      </c>
      <c r="J18" s="2">
        <v>36400</v>
      </c>
      <c r="K18" s="2">
        <f t="shared" si="1"/>
        <v>455000</v>
      </c>
      <c r="L18" s="2">
        <f>(((0+K18)/2)+(K7+K8+K9+K10+K11+K12+K13+K14+K15+K16+K17))/12</f>
        <v>202854.16666666666</v>
      </c>
      <c r="M18" s="2">
        <f>L18*(4878/100464)</f>
        <v>9849.5244565217381</v>
      </c>
    </row>
    <row r="19" spans="3:13" x14ac:dyDescent="0.3">
      <c r="D19" s="5">
        <f>SUM(D7:D18)</f>
        <v>3500000</v>
      </c>
      <c r="E19" s="2"/>
      <c r="F19" s="2"/>
      <c r="J19" s="5">
        <f>SUM(J7:J18)</f>
        <v>455000</v>
      </c>
      <c r="K19" s="2"/>
      <c r="L19" s="2"/>
    </row>
    <row r="20" spans="3:13" x14ac:dyDescent="0.3">
      <c r="D20" s="2"/>
      <c r="E20" s="2"/>
      <c r="F20" s="2"/>
      <c r="J20" s="2"/>
      <c r="K20" s="2"/>
      <c r="L20" s="2"/>
    </row>
    <row r="21" spans="3:13" x14ac:dyDescent="0.3">
      <c r="C21" t="s">
        <v>86</v>
      </c>
      <c r="G21" s="2">
        <f>(D19-G18-(G18/12*3))/33.75</f>
        <v>101457.92784069227</v>
      </c>
      <c r="I21" t="s">
        <v>86</v>
      </c>
      <c r="M21" s="2">
        <f>(J19-M18-(M18/12*3))/33.75</f>
        <v>13116.684279388084</v>
      </c>
    </row>
    <row r="22" spans="3:13" x14ac:dyDescent="0.3">
      <c r="C22" t="s">
        <v>59</v>
      </c>
      <c r="G22" s="13">
        <v>0.65390000000000004</v>
      </c>
      <c r="I22" t="s">
        <v>59</v>
      </c>
      <c r="M22" s="13">
        <v>0.65390000000000004</v>
      </c>
    </row>
    <row r="23" spans="3:13" x14ac:dyDescent="0.3">
      <c r="G23" s="5">
        <f>G21*G22</f>
        <v>66343.339015028672</v>
      </c>
      <c r="M23" s="5">
        <f>M21*M22</f>
        <v>8576.9998502918679</v>
      </c>
    </row>
    <row r="26" spans="3:13" x14ac:dyDescent="0.3">
      <c r="C26" t="s">
        <v>71</v>
      </c>
    </row>
    <row r="27" spans="3:13" x14ac:dyDescent="0.3">
      <c r="D27" t="s">
        <v>65</v>
      </c>
      <c r="G27" s="9">
        <f>G23</f>
        <v>66343.339015028672</v>
      </c>
    </row>
    <row r="28" spans="3:13" x14ac:dyDescent="0.3">
      <c r="D28" t="s">
        <v>66</v>
      </c>
      <c r="G28" s="9">
        <f>M23</f>
        <v>8576.9998502918679</v>
      </c>
    </row>
    <row r="29" spans="3:13" ht="15" thickBot="1" x14ac:dyDescent="0.35">
      <c r="G29" s="22">
        <f>SUM(G27:G28)</f>
        <v>74920.338865320547</v>
      </c>
      <c r="H29" s="19" t="s">
        <v>84</v>
      </c>
    </row>
    <row r="32" spans="3:13" x14ac:dyDescent="0.3">
      <c r="C32" t="s">
        <v>73</v>
      </c>
    </row>
  </sheetData>
  <mergeCells count="2">
    <mergeCell ref="D5:G5"/>
    <mergeCell ref="J5:M5"/>
  </mergeCells>
  <printOptions horizontalCentered="1" gridLines="1"/>
  <pageMargins left="0.7" right="0.7" top="0.75" bottom="0.75" header="0.3" footer="0.3"/>
  <pageSetup orientation="landscape" r:id="rId1"/>
  <headerFooter>
    <oddFooter>&amp;LAvista
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7:I26"/>
  <sheetViews>
    <sheetView zoomScaleNormal="100" workbookViewId="0">
      <selection activeCell="G10" sqref="G10"/>
    </sheetView>
  </sheetViews>
  <sheetFormatPr defaultRowHeight="14.4" x14ac:dyDescent="0.3"/>
  <cols>
    <col min="5" max="5" width="28.5546875" customWidth="1"/>
    <col min="6" max="6" width="10.109375" bestFit="1" customWidth="1"/>
    <col min="7" max="7" width="13.44140625" customWidth="1"/>
    <col min="8" max="8" width="14.21875" bestFit="1" customWidth="1"/>
  </cols>
  <sheetData>
    <row r="7" spans="5:8" ht="28.8" x14ac:dyDescent="0.3">
      <c r="F7" s="23" t="s">
        <v>65</v>
      </c>
      <c r="G7" s="23" t="s">
        <v>66</v>
      </c>
      <c r="H7" s="23" t="s">
        <v>78</v>
      </c>
    </row>
    <row r="8" spans="5:8" x14ac:dyDescent="0.3">
      <c r="E8" t="s">
        <v>75</v>
      </c>
      <c r="F8" s="2">
        <f>'2019 Adds-Amort'!D19</f>
        <v>3500000</v>
      </c>
      <c r="G8" s="2">
        <f>'2019 Adds-Amort'!J19</f>
        <v>455000</v>
      </c>
      <c r="H8" s="2">
        <f>SUM(F8:G8)</f>
        <v>3955000</v>
      </c>
    </row>
    <row r="9" spans="5:8" x14ac:dyDescent="0.3">
      <c r="E9" t="s">
        <v>42</v>
      </c>
      <c r="F9" s="2">
        <f>-'2019 Adds-Amort'!G18-('2019 Adds-Amort'!G18/12*3)</f>
        <v>-75794.935376635927</v>
      </c>
      <c r="G9" s="2">
        <f>-'2019 Adds-Amort'!M18-('2019 Adds-Amort'!M18/12*3)</f>
        <v>-12311.905570652172</v>
      </c>
      <c r="H9" s="2">
        <f t="shared" ref="H9:H10" si="0">SUM(F9:G9)</f>
        <v>-88106.840947288103</v>
      </c>
    </row>
    <row r="10" spans="5:8" x14ac:dyDescent="0.3">
      <c r="E10" t="s">
        <v>76</v>
      </c>
      <c r="F10" s="2">
        <f>((F8*0.0375)+F9)*-0.21</f>
        <v>-11645.563570906455</v>
      </c>
      <c r="G10" s="2">
        <f>((G8*0.0375)+G9)*-0.21</f>
        <v>-997.62483016304384</v>
      </c>
      <c r="H10" s="2">
        <f t="shared" si="0"/>
        <v>-12643.188401069499</v>
      </c>
    </row>
    <row r="11" spans="5:8" ht="15" thickBot="1" x14ac:dyDescent="0.35">
      <c r="E11" t="s">
        <v>77</v>
      </c>
      <c r="F11" s="12">
        <f>SUM(F8:F10)</f>
        <v>3412559.5010524578</v>
      </c>
      <c r="G11" s="12">
        <f t="shared" ref="G11:H11" si="1">SUM(G8:G10)</f>
        <v>441690.46959918481</v>
      </c>
      <c r="H11" s="12">
        <f t="shared" si="1"/>
        <v>3854249.9706516424</v>
      </c>
    </row>
    <row r="13" spans="5:8" x14ac:dyDescent="0.3">
      <c r="E13" t="s">
        <v>79</v>
      </c>
      <c r="H13" s="13">
        <v>0.65390000000000004</v>
      </c>
    </row>
    <row r="14" spans="5:8" ht="15" thickBot="1" x14ac:dyDescent="0.35">
      <c r="E14" t="s">
        <v>59</v>
      </c>
      <c r="H14" s="22">
        <f>H11*H13</f>
        <v>2520294.055809109</v>
      </c>
    </row>
    <row r="18" spans="5:9" x14ac:dyDescent="0.3">
      <c r="E18" t="s">
        <v>80</v>
      </c>
    </row>
    <row r="22" spans="5:9" x14ac:dyDescent="0.3">
      <c r="E22" s="24" t="s">
        <v>81</v>
      </c>
    </row>
    <row r="23" spans="5:9" x14ac:dyDescent="0.3">
      <c r="E23" t="s">
        <v>74</v>
      </c>
      <c r="H23" s="9">
        <f>H14</f>
        <v>2520294.055809109</v>
      </c>
    </row>
    <row r="24" spans="5:9" ht="15" thickBot="1" x14ac:dyDescent="0.35">
      <c r="E24" t="s">
        <v>82</v>
      </c>
      <c r="H24" s="25">
        <v>-11709014</v>
      </c>
      <c r="I24" s="19" t="s">
        <v>85</v>
      </c>
    </row>
    <row r="25" spans="5:9" ht="15.6" thickTop="1" thickBot="1" x14ac:dyDescent="0.35">
      <c r="E25" t="s">
        <v>83</v>
      </c>
      <c r="G25" s="26"/>
      <c r="H25" s="27">
        <f>SUM(H23:H24)</f>
        <v>-9188719.9441908915</v>
      </c>
    </row>
    <row r="26" spans="5:9" ht="15" thickTop="1" x14ac:dyDescent="0.3"/>
  </sheetData>
  <printOptions horizontalCentered="1"/>
  <pageMargins left="0.7" right="0.7" top="0.75" bottom="0.75" header="0.3" footer="0.3"/>
  <pageSetup orientation="landscape" r:id="rId1"/>
  <headerFooter>
    <oddFooter>&amp;LAvista
&amp;F
&amp;A&amp;RPage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L29"/>
  <sheetViews>
    <sheetView workbookViewId="0">
      <selection activeCell="D26" sqref="D26"/>
    </sheetView>
  </sheetViews>
  <sheetFormatPr defaultRowHeight="14.4" x14ac:dyDescent="0.3"/>
  <cols>
    <col min="3" max="3" width="29.33203125" bestFit="1" customWidth="1"/>
    <col min="4" max="4" width="15.77734375" bestFit="1" customWidth="1"/>
    <col min="5" max="5" width="13.109375" bestFit="1" customWidth="1"/>
    <col min="6" max="6" width="15.44140625" bestFit="1" customWidth="1"/>
    <col min="7" max="7" width="12.5546875" bestFit="1" customWidth="1"/>
  </cols>
  <sheetData>
    <row r="4" spans="3:12" x14ac:dyDescent="0.3">
      <c r="D4" s="3">
        <v>43100</v>
      </c>
      <c r="E4" s="4" t="s">
        <v>4</v>
      </c>
      <c r="F4" s="4" t="s">
        <v>5</v>
      </c>
      <c r="G4" s="3">
        <v>43465</v>
      </c>
    </row>
    <row r="5" spans="3:12" x14ac:dyDescent="0.3">
      <c r="C5" t="s">
        <v>0</v>
      </c>
      <c r="D5" s="2">
        <f>322252507-1269879-18732</f>
        <v>320963896</v>
      </c>
      <c r="E5" s="2">
        <f>4529074-391-391</f>
        <v>4528292</v>
      </c>
      <c r="F5" s="2">
        <v>-1254314</v>
      </c>
      <c r="G5" s="2">
        <f>SUM(D5:F5)</f>
        <v>324237874</v>
      </c>
      <c r="H5" s="2"/>
      <c r="I5" s="2"/>
      <c r="J5" s="2"/>
      <c r="K5" s="2"/>
      <c r="L5" s="2"/>
    </row>
    <row r="6" spans="3:12" x14ac:dyDescent="0.3">
      <c r="C6" t="s">
        <v>1</v>
      </c>
      <c r="D6" s="2">
        <v>41030662</v>
      </c>
      <c r="E6" s="2">
        <v>100464</v>
      </c>
      <c r="F6" s="2">
        <v>-28775</v>
      </c>
      <c r="G6" s="2">
        <f t="shared" ref="G6:G11" si="0">SUM(D6:F6)</f>
        <v>41102351</v>
      </c>
      <c r="H6" s="2"/>
      <c r="I6" s="2"/>
      <c r="J6" s="2"/>
      <c r="K6" s="2"/>
      <c r="L6" s="2"/>
    </row>
    <row r="7" spans="3:12" x14ac:dyDescent="0.3">
      <c r="C7" t="s">
        <v>2</v>
      </c>
      <c r="D7" s="5">
        <f>SUM(D5:D6)</f>
        <v>361994558</v>
      </c>
      <c r="E7" s="5">
        <f t="shared" ref="E7:G7" si="1">SUM(E5:E6)</f>
        <v>4628756</v>
      </c>
      <c r="F7" s="5">
        <f t="shared" si="1"/>
        <v>-1283089</v>
      </c>
      <c r="G7" s="5">
        <f t="shared" si="1"/>
        <v>365340225</v>
      </c>
      <c r="H7" s="2"/>
      <c r="I7" s="2"/>
      <c r="J7" s="2"/>
      <c r="K7" s="2"/>
      <c r="L7" s="2"/>
    </row>
    <row r="8" spans="3:12" x14ac:dyDescent="0.3">
      <c r="D8" s="2"/>
      <c r="E8" s="2"/>
      <c r="F8" s="2"/>
      <c r="G8" s="2"/>
      <c r="H8" s="2"/>
      <c r="I8" s="2"/>
      <c r="J8" s="2"/>
      <c r="K8" s="2"/>
      <c r="L8" s="2"/>
    </row>
    <row r="9" spans="3:12" x14ac:dyDescent="0.3">
      <c r="D9" s="2"/>
      <c r="E9" s="2"/>
      <c r="F9" s="2"/>
      <c r="G9" s="2"/>
      <c r="H9" s="2"/>
      <c r="I9" s="2"/>
      <c r="J9" s="2"/>
      <c r="K9" s="2"/>
      <c r="L9" s="2"/>
    </row>
    <row r="10" spans="3:12" x14ac:dyDescent="0.3">
      <c r="C10" t="s">
        <v>0</v>
      </c>
      <c r="D10" s="2">
        <v>-230433476</v>
      </c>
      <c r="E10" s="2">
        <v>-6348130</v>
      </c>
      <c r="F10" s="2">
        <v>1254314</v>
      </c>
      <c r="G10" s="2">
        <f t="shared" si="0"/>
        <v>-235527292</v>
      </c>
      <c r="H10" s="2"/>
      <c r="I10" s="2"/>
      <c r="J10" s="2"/>
      <c r="K10" s="2"/>
      <c r="L10" s="2"/>
    </row>
    <row r="11" spans="3:12" x14ac:dyDescent="0.3">
      <c r="C11" t="s">
        <v>1</v>
      </c>
      <c r="D11" s="2">
        <v>-22139608</v>
      </c>
      <c r="E11" s="2">
        <f>-E19-E20</f>
        <v>-760643</v>
      </c>
      <c r="F11" s="2">
        <v>28775</v>
      </c>
      <c r="G11" s="2">
        <f t="shared" si="0"/>
        <v>-22871476</v>
      </c>
      <c r="H11" s="2"/>
      <c r="I11" s="2"/>
      <c r="J11" s="2"/>
      <c r="K11" s="2"/>
      <c r="L11" s="2"/>
    </row>
    <row r="12" spans="3:12" x14ac:dyDescent="0.3">
      <c r="C12" t="s">
        <v>3</v>
      </c>
      <c r="D12" s="5">
        <f>SUM(D10:D11)</f>
        <v>-252573084</v>
      </c>
      <c r="E12" s="5">
        <f t="shared" ref="E12:G12" si="2">SUM(E10:E11)</f>
        <v>-7108773</v>
      </c>
      <c r="F12" s="5">
        <f t="shared" si="2"/>
        <v>1283089</v>
      </c>
      <c r="G12" s="5">
        <f t="shared" si="2"/>
        <v>-258398768</v>
      </c>
      <c r="H12" s="2"/>
      <c r="I12" s="2"/>
      <c r="J12" s="2"/>
      <c r="K12" s="2"/>
      <c r="L12" s="2"/>
    </row>
    <row r="13" spans="3:12" x14ac:dyDescent="0.3">
      <c r="D13" s="2"/>
      <c r="E13" s="2"/>
      <c r="F13" s="2"/>
      <c r="G13" s="2"/>
      <c r="H13" s="2"/>
      <c r="I13" s="2"/>
      <c r="J13" s="2"/>
      <c r="K13" s="2"/>
      <c r="L13" s="2"/>
    </row>
    <row r="14" spans="3:12" x14ac:dyDescent="0.3">
      <c r="C14" t="s">
        <v>6</v>
      </c>
      <c r="D14" s="2">
        <f>SUM(D7,D12)</f>
        <v>109421474</v>
      </c>
      <c r="E14" s="2"/>
      <c r="F14" s="2"/>
      <c r="G14" s="2">
        <f t="shared" ref="G14" si="3">SUM(G7,G12)</f>
        <v>106941457</v>
      </c>
      <c r="H14" s="2"/>
      <c r="I14" s="2"/>
      <c r="J14" s="2"/>
      <c r="K14" s="2"/>
      <c r="L14" s="2"/>
    </row>
    <row r="15" spans="3:12" x14ac:dyDescent="0.3">
      <c r="D15" s="2"/>
      <c r="E15" s="2"/>
      <c r="F15" s="2"/>
      <c r="G15" s="2"/>
      <c r="H15" s="2"/>
      <c r="I15" s="2"/>
      <c r="J15" s="2"/>
      <c r="K15" s="2"/>
      <c r="L15" s="2"/>
    </row>
    <row r="16" spans="3:12" x14ac:dyDescent="0.3">
      <c r="D16" s="2"/>
      <c r="E16" s="2"/>
      <c r="F16" s="2"/>
      <c r="G16" s="2"/>
      <c r="H16" s="2"/>
      <c r="I16" s="2"/>
      <c r="J16" s="2"/>
      <c r="K16" s="2"/>
      <c r="L16" s="2"/>
    </row>
    <row r="17" spans="3:12" x14ac:dyDescent="0.3">
      <c r="C17" t="s">
        <v>44</v>
      </c>
      <c r="D17" s="2"/>
      <c r="E17" s="2">
        <f>-E10-E18</f>
        <v>6293344</v>
      </c>
      <c r="F17" s="2"/>
      <c r="G17" s="2"/>
      <c r="H17" s="2"/>
      <c r="I17" s="2"/>
      <c r="J17" s="2"/>
      <c r="K17" s="2"/>
      <c r="L17" s="2"/>
    </row>
    <row r="18" spans="3:12" x14ac:dyDescent="0.3">
      <c r="C18" t="s">
        <v>45</v>
      </c>
      <c r="D18" s="2"/>
      <c r="E18" s="2">
        <v>54786</v>
      </c>
      <c r="F18" s="2"/>
      <c r="G18" s="2"/>
      <c r="H18" s="2"/>
      <c r="I18" s="2"/>
      <c r="J18" s="2"/>
      <c r="K18" s="2"/>
      <c r="L18" s="2"/>
    </row>
    <row r="19" spans="3:12" x14ac:dyDescent="0.3">
      <c r="C19" t="s">
        <v>46</v>
      </c>
      <c r="D19" s="2"/>
      <c r="E19" s="2">
        <v>759347</v>
      </c>
      <c r="F19" s="2"/>
      <c r="G19" s="2"/>
      <c r="H19" s="2"/>
      <c r="I19" s="2"/>
      <c r="J19" s="2"/>
      <c r="K19" s="2"/>
      <c r="L19" s="2"/>
    </row>
    <row r="20" spans="3:12" x14ac:dyDescent="0.3">
      <c r="C20" t="s">
        <v>47</v>
      </c>
      <c r="D20" s="2"/>
      <c r="E20" s="2">
        <v>1296</v>
      </c>
      <c r="F20" s="2"/>
      <c r="G20" s="2"/>
      <c r="H20" s="2"/>
      <c r="I20" s="2"/>
      <c r="J20" s="2"/>
      <c r="K20" s="2"/>
      <c r="L20" s="2"/>
    </row>
    <row r="21" spans="3:12" ht="15" thickBot="1" x14ac:dyDescent="0.35">
      <c r="C21" t="s">
        <v>48</v>
      </c>
      <c r="D21" s="2"/>
      <c r="E21" s="12">
        <f>SUM(E17:E20)</f>
        <v>7108773</v>
      </c>
      <c r="F21" s="2"/>
      <c r="G21" s="2"/>
      <c r="H21" s="2"/>
      <c r="I21" s="2"/>
      <c r="J21" s="2"/>
      <c r="K21" s="2"/>
      <c r="L21" s="2"/>
    </row>
    <row r="22" spans="3:12" x14ac:dyDescent="0.3">
      <c r="D22" s="2"/>
      <c r="E22" s="2"/>
      <c r="F22" s="2"/>
      <c r="G22" s="2"/>
      <c r="H22" s="2"/>
      <c r="I22" s="2"/>
      <c r="J22" s="2"/>
      <c r="K22" s="2"/>
      <c r="L22" s="2"/>
    </row>
    <row r="23" spans="3:12" x14ac:dyDescent="0.3">
      <c r="D23" s="6" t="s">
        <v>7</v>
      </c>
      <c r="E23" s="6" t="s">
        <v>8</v>
      </c>
      <c r="F23" s="6" t="s">
        <v>9</v>
      </c>
      <c r="G23" s="2"/>
      <c r="H23" s="2"/>
      <c r="I23" s="2"/>
      <c r="J23" s="2"/>
      <c r="K23" s="2"/>
      <c r="L23" s="2"/>
    </row>
    <row r="24" spans="3:12" x14ac:dyDescent="0.3">
      <c r="C24" t="s">
        <v>0</v>
      </c>
      <c r="D24" s="2">
        <f>D5+D10-6335818</f>
        <v>84194602</v>
      </c>
      <c r="E24" s="2">
        <f>-6335818*3/12</f>
        <v>-1583954.5</v>
      </c>
      <c r="F24" s="2">
        <f>SUM(D24:E24)</f>
        <v>82610647.5</v>
      </c>
      <c r="G24" s="2"/>
      <c r="H24" s="2"/>
      <c r="I24" s="2"/>
      <c r="J24" s="2"/>
      <c r="K24" s="2"/>
      <c r="L24" s="2"/>
    </row>
    <row r="25" spans="3:12" x14ac:dyDescent="0.3">
      <c r="C25" t="s">
        <v>1</v>
      </c>
      <c r="D25" s="2">
        <f>D6+D11-759373</f>
        <v>18131681</v>
      </c>
      <c r="E25" s="2">
        <f>-759373*3/12</f>
        <v>-189843.25</v>
      </c>
      <c r="F25" s="2">
        <f>SUM(D25:E25)</f>
        <v>17941837.75</v>
      </c>
      <c r="G25" s="2"/>
      <c r="H25" s="2"/>
      <c r="I25" s="2"/>
      <c r="J25" s="2"/>
      <c r="K25" s="2"/>
      <c r="L25" s="2"/>
    </row>
    <row r="26" spans="3:12" x14ac:dyDescent="0.3">
      <c r="D26" s="5">
        <f>SUM(D24:D25)</f>
        <v>102326283</v>
      </c>
      <c r="E26" s="5">
        <f t="shared" ref="E26:F26" si="4">SUM(E24:E25)</f>
        <v>-1773797.75</v>
      </c>
      <c r="F26" s="5">
        <f t="shared" si="4"/>
        <v>100552485.25</v>
      </c>
      <c r="G26" s="2"/>
      <c r="H26" s="2"/>
      <c r="I26" s="2"/>
      <c r="J26" s="2"/>
      <c r="K26" s="2"/>
      <c r="L26" s="2"/>
    </row>
    <row r="28" spans="3:12" x14ac:dyDescent="0.3">
      <c r="D28" s="13">
        <v>0.65349999999999997</v>
      </c>
      <c r="E28" s="13">
        <f>D28</f>
        <v>0.65349999999999997</v>
      </c>
      <c r="F28" s="13">
        <f>D28</f>
        <v>0.65349999999999997</v>
      </c>
    </row>
    <row r="29" spans="3:12" x14ac:dyDescent="0.3">
      <c r="D29" s="2">
        <f>D26*D28</f>
        <v>66870225.940499999</v>
      </c>
      <c r="E29" s="2">
        <f t="shared" ref="E29:F29" si="5">E26*E28</f>
        <v>-1159176.829625</v>
      </c>
      <c r="F29" s="2">
        <f t="shared" si="5"/>
        <v>65711049.110874996</v>
      </c>
    </row>
  </sheetData>
  <pageMargins left="0.7" right="0.7" top="0.75" bottom="0.75" header="0.3" footer="0.3"/>
  <pageSetup orientation="landscape" r:id="rId1"/>
  <headerFooter>
    <oddFooter>&amp;LAvista
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5006FA-DE6F-4F87-8946-B450D532EBB7}"/>
</file>

<file path=customXml/itemProps2.xml><?xml version="1.0" encoding="utf-8"?>
<ds:datastoreItem xmlns:ds="http://schemas.openxmlformats.org/officeDocument/2006/customXml" ds:itemID="{A86B8B6E-EAFB-4964-A9F0-17E71811F4B5}"/>
</file>

<file path=customXml/itemProps3.xml><?xml version="1.0" encoding="utf-8"?>
<ds:datastoreItem xmlns:ds="http://schemas.openxmlformats.org/officeDocument/2006/customXml" ds:itemID="{548055F8-1584-4777-8DFF-8C00B45896EE}"/>
</file>

<file path=customXml/itemProps4.xml><?xml version="1.0" encoding="utf-8"?>
<ds:datastoreItem xmlns:ds="http://schemas.openxmlformats.org/officeDocument/2006/customXml" ds:itemID="{1AF01E8A-A788-454C-86BA-5CC40A08D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Adjustment</vt:lpstr>
      <vt:lpstr>2018 Adds</vt:lpstr>
      <vt:lpstr>2019 Adds-Amort</vt:lpstr>
      <vt:lpstr>2019 Adds-Rate Base</vt:lpstr>
      <vt:lpstr>Summary</vt:lpstr>
      <vt:lpstr>'2018 Adds'!Print_Area</vt:lpstr>
      <vt:lpstr>'2019 Adds-Amort'!Print_Area</vt:lpstr>
      <vt:lpstr>'2019 Adds-Rate Base'!Print_Area</vt:lpstr>
      <vt:lpstr>Adjustment!Print_Area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2019-04-03T14:47:07Z</cp:lastPrinted>
  <dcterms:created xsi:type="dcterms:W3CDTF">2019-02-05T19:51:12Z</dcterms:created>
  <dcterms:modified xsi:type="dcterms:W3CDTF">2019-04-03T17:36:02Z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