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5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<sst xmlns="http://schemas.openxmlformats.org/spreadsheetml/2006/main" count="1107" uniqueCount="546">
  <si>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</si>
  <si>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</si>
  <si>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</si>
  <si>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</si>
  <si>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</si>
  <si>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</si>
  <si>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</si>
  <si>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</si>
  <si>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</si>
  <si>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</si>
  <si>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</si>
  <si>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</si>
  <si>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</si>
  <si>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</si>
  <si>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</si>
  <si>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</si>
  <si>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</si>
  <si>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</si>
  <si>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</si>
  <si>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</si>
  <si>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</si>
  <si>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</si>
  <si>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</si>
  <si>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</si>
  <si>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</si>
  <si>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</si>
  <si>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</si>
  <si>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</si>
  <si>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</si>
  <si>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</si>
  <si>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</si>
  <si>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</si>
  <si>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</si>
  <si>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</si>
  <si>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</si>
  <si>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</si>
  <si>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</si>
  <si>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</si>
  <si>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</si>
  <si>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</si>
  <si>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</si>
  <si>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</si>
  <si>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</si>
  <si>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</si>
  <si>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</si>
  <si>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</si>
  <si>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</si>
  <si>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</si>
  <si>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</si>
  <si>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</si>
  <si>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</si>
  <si>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</si>
  <si>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</si>
  <si>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</si>
  <si>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</si>
  <si>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</si>
  <si>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</si>
  <si>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</si>
  <si>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</si>
  <si>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</si>
  <si>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</si>
  <si>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</si>
  <si>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</si>
  <si>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</si>
  <si>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</si>
  <si>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</si>
  <si>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</si>
  <si>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</si>
  <si>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</si>
  <si>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</si>
  <si>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</si>
  <si>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</si>
  <si>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</si>
  <si>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</si>
  <si>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</si>
  <si>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</si>
  <si>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</si>
  <si>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</si>
  <si>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</si>
  <si>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</si>
  <si>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</si>
  <si>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</si>
  <si>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</si>
  <si>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</si>
  <si>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</si>
  <si>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</si>
  <si>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</si>
  <si>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</si>
  <si>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</si>
  <si>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</si>
  <si>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</si>
  <si>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</si>
  <si>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</si>
  <si>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</si>
  <si>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</si>
  <si>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</si>
  <si>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</si>
  <si>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</si>
  <si>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</si>
  <si>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</si>
  <si>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</si>
  <si>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</si>
  <si>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</si>
  <si>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</si>
  <si>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</si>
  <si>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</si>
  <si>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</si>
  <si>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</si>
  <si>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</si>
  <si>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</si>
  <si>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</si>
  <si>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</si>
  <si>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</si>
  <si>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</si>
  <si>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</si>
  <si>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</si>
  <si>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</si>
  <si>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</si>
  <si>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</si>
  <si>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</si>
  <si>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</si>
  <si>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</si>
  <si>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</si>
  <si>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</si>
  <si>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</si>
  <si>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</si>
  <si>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</si>
  <si>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</si>
  <si>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</si>
  <si>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</si>
  <si>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</si>
  <si>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</si>
  <si>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</si>
  <si>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</si>
  <si>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</si>
  <si>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</si>
  <si>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</si>
  <si>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</si>
  <si>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</si>
  <si>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</si>
  <si>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</si>
  <si>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</si>
  <si>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</si>
  <si>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</si>
  <si>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</si>
  <si>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</si>
  <si>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</si>
  <si>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</si>
  <si>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</si>
  <si>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</si>
  <si>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</si>
  <si>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</si>
  <si>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</si>
  <si>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</si>
  <si>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</si>
  <si>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</si>
  <si>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</si>
  <si>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</si>
  <si>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</si>
  <si>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</si>
  <si>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</si>
  <si>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</si>
  <si>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</si>
  <si>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</si>
  <si>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</si>
  <si>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</si>
  <si>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</si>
  <si>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</si>
  <si>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</si>
  <si>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</si>
  <si>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</si>
  <si>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</si>
  <si>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</si>
  <si>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</si>
  <si>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</si>
  <si>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</si>
  <si>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</si>
  <si>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</si>
  <si>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</si>
  <si>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</si>
  <si>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</si>
  <si>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</si>
  <si>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</si>
  <si>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</si>
  <si>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</si>
  <si>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</si>
  <si>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</si>
  <si>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</si>
  <si>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</si>
  <si>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</si>
  <si>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</si>
  <si>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</si>
  <si>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</si>
  <si>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</si>
  <si>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</si>
  <si>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</si>
  <si>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</si>
  <si>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</si>
  <si>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</si>
  <si>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</si>
  <si>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</si>
  <si>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</si>
  <si>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</si>
  <si>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</si>
  <si>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</si>
  <si>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</si>
  <si>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</si>
  <si>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</si>
  <si>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</si>
  <si>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</si>
  <si>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</si>
  <si>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</si>
  <si>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</si>
  <si>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</si>
  <si>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</si>
  <si>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</si>
  <si>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</si>
  <si>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</si>
  <si>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</si>
  <si>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</si>
  <si>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</si>
  <si>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</si>
  <si>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</si>
  <si>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</si>
  <si>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</si>
  <si>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</si>
  <si>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</si>
  <si>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</si>
  <si>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</si>
  <si>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</si>
  <si>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</si>
  <si>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</si>
  <si>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</si>
  <si>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</si>
  <si>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</si>
  <si>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</si>
  <si>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</si>
  <si>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</si>
  <si>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</si>
  <si>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</si>
  <si>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</si>
  <si>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</si>
  <si>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</si>
  <si>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</si>
  <si>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</si>
  <si>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</si>
  <si>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</si>
  <si>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</si>
  <si>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</si>
  <si>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</si>
  <si>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</si>
  <si>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</si>
  <si>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</si>
  <si>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</si>
  <si>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</si>
  <si>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</si>
  <si>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</si>
  <si>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</si>
  <si>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</si>
  <si>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</si>
  <si>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</si>
  <si>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</si>
  <si>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</si>
  <si>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</si>
  <si>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</si>
  <si>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</si>
  <si>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</si>
  <si>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</si>
  <si>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</si>
  <si>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</si>
  <si>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</si>
  <si>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</si>
  <si>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</si>
  <si>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</si>
  <si>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</si>
  <si>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</si>
  <si>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</si>
  <si>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</si>
  <si>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</si>
  <si>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</si>
  <si>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</si>
  <si>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</si>
  <si>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</si>
  <si>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</si>
  <si>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</si>
  <si>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</si>
  <si>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</si>
  <si>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</si>
  <si>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</si>
  <si>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</si>
  <si>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</si>
  <si>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</si>
  <si>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</si>
  <si>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</si>
  <si>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</si>
  <si>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</si>
  <si>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</si>
  <si>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</si>
  <si>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</si>
  <si>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</si>
  <si>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</si>
  <si>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</si>
  <si>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</si>
  <si>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</si>
  <si>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</si>
  <si>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</si>
  <si>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</si>
  <si>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</si>
  <si>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</si>
  <si>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</si>
  <si>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</si>
  <si>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</si>
  <si>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</si>
  <si>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</si>
  <si>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</si>
  <si>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</si>
  <si>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</si>
  <si>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</si>
  <si>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</si>
  <si>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</si>
  <si>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</si>
  <si>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</si>
  <si>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</si>
  <si>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</si>
  <si>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</si>
  <si>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</si>
  <si>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</si>
  <si>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</si>
  <si>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</si>
  <si>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</si>
  <si>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</si>
  <si>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</si>
  <si>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</si>
  <si>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</si>
  <si>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</si>
  <si>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</si>
  <si>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</si>
  <si>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</si>
  <si>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</si>
  <si>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</si>
  <si>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</si>
  <si>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</si>
  <si>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</si>
  <si>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</si>
  <si>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</si>
  <si>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</si>
  <si>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</si>
  <si>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</si>
  <si>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</si>
  <si>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</si>
  <si>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</si>
  <si>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</si>
  <si>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</si>
  <si>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</si>
  <si>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</si>
  <si>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</si>
  <si>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</si>
  <si>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</si>
  <si>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</si>
  <si>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</si>
  <si>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</si>
  <si>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</si>
  <si>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</si>
  <si>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</si>
  <si>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</si>
  <si>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</si>
  <si>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</si>
  <si>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</si>
  <si>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</si>
  <si>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</si>
  <si>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</si>
  <si>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</si>
  <si>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</si>
  <si>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</si>
  <si>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</si>
  <si>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</si>
  <si>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</si>
  <si>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</si>
  <si>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</si>
  <si>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</si>
  <si>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</si>
  <si>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</si>
  <si>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</si>
  <si>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</si>
  <si>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</si>
  <si>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</si>
  <si>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</si>
  <si>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</si>
  <si>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</si>
  <si>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</si>
  <si>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</si>
  <si>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</si>
  <si>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</si>
  <si>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</si>
  <si>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</si>
  <si>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</si>
  <si>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</si>
  <si>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</si>
  <si>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</si>
  <si>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</si>
  <si>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</si>
  <si>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</si>
  <si>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</si>
  <si>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</si>
  <si>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</si>
  <si>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</si>
  <si>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</si>
  <si>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</si>
  <si>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</si>
  <si>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</si>
  <si>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</si>
  <si>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</si>
  <si>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</si>
  <si>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</si>
  <si>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</si>
  <si>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</si>
  <si>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</si>
  <si>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</si>
  <si>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</si>
  <si>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</si>
  <si>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</si>
  <si>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</si>
  <si>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</si>
  <si>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</si>
  <si>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</si>
  <si>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</si>
  <si>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</si>
  <si>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</si>
  <si>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</si>
  <si>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</si>
  <si>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</si>
  <si>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</si>
  <si>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</si>
  <si>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</si>
  <si>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</si>
  <si>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</si>
  <si>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</si>
  <si>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</si>
  <si>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</si>
  <si>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</si>
  <si>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</si>
  <si>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</si>
  <si>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</si>
  <si>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</si>
  <si>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</si>
  <si>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</si>
  <si>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</si>
  <si>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</si>
  <si>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</si>
  <si>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</si>
  <si>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</si>
  <si>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</si>
  <si>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</si>
  <si>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</si>
  <si>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</si>
  <si>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</si>
  <si>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</si>
  <si>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</si>
  <si>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</si>
  <si>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</si>
  <si>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</si>
  <si>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</si>
  <si>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</si>
  <si>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</si>
  <si>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</si>
  <si>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</si>
  <si>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</si>
  <si>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</si>
  <si>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</si>
  <si>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</si>
  <si>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</si>
  <si>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</si>
  <si>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</si>
  <si>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</si>
  <si>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</si>
  <si>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</si>
  <si>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</si>
  <si>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</si>
  <si>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</si>
  <si>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</si>
  <si>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</si>
  <si>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</si>
  <si>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</si>
  <si>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</si>
  <si>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</si>
  <si>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</si>
  <si>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</si>
  <si>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</si>
  <si>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</si>
  <si>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</si>
  <si>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</si>
  <si>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</si>
  <si>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</si>
  <si>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</si>
  <si>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</si>
  <si>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</si>
  <si>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</si>
  <si>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</si>
  <si>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</si>
  <si>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</si>
  <si>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</si>
  <si>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</si>
  <si>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</si>
  <si>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</si>
  <si>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</si>
  <si>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</si>
  <si>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</si>
  <si>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</si>
  <si>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</si>
  <si>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</si>
  <si>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</si>
  <si>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</si>
  <si>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</si>
  <si>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</si>
  <si>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</si>
  <si>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</si>
  <si>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</si>
  <si>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</si>
  <si>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</si>
  <si>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</si>
  <si>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</si>
  <si>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</si>
  <si>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</si>
  <si>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</si>
  <si>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</si>
  <si>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</si>
  <si>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</si>
  <si>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</si>
  <si>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</si>
  <si>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</si>
  <si>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</si>
  <si>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</si>
  <si>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</si>
  <si>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</si>
  <si>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</si>
  <si>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</si>
  <si>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</si>
  <si>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</si>
  <si>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</si>
  <si>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</si>
  <si>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</si>
  <si>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</si>
  <si>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</si>
  <si>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</si>
  <si>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</si>
  <si>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August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</si>
</sst>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43" fontId="0" fillId="46" borderId="0" xfId="43" applyFont="1" applyFill="1" applyAlignment="1">
      <alignment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19854071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1387471</v>
      </c>
      <c r="L7" s="204">
        <f t="shared" si="1"/>
        <v>1276154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19854071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9248728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1156091</v>
      </c>
      <c r="L8" s="204">
        <f>'WA Monthly'!L8</f>
        <v>1156091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9248728</v>
      </c>
    </row>
    <row r="9" spans="1:18" ht="12.75">
      <c r="A9" s="151">
        <f>+A8+1</f>
        <v>3</v>
      </c>
      <c r="B9" s="260" t="s">
        <v>278</v>
      </c>
      <c r="D9" s="242">
        <f t="shared" si="2"/>
        <v>881546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86835</v>
      </c>
      <c r="L9" s="204">
        <f>'WA Monthly'!L9</f>
        <v>45787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881546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1258736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157342</v>
      </c>
      <c r="L10" s="204">
        <f>'WA Monthly'!L10</f>
        <v>157342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1258736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4849480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606185</v>
      </c>
      <c r="L11" s="204">
        <f>'WA Monthly'!L11</f>
        <v>606185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4849480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5903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488</v>
      </c>
      <c r="L13" s="204">
        <f>'WA Monthly'!L13</f>
        <v>633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5903</v>
      </c>
    </row>
    <row r="14" spans="1:18" ht="12.75">
      <c r="A14" s="151">
        <f t="shared" si="3"/>
        <v>8</v>
      </c>
      <c r="B14" t="s">
        <v>19</v>
      </c>
      <c r="D14" s="242">
        <f t="shared" si="2"/>
        <v>1001109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137282</v>
      </c>
      <c r="L14" s="204">
        <f>'WA Monthly'!L14</f>
        <v>85830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1001109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1019816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193728</v>
      </c>
      <c r="L15" s="204">
        <f>'WA Monthly'!L15</f>
        <v>173574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1019816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1696531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33555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1696531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3300573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593742</v>
      </c>
      <c r="L17" s="204">
        <f>'WA Monthly'!L17</f>
        <v>570212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3300573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16429203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2289914</v>
      </c>
      <c r="L19" s="204">
        <f>'WA Monthly'!L19</f>
        <v>2364389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16429203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12156116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836660</v>
      </c>
      <c r="L20" s="204">
        <f>'WA Monthly'!L20</f>
        <v>878233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12156116</v>
      </c>
    </row>
    <row r="21" spans="1:18" ht="12.75">
      <c r="A21" s="151">
        <f>A20+1</f>
        <v>15</v>
      </c>
      <c r="B21" t="s">
        <v>35</v>
      </c>
      <c r="D21" s="242">
        <f t="shared" si="2"/>
        <v>1640117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206488</v>
      </c>
      <c r="L21" s="204">
        <f>'WA Monthly'!L21</f>
        <v>204218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1640117</v>
      </c>
    </row>
    <row r="22" spans="1:18" ht="12.75">
      <c r="A22" s="151">
        <f>+A21+1</f>
        <v>16</v>
      </c>
      <c r="B22" s="145" t="s">
        <v>20</v>
      </c>
      <c r="D22" s="242">
        <f t="shared" si="2"/>
        <v>84095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-814</v>
      </c>
      <c r="L22" s="204">
        <f>'WA Monthly'!L22</f>
        <v>18701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84095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82900596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7684967</v>
      </c>
      <c r="L23" s="226">
        <f t="shared" si="5"/>
        <v>7537349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82816501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78232602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8016677</v>
      </c>
      <c r="L28" s="174">
        <f>_XLL.GET_BALANCE(L$83,"PTD","USD","Total","A","","001","555000","ED","AN","DL")</f>
        <v>10889579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78232602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-596979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-802503</v>
      </c>
      <c r="L30" s="174">
        <f>_XLL.GET_BALANCE(L$83,"PTD","USD","Total","A","","001","555100","ED","AN","DL")</f>
        <v>-4465783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-596979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84095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-814</v>
      </c>
      <c r="L34" s="174">
        <f>_XLL.GET_BALANCE(L$83,"PTD","USD","Total","A","","001","555550","ED","AN","DL")</f>
        <v>18701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84095</v>
      </c>
      <c r="S34" s="38"/>
    </row>
    <row r="35" spans="1:18" ht="12.75" outlineLevel="1">
      <c r="A35" s="151"/>
      <c r="B35" s="31">
        <v>555700</v>
      </c>
      <c r="D35" s="242">
        <f t="shared" si="7"/>
        <v>3540761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265119</v>
      </c>
      <c r="L35" s="174">
        <f>_XLL.GET_BALANCE(L$83,"PTD","USD","Total","A","","001","555700","ED","AN","DL")</f>
        <v>890634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3540761</v>
      </c>
    </row>
    <row r="36" spans="1:18" ht="12.75" outlineLevel="1">
      <c r="A36" s="151"/>
      <c r="B36" s="31">
        <v>555710</v>
      </c>
      <c r="D36" s="246">
        <f t="shared" si="7"/>
        <v>1640117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206488</v>
      </c>
      <c r="L36" s="202">
        <f>_XLL.GET_BALANCE(L$83,"PTD","USD","Total","A","","001","555710","ED","AN","DL")</f>
        <v>204218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1640117</v>
      </c>
    </row>
    <row r="37" spans="1:18" ht="12.75" outlineLevel="1">
      <c r="A37" s="151"/>
      <c r="D37" s="243">
        <f>SUM(E37:P37)</f>
        <v>82900596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7684967</v>
      </c>
      <c r="L37" s="243">
        <f t="shared" si="8"/>
        <v>7537349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5264973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-44335548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-5767715</v>
      </c>
      <c r="L40" s="204">
        <f>'WA Monthly'!L40</f>
        <v>-2850184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-44335548</v>
      </c>
    </row>
    <row r="41" spans="1:18" ht="12.75">
      <c r="A41" s="151">
        <f>A40+1</f>
        <v>19</v>
      </c>
      <c r="B41" s="31" t="s">
        <v>33</v>
      </c>
      <c r="D41" s="242">
        <f t="shared" si="9"/>
        <v>624552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119999</v>
      </c>
      <c r="L41" s="204">
        <f>'WA Monthly'!L41</f>
        <v>193228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624552</v>
      </c>
    </row>
    <row r="42" spans="1:18" ht="12.75">
      <c r="A42" s="151">
        <f>A41+1</f>
        <v>20</v>
      </c>
      <c r="B42" s="31" t="s">
        <v>122</v>
      </c>
      <c r="D42" s="242">
        <f t="shared" si="9"/>
        <v>95201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11907</v>
      </c>
      <c r="L42" s="204">
        <f>'WA Monthly'!L42</f>
        <v>12137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95201</v>
      </c>
    </row>
    <row r="43" spans="1:18" ht="12.75">
      <c r="A43" s="151">
        <f>A42+1</f>
        <v>21</v>
      </c>
      <c r="B43" s="31" t="s">
        <v>55</v>
      </c>
      <c r="D43" s="242">
        <f t="shared" si="9"/>
        <v>381929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48894</v>
      </c>
      <c r="L43" s="204">
        <f>'WA Monthly'!L43</f>
        <v>43177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381929</v>
      </c>
    </row>
    <row r="44" spans="1:18" ht="12.75">
      <c r="A44" s="151">
        <f>A43+1</f>
        <v>22</v>
      </c>
      <c r="B44" s="31" t="s">
        <v>36</v>
      </c>
      <c r="D44" s="242">
        <f t="shared" si="9"/>
        <v>-10535888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-1203890</v>
      </c>
      <c r="L44" s="204">
        <f>'WA Monthly'!L44</f>
        <v>-1235695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-10535888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-53769754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-6790805</v>
      </c>
      <c r="L45" s="244">
        <f t="shared" si="11"/>
        <v>-3837337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-53769754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-35225726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-35225726</v>
      </c>
    </row>
    <row r="50" spans="1:18" ht="12.75" outlineLevel="1">
      <c r="A50" s="151"/>
      <c r="B50" s="31">
        <v>447100</v>
      </c>
      <c r="D50" s="242">
        <f t="shared" si="12"/>
        <v>-2246425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-2246425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-4121598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-4121598</v>
      </c>
    </row>
    <row r="53" spans="1:18" ht="12.75" outlineLevel="1">
      <c r="A53" s="151"/>
      <c r="B53" s="31">
        <v>447710</v>
      </c>
      <c r="D53" s="242">
        <f t="shared" si="12"/>
        <v>-1640117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-1640117</v>
      </c>
    </row>
    <row r="54" spans="1:18" ht="12.75" outlineLevel="1">
      <c r="A54" s="151"/>
      <c r="B54" s="31">
        <v>447720</v>
      </c>
      <c r="D54" s="246">
        <f t="shared" si="12"/>
        <v>-10535888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-10535888</v>
      </c>
    </row>
    <row r="55" spans="1:18" ht="12.75" outlineLevel="1">
      <c r="A55" s="151"/>
      <c r="D55" s="242">
        <f t="shared" si="12"/>
        <v>-53769754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-6790805</v>
      </c>
      <c r="L55" s="242">
        <f t="shared" si="15"/>
        <v>-3837337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-16297603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3347624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3347624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18530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18530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12633086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12633086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114218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114218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16113458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3058428</v>
      </c>
      <c r="L62" s="225">
        <f t="shared" si="16"/>
        <v>3762991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16113458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300711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55406</v>
      </c>
      <c r="L65" s="119">
        <f>'WA Monthly'!L65</f>
        <v>48916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300711</v>
      </c>
    </row>
    <row r="66" spans="1:18" ht="12.75">
      <c r="A66" s="151">
        <f>A65+1</f>
        <v>30</v>
      </c>
      <c r="B66" s="31" t="s">
        <v>31</v>
      </c>
      <c r="D66" s="312">
        <f>SUM(E66:P66)</f>
        <v>540017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96593</v>
      </c>
      <c r="L66" s="119">
        <f>'WA Monthly'!L66</f>
        <v>98520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540017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>
        <f t="shared" si="17"/>
        <v>11.24</v>
      </c>
      <c r="L69" s="253">
        <f t="shared" si="17"/>
        <v>11.79</v>
      </c>
      <c r="M69" s="253" t="str">
        <f t="shared" si="17"/>
        <v> 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>
        <f t="shared" si="18"/>
        <v>24.9</v>
      </c>
      <c r="L70" s="253">
        <f t="shared" si="18"/>
        <v>32.13</v>
      </c>
      <c r="M70" s="253" t="str">
        <f t="shared" si="18"/>
        <v> 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23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4457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4457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540982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540982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137941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137941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21033789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21033789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17157178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17157178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1909638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323775</v>
      </c>
      <c r="L78" s="174">
        <f>_XLL.GET_BALANCE(L$83,"PTD","USD","Total","A","","001","547310","ED","AN","DL")</f>
        <v>1107794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1909638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40783985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8249668</v>
      </c>
      <c r="L79" s="225">
        <f t="shared" si="22"/>
        <v>9519606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40783985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86028285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12202258</v>
      </c>
      <c r="L81" s="225">
        <f t="shared" si="23"/>
        <v>16982609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110667197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-9417758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-1190519</v>
      </c>
      <c r="L85" s="249">
        <f>_XLL.GET_BALANCE(L$83,"PTD","USD","Total","A","","001","456100","ED","AN","DL")</f>
        <v>-1212796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-9417758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-2128000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-266000</v>
      </c>
      <c r="L86" s="249">
        <f>_XLL.GET_BALANCE(L$83,"PTD","USD","Total","A","","001","456120","ED","AN","DL")</f>
        <v>-266000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-321664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-5638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-1640117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-206488</v>
      </c>
      <c r="L88" s="249">
        <f>_XLL.GET_BALANCE(L$83,"PTD","USD","Total","A","","001","456130","ED","AN","DL")</f>
        <v>-204218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-40160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-5020</v>
      </c>
      <c r="L89" s="288">
        <f>_XLL.GET_BALANCE(L$83,"PTD","USD","Total","A","","001","456017","ED","AN","DL")</f>
        <v>-5020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-33856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-4232</v>
      </c>
      <c r="L90" s="289">
        <f>_XLL.GET_BALANCE(L$83,"PTD","USD","Total","A","","001","456700","ED","ID","DL")</f>
        <v>-4232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-1108624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-138578</v>
      </c>
      <c r="L91" s="249">
        <f>_XLL.GET_BALANCE(L$83,"PTD","USD","Total","A","","001","456705","ED","AN","DL")</f>
        <v>-138578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-1108624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-14690179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-1816475</v>
      </c>
      <c r="L92" s="250">
        <f t="shared" si="26"/>
        <v>-1830844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-14690179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11614497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1429765</v>
      </c>
      <c r="L95" s="174">
        <f>_XLL.GET_BALANCE(L$83,"PTD","USD","Total","A","","001","565000","ED","AN","DL")</f>
        <v>1487322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11614497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36288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4536</v>
      </c>
      <c r="L97" s="174">
        <f>_XLL.GET_BALANCE(L$83,"PTD","USD","Total","A","","001","565710","ED","AN","DL")</f>
        <v>4536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36288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11650785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1434301</v>
      </c>
      <c r="L98" s="251">
        <f t="shared" si="28"/>
        <v>1491858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11650785</v>
      </c>
    </row>
    <row r="99" spans="1:18" ht="24" customHeight="1">
      <c r="A99" s="267"/>
      <c r="B99" s="264"/>
      <c r="C99" s="266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97336</v>
      </c>
      <c r="E101" s="439">
        <f>_XLL.GET_BALANCE(E$83,"PTD","USD","Total","A","","001","557165","ED","AN","DL")</f>
        <v>2240</v>
      </c>
      <c r="F101" s="439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7171</v>
      </c>
      <c r="L101" s="174">
        <f>_XLL.GET_BALANCE(L$83,"PTD","USD","Total","A","","001","557165","ED","AN","DL")</f>
        <v>3705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81682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3361</v>
      </c>
      <c r="L102" s="174">
        <f>_XLL.GET_BALANCE(L$83,"PTD","USD","Total","A","","001","557018","ED","AN","DL")</f>
        <v>18245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179018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10532</v>
      </c>
      <c r="L103" s="251">
        <f t="shared" si="29"/>
        <v>21950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11942523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2237102</v>
      </c>
      <c r="L106" s="239">
        <f>_XLL.GET_BALANCE(L$83,"PTD","USD","Total","A","","001","557010","ED","AN","DL")</f>
        <v>2455984</v>
      </c>
      <c r="M106" s="239">
        <f>_XLL.GET_BALANCE(M$83,"PTD","USD","Total","A","","001","557010","ED","AN","DL")</f>
        <v>0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11942523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2426144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-2976389</v>
      </c>
      <c r="L107" s="239">
        <f>_XLL.GET_BALANCE(L$83,"PTD","USD","Total","A","","001","557150","ED","AN","DL")</f>
        <v>-1245477</v>
      </c>
      <c r="M107" s="239">
        <f>_XLL.GET_BALANCE(M$83,"PTD","USD","Total","A","","001","557150","ED","AN","DL")</f>
        <v>0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2426144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1534511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742450</v>
      </c>
      <c r="L108" s="239">
        <f>_XLL.GET_BALANCE(L$83,"PTD","USD","Total","A","","001","557700","ED","AN","DL")</f>
        <v>658115</v>
      </c>
      <c r="M108" s="239">
        <f>_XLL.GET_BALANCE(M$83,"PTD","USD","Total","A","","001","557700","ED","AN","DL")</f>
        <v>0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1534511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-1534511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-742450</v>
      </c>
      <c r="L109" s="239">
        <f>_XLL.GET_BALANCE(L$83,"PTD","USD","Total","A","","001","557711","ED","AN","DL")</f>
        <v>-658115</v>
      </c>
      <c r="M109" s="239">
        <f>_XLL.GET_BALANCE(M$83,"PTD","USD","Total","A","","001","557711","ED","AN","DL")</f>
        <v>0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-1534511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30522851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5452335</v>
      </c>
      <c r="L110" s="239">
        <f>_XLL.GET_BALANCE(L$83,"PTD","USD","Total","A","","001","557730","ED","AN","DL")</f>
        <v>5589840</v>
      </c>
      <c r="M110" s="239">
        <f>_XLL.GET_BALANCE(M$83,"PTD","USD","Total","A","","001","557730","ED","AN","DL")</f>
        <v>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30522851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-6422423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-1132181</v>
      </c>
      <c r="L111" s="239">
        <f>_XLL.GET_BALANCE(L$83,"PTD","USD","Total","A","","001","456010","ED","AN","DL")</f>
        <v>-831385</v>
      </c>
      <c r="M111" s="239">
        <f>_XLL.GET_BALANCE(M$83,"PTD","USD","Total","A","","001","456010","ED","AN","DL")</f>
        <v>0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-6422423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-21657070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-1999556</v>
      </c>
      <c r="L112" s="239">
        <f>_XLL.GET_BALANCE(L$83,"PTD","USD","Total","A","","001","456015","ED","AN","DL")</f>
        <v>-449955</v>
      </c>
      <c r="M112" s="239">
        <f>_XLL.GET_BALANCE(M$83,"PTD","USD","Total","A","","001","456015","ED","AN","DL")</f>
        <v>0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-21657070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-21441939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-2242160</v>
      </c>
      <c r="L113" s="239">
        <f>_XLL.GET_BALANCE(L$83,"PTD","USD","Total","A","","001","456730","ED","AN","DL")</f>
        <v>-5890144</v>
      </c>
      <c r="M113" s="239">
        <f>_XLL.GET_BALANCE(M$83,"PTD","USD","Total","A","","001","456730","ED","AN","DL")</f>
        <v>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-21441939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655967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631238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655967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-655967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-631238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-655967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-4629914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-660849</v>
      </c>
      <c r="L116" s="189">
        <f>SUM(L106:L115)</f>
        <v>-371137</v>
      </c>
      <c r="M116" s="189">
        <f>SUM(M106:M115)</f>
        <v>0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-4629914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-3750806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-303312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0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-3750806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-3750806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>
        <f t="shared" si="34"/>
        <v>-303312</v>
      </c>
      <c r="L119" s="173">
        <f t="shared" si="34"/>
        <v>0</v>
      </c>
      <c r="M119" s="173" t="str">
        <f t="shared" si="34"/>
        <v> 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-3750806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472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247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472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472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472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352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86</v>
      </c>
      <c r="L125" s="174">
        <f>_XLL.GET_BALANCE(L$83,"PTD","USD","Total","A","","001","557395","ED","AN","DL")</f>
        <v>120</v>
      </c>
      <c r="M125" s="174">
        <f>_XLL.GET_BALANCE(M$83,"PTD","USD","Total","A","","001","557395","ED","AN","DL")</f>
        <v>0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352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352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>
        <f t="shared" si="36"/>
        <v>86</v>
      </c>
      <c r="L126" s="189">
        <f t="shared" si="36"/>
        <v>120</v>
      </c>
      <c r="M126" s="189" t="str">
        <f t="shared" si="36"/>
        <v> 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352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-8379896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>
        <f t="shared" si="37"/>
        <v>-963828</v>
      </c>
      <c r="L127" s="189">
        <f t="shared" si="37"/>
        <v>-371017</v>
      </c>
      <c r="M127" s="189" t="str">
        <f t="shared" si="37"/>
        <v> 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-8379896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74788013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>
        <f t="shared" si="38"/>
        <v>10866788</v>
      </c>
      <c r="L129" s="252">
        <f t="shared" si="38"/>
        <v>16294556</v>
      </c>
      <c r="M129" s="252" t="str">
        <f t="shared" si="38"/>
        <v> 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74788013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3" t="s">
        <v>538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4" t="s">
        <v>398</v>
      </c>
      <c r="B7" s="584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240556</v>
      </c>
      <c r="K8" s="303">
        <f>'Input Tab'!J79</f>
        <v>258414</v>
      </c>
      <c r="L8" s="303">
        <f>'Input Tab'!K79</f>
        <v>0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2077016</v>
      </c>
      <c r="R8" s="16"/>
    </row>
    <row r="9" spans="2:16" ht="19.5" customHeight="1">
      <c r="B9" s="301" t="s">
        <v>400</v>
      </c>
      <c r="C9" s="302"/>
      <c r="D9" s="437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-95649</v>
      </c>
      <c r="K9" s="306">
        <f t="shared" si="2"/>
        <v>-116057</v>
      </c>
      <c r="L9" s="306">
        <f t="shared" si="2"/>
        <v>0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-888457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116057</v>
      </c>
      <c r="K10" s="303">
        <f>'Input Tab'!J80</f>
        <v>108841</v>
      </c>
      <c r="L10" s="303">
        <f>'Input Tab'!K80</f>
        <v>0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854101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260964</v>
      </c>
      <c r="K11" s="310">
        <f t="shared" si="3"/>
        <v>251198</v>
      </c>
      <c r="L11" s="310">
        <f t="shared" si="3"/>
        <v>0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2042660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SUM(D12:K12)</f>
        <v>2000460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>
        <f t="shared" si="4"/>
        <v>15502</v>
      </c>
      <c r="K13" s="314">
        <f t="shared" si="4"/>
        <v>-4720</v>
      </c>
      <c r="L13" s="314" t="str">
        <f t="shared" si="4"/>
        <v> 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42200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>
        <f t="shared" si="5"/>
        <v>372048</v>
      </c>
      <c r="K15" s="254">
        <f t="shared" si="5"/>
        <v>-113280</v>
      </c>
      <c r="L15" s="254" t="str">
        <f t="shared" si="5"/>
        <v> 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1012800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-372048</v>
      </c>
      <c r="K19" s="329">
        <f t="shared" si="7"/>
        <v>113280</v>
      </c>
      <c r="L19" s="329">
        <f t="shared" si="7"/>
        <v>0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-1012800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Rebate</v>
      </c>
      <c r="K20" s="330" t="str">
        <f t="shared" si="8"/>
        <v>Surcharge</v>
      </c>
      <c r="L20" s="330" t="str">
        <f t="shared" si="8"/>
        <v>Surcharge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6" t="s">
        <v>227</v>
      </c>
      <c r="B1" s="586"/>
      <c r="C1" s="586"/>
      <c r="D1" s="586"/>
      <c r="E1" s="586"/>
      <c r="F1" s="586"/>
      <c r="G1" s="586"/>
      <c r="H1" s="586"/>
    </row>
    <row r="2" spans="1:8" ht="15.75">
      <c r="A2" s="587" t="s">
        <v>419</v>
      </c>
      <c r="B2" s="587"/>
      <c r="C2" s="587"/>
      <c r="D2" s="587"/>
      <c r="E2" s="587"/>
      <c r="F2" s="587"/>
      <c r="G2" s="587"/>
      <c r="H2" s="587"/>
    </row>
    <row r="3" ht="12.75">
      <c r="A3" s="31"/>
    </row>
    <row r="4" spans="1:8" ht="16.5" thickBot="1">
      <c r="A4" s="31"/>
      <c r="B4" s="585" t="s">
        <v>424</v>
      </c>
      <c r="C4" s="585"/>
      <c r="D4" s="585"/>
      <c r="E4" s="585"/>
      <c r="F4" s="585"/>
      <c r="G4" s="585"/>
      <c r="H4" s="585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5" t="s">
        <v>425</v>
      </c>
      <c r="C21" s="585"/>
      <c r="D21" s="585"/>
      <c r="E21" s="585"/>
      <c r="F21" s="585"/>
      <c r="G21" s="585"/>
      <c r="H21" s="585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5" t="s">
        <v>427</v>
      </c>
      <c r="C38" s="585"/>
      <c r="D38" s="585"/>
      <c r="E38" s="585"/>
      <c r="F38" s="585"/>
      <c r="G38" s="585"/>
      <c r="H38" s="585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600" t="s">
        <v>10</v>
      </c>
      <c r="E5" s="600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601">
        <f>'WA Summary '!D6:E6</f>
        <v>84135044</v>
      </c>
      <c r="E6" s="601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7684967</v>
      </c>
      <c r="M6" s="236">
        <f>'WA Summary '!M6</f>
        <v>7537349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602">
        <f>'WA Summary '!D7:E7</f>
        <v>-53769754</v>
      </c>
      <c r="E7" s="602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-6790805</v>
      </c>
      <c r="M7" s="236">
        <f>'WA Summary '!M7</f>
        <v>-3837337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7" t="e">
        <f>'WA Summary '!#REF!</f>
        <v>#REF!</v>
      </c>
      <c r="E8" s="597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7">
        <f>'WA Summary '!D8:E8</f>
        <v>16113458</v>
      </c>
      <c r="E9" s="597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3058428</v>
      </c>
      <c r="M9" s="236">
        <f>'WA Summary '!M8</f>
        <v>3762991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7">
        <f>'WA Summary '!D9:E9</f>
        <v>40783985</v>
      </c>
      <c r="E10" s="597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8249668</v>
      </c>
      <c r="M10" s="236">
        <f>'WA Summary '!M9</f>
        <v>9519606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7"/>
      <c r="E11" s="597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5">
        <f>'WA Summary '!D11:E11</f>
        <v>11650785</v>
      </c>
      <c r="E12" s="555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1434301</v>
      </c>
      <c r="M12" s="236">
        <f>'WA Summary '!M11</f>
        <v>1491858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5">
        <f>'WA Summary '!D12:E12</f>
        <v>497388</v>
      </c>
      <c r="E13" s="555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46901</v>
      </c>
      <c r="M13" s="236">
        <f>'WA Summary '!M12</f>
        <v>64239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8" t="e">
        <f>'WA Summary '!#REF!</f>
        <v>#REF!</v>
      </c>
      <c r="E14" s="598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4" t="e">
        <f>SUM(D6:E14)</f>
        <v>#REF!</v>
      </c>
      <c r="E15" s="594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9" t="str">
        <f>'WA Summary '!D14:E14</f>
        <v>Total through August</v>
      </c>
      <c r="E16" s="599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6">
        <f>'WA Summary '!D15:E15</f>
        <v>78635774</v>
      </c>
      <c r="E17" s="596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2">
        <f>'WA Summary '!D16:E16</f>
        <v>-60667279</v>
      </c>
      <c r="E18" s="592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2" t="e">
        <f>'WA Summary '!#REF!</f>
        <v>#REF!</v>
      </c>
      <c r="E19" s="592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2">
        <f>'WA Summary '!D17:E17</f>
        <v>18388134</v>
      </c>
      <c r="E20" s="592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2">
        <f>'WA Summary '!D18:E18</f>
        <v>46144699</v>
      </c>
      <c r="E21" s="592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2"/>
      <c r="E22" s="59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2">
        <f>'WA Summary '!D20:E20</f>
        <v>11493724</v>
      </c>
      <c r="E23" s="592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3">
        <f>'WA Summary '!D21:E21</f>
        <v>460000</v>
      </c>
      <c r="E24" s="593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4" t="e">
        <f>SUM(D17:E24)</f>
        <v>#REF!</v>
      </c>
      <c r="E25" s="594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5" t="e">
        <f>D15-D25</f>
        <v>#REF!</v>
      </c>
      <c r="E26" s="595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9">
        <f>SUM(F27:Q27)</f>
        <v>-4629090</v>
      </c>
      <c r="E27" s="58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>
        <f>'WA Monthly'!K134</f>
        <v>-660516</v>
      </c>
      <c r="M27" s="232">
        <f>'WA Monthly'!L134</f>
        <v>-371017</v>
      </c>
      <c r="N27" s="232" t="str">
        <f>'WA Monthly'!M134</f>
        <v> </v>
      </c>
      <c r="O27" s="232" t="str">
        <f>'WA Monthly'!N134</f>
        <v> </v>
      </c>
      <c r="P27" s="232" t="str">
        <f>'WA Monthly'!O134</f>
        <v> 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590" t="e">
        <f>D26+D27</f>
        <v>#REF!</v>
      </c>
      <c r="E28" s="59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6" t="e">
        <f>SUM(F30:Q30)</f>
        <v>#REF!</v>
      </c>
      <c r="E30" s="566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91" t="s">
        <v>262</v>
      </c>
      <c r="C31" s="591"/>
      <c r="D31" s="566">
        <f>SUM(F31:Q31)</f>
        <v>-2289852</v>
      </c>
      <c r="E31" s="566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>
        <f>'WA Summary '!L30</f>
        <v>-830278</v>
      </c>
      <c r="M31" s="287">
        <f>'WA Summary '!M30</f>
        <v>-758570</v>
      </c>
      <c r="N31" s="287" t="str">
        <f>'WA Summary '!N30</f>
        <v> </v>
      </c>
      <c r="O31" s="187"/>
      <c r="P31" s="187"/>
      <c r="Q31" s="187"/>
    </row>
    <row r="32" spans="1:17" ht="12.75">
      <c r="A32" s="186">
        <f t="shared" si="3"/>
        <v>26</v>
      </c>
      <c r="B32" s="571" t="s">
        <v>199</v>
      </c>
      <c r="C32" s="571"/>
      <c r="D32" s="563" t="e">
        <f>SUM(F32:Q32)</f>
        <v>#REF!</v>
      </c>
      <c r="E32" s="563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1" t="s">
        <v>267</v>
      </c>
      <c r="B40" s="581"/>
      <c r="C40" s="581"/>
      <c r="D40" s="563" t="e">
        <f>SUM(F40:Q40)</f>
        <v>#REF!</v>
      </c>
      <c r="E40" s="563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8" t="s">
        <v>111</v>
      </c>
      <c r="B41" s="588"/>
      <c r="C41" s="58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42673587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7684967</v>
      </c>
      <c r="AM4" s="13">
        <f>'WA Summary '!L15</f>
        <v>8166121</v>
      </c>
      <c r="AN4" s="13">
        <f aca="true" t="shared" si="5" ref="AN4:AN12">AL4-AM4</f>
        <v>-481154</v>
      </c>
      <c r="AO4" s="13"/>
      <c r="AP4" s="80"/>
      <c r="AQ4" s="13">
        <f>'WA Summary '!M6</f>
        <v>7537349</v>
      </c>
      <c r="AR4" s="13">
        <f>'WA Summary '!M15</f>
        <v>9056301</v>
      </c>
      <c r="AS4" s="13">
        <f aca="true" t="shared" si="6" ref="AS4:AS12">AQ4-AR4</f>
        <v>-1518952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aca="true" t="shared" si="7" ref="AY4:AY12">AW4-AX4</f>
        <v>-7883689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aca="true" t="shared" si="9" ref="BJ4:BJ12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aca="true" t="shared" si="10" ref="BP4:BP12">BN4-BO4</f>
        <v>-12493230</v>
      </c>
    </row>
    <row r="5" spans="1:68" ht="12.75">
      <c r="A5" t="str">
        <f>'WA Summary '!B8</f>
        <v>501 Thermal Fuel</v>
      </c>
      <c r="B5" s="25">
        <f>F5+S5+W5+AA5+AE5+AI5+AL5+AV5+AZ5+BG5+BK5</f>
        <v>7423244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3058428</v>
      </c>
      <c r="AM5" s="13">
        <f>'WA Summary '!L17</f>
        <v>2427227</v>
      </c>
      <c r="AN5" s="13">
        <f t="shared" si="5"/>
        <v>631201</v>
      </c>
      <c r="AO5" s="13"/>
      <c r="AP5" s="80"/>
      <c r="AQ5" s="13">
        <f>'WA Summary '!M8</f>
        <v>3762991</v>
      </c>
      <c r="AR5" s="13">
        <f>'WA Summary '!M17</f>
        <v>2652598</v>
      </c>
      <c r="AS5" s="13">
        <f t="shared" si="6"/>
        <v>1110393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19868343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8249668</v>
      </c>
      <c r="AM6" s="13">
        <f>'WA Summary '!L18</f>
        <v>5239795</v>
      </c>
      <c r="AN6" s="13">
        <f t="shared" si="5"/>
        <v>3009873</v>
      </c>
      <c r="AO6" s="13"/>
      <c r="AP6" s="80"/>
      <c r="AQ6" s="13">
        <f>'WA Summary '!M9</f>
        <v>9519606</v>
      </c>
      <c r="AR6" s="13">
        <f>'WA Summary '!M18</f>
        <v>6788998</v>
      </c>
      <c r="AS6" s="13">
        <f t="shared" si="6"/>
        <v>2730608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-28093915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-6790805</v>
      </c>
      <c r="AM7" s="13">
        <f>'WA Summary '!L16</f>
        <v>-7766255</v>
      </c>
      <c r="AN7" s="13">
        <f t="shared" si="5"/>
        <v>975450</v>
      </c>
      <c r="AO7" s="13"/>
      <c r="AP7" s="80"/>
      <c r="AQ7" s="13">
        <f>'WA Summary '!M7</f>
        <v>-3837337</v>
      </c>
      <c r="AR7" s="13">
        <f>'WA Summary '!M16</f>
        <v>-5454044</v>
      </c>
      <c r="AS7" s="13">
        <f t="shared" si="6"/>
        <v>1616707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1434301</v>
      </c>
      <c r="AM8" s="13">
        <f>'WA Summary '!L20</f>
        <v>1411206</v>
      </c>
      <c r="AN8" s="13">
        <f t="shared" si="5"/>
        <v>23095</v>
      </c>
      <c r="AO8" s="13"/>
      <c r="AP8" s="80"/>
      <c r="AQ8" s="14">
        <f>'WA Summary '!M11</f>
        <v>1491858</v>
      </c>
      <c r="AR8" s="13">
        <f>'WA Summary '!M20</f>
        <v>1443939</v>
      </c>
      <c r="AS8" s="13">
        <f t="shared" si="6"/>
        <v>47919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-1821024</v>
      </c>
      <c r="AM9" s="13">
        <f>'WA Summary '!L19</f>
        <v>-1599620</v>
      </c>
      <c r="AN9" s="13">
        <f t="shared" si="5"/>
        <v>-221404</v>
      </c>
      <c r="AO9" s="13"/>
      <c r="AP9" s="80"/>
      <c r="AQ9" s="14">
        <f>'WA Summary '!M10</f>
        <v>-1835393</v>
      </c>
      <c r="AR9" s="13">
        <f>'WA Summary '!M19</f>
        <v>-1447883</v>
      </c>
      <c r="AS9" s="13">
        <f t="shared" si="6"/>
        <v>-387510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>
        <f>'WA Summary '!L25</f>
        <v>-660516</v>
      </c>
      <c r="AM10" s="13"/>
      <c r="AN10" s="13">
        <f t="shared" si="5"/>
        <v>-660516</v>
      </c>
      <c r="AO10" s="13">
        <f>AN10*0.6583</f>
        <v>-434818</v>
      </c>
      <c r="AP10" s="80"/>
      <c r="AQ10" s="14">
        <f>'WA Summary '!M25</f>
        <v>-371017</v>
      </c>
      <c r="AR10" s="13"/>
      <c r="AS10" s="13">
        <f t="shared" si="6"/>
        <v>-371017</v>
      </c>
      <c r="AT10" s="13"/>
      <c r="AV10" s="80"/>
      <c r="AW10" s="13" t="str">
        <f>'WA Summary '!N25</f>
        <v> </v>
      </c>
      <c r="AX10" s="13"/>
      <c r="AY10" s="13" t="e">
        <f t="shared" si="7"/>
        <v>#VALUE!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 t="str">
        <f>'WA Summary '!P25</f>
        <v> </v>
      </c>
      <c r="BI10" s="13"/>
      <c r="BJ10" s="13" t="e">
        <f t="shared" si="9"/>
        <v>#VALUE!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311128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46901</v>
      </c>
      <c r="AM11" s="14">
        <f>'WA Summary '!L21</f>
        <v>57500</v>
      </c>
      <c r="AN11" s="13">
        <f t="shared" si="5"/>
        <v>-10599</v>
      </c>
      <c r="AO11" s="13"/>
      <c r="AP11" s="80"/>
      <c r="AQ11" s="14">
        <f>'WA Summary '!M12</f>
        <v>64239</v>
      </c>
      <c r="AR11" s="14">
        <f>'WA Summary '!M21</f>
        <v>57500</v>
      </c>
      <c r="AS11" s="13">
        <f>AQ10-AR11</f>
        <v>-428517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>
        <f>'WA Summary '!M30</f>
        <v>-758570</v>
      </c>
      <c r="AR19" s="80"/>
      <c r="AS19" s="14">
        <f>AQ19-AR19</f>
        <v>-758570</v>
      </c>
      <c r="AT19" s="14"/>
      <c r="AV19" s="80"/>
      <c r="AW19" s="80" t="str">
        <f>'WA Summary '!N30</f>
        <v> </v>
      </c>
      <c r="AX19" s="80"/>
      <c r="AY19" s="14" t="e">
        <f>AW19-AX19</f>
        <v>#VALUE!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578635</v>
      </c>
      <c r="AR51" s="80">
        <v>968779</v>
      </c>
      <c r="AS51" s="13">
        <f>AQ51-AR51</f>
        <v>-390144</v>
      </c>
      <c r="AT51" s="13">
        <f aca="true" t="shared" si="52" ref="AT51:AT59">AS51*0.6583</f>
        <v>-256832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3165929</v>
      </c>
      <c r="AR52" s="80">
        <v>1351971</v>
      </c>
      <c r="AS52" s="13">
        <f aca="true" t="shared" si="66" ref="AS52:AS61">AQ52-AR52</f>
        <v>1813958</v>
      </c>
      <c r="AT52" s="13">
        <f t="shared" si="52"/>
        <v>1194129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18427</v>
      </c>
      <c r="AR53" s="80">
        <v>21500</v>
      </c>
      <c r="AS53" s="13">
        <f t="shared" si="66"/>
        <v>-3073</v>
      </c>
      <c r="AT53" s="13">
        <f t="shared" si="52"/>
        <v>-2023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70967</v>
      </c>
      <c r="AR55" s="80">
        <v>54496</v>
      </c>
      <c r="AS55" s="13">
        <f t="shared" si="66"/>
        <v>16471</v>
      </c>
      <c r="AT55" s="13">
        <f t="shared" si="52"/>
        <v>10843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190719</v>
      </c>
      <c r="AR56" s="80">
        <v>104090</v>
      </c>
      <c r="AS56" s="13">
        <f t="shared" si="66"/>
        <v>86629</v>
      </c>
      <c r="AT56" s="13">
        <f t="shared" si="52"/>
        <v>57028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1107794</v>
      </c>
      <c r="AR57" s="80">
        <v>107456</v>
      </c>
      <c r="AS57" s="13">
        <f t="shared" si="66"/>
        <v>1000338</v>
      </c>
      <c r="AT57" s="13">
        <f t="shared" si="52"/>
        <v>658523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-3</v>
      </c>
      <c r="AR58" s="80">
        <v>14925</v>
      </c>
      <c r="AS58" s="13">
        <f t="shared" si="66"/>
        <v>-14928</v>
      </c>
      <c r="AT58" s="13">
        <f t="shared" si="52"/>
        <v>-9827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85830</v>
      </c>
      <c r="AR61" s="80">
        <v>44300</v>
      </c>
      <c r="AS61" s="13">
        <f t="shared" si="66"/>
        <v>41530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173574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18701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157342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606185</v>
      </c>
      <c r="AR73" s="80">
        <v>338463</v>
      </c>
      <c r="AS73" s="13">
        <f>AQ73-AR73</f>
        <v>267722</v>
      </c>
      <c r="AT73" s="13"/>
      <c r="AU73" s="13">
        <f>AS73*0.6583</f>
        <v>176241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7">
      <selection activeCell="J81" sqref="J81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>
        <v>1156091.1</v>
      </c>
      <c r="J19" s="412">
        <v>1156091.1</v>
      </c>
      <c r="K19" s="412"/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>
        <v>86834.92</v>
      </c>
      <c r="J20" s="412">
        <v>45787</v>
      </c>
      <c r="K20" s="412"/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>
        <v>157342</v>
      </c>
      <c r="J21" s="412">
        <v>157342</v>
      </c>
      <c r="K21" s="412"/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>
        <v>606185.15</v>
      </c>
      <c r="J22" s="412">
        <v>606185.15</v>
      </c>
      <c r="K22" s="412"/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>
        <v>487.97</v>
      </c>
      <c r="J24" s="412">
        <v>632.87</v>
      </c>
      <c r="K24" s="412"/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137282.32</v>
      </c>
      <c r="J25" s="421">
        <f t="shared" si="1"/>
        <v>85830.39</v>
      </c>
      <c r="K25" s="421">
        <f t="shared" si="1"/>
        <v>0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>
        <v>0</v>
      </c>
      <c r="J26" s="412">
        <v>0</v>
      </c>
      <c r="K26" s="412"/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>
        <v>47178.86</v>
      </c>
      <c r="J27" s="412">
        <v>27129.26</v>
      </c>
      <c r="K27" s="412"/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2329.32</v>
      </c>
      <c r="J28" s="412">
        <v>0</v>
      </c>
      <c r="K28" s="412"/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>
        <v>17335.61</v>
      </c>
      <c r="J29" s="412">
        <v>9981.54</v>
      </c>
      <c r="K29" s="412"/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>
        <v>13484.38</v>
      </c>
      <c r="J30" s="412">
        <v>8063.69</v>
      </c>
      <c r="K30" s="412"/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>
        <v>50932.55</v>
      </c>
      <c r="J31" s="412">
        <v>40069.18</v>
      </c>
      <c r="K31" s="412"/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>
        <v>6021.6</v>
      </c>
      <c r="J32" s="412">
        <v>586.72</v>
      </c>
      <c r="K32" s="412"/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>
        <v>193727.69</v>
      </c>
      <c r="J34" s="412">
        <v>173573.7</v>
      </c>
      <c r="K34" s="412"/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>
        <v>33555.1</v>
      </c>
      <c r="J35" s="412">
        <v>0</v>
      </c>
      <c r="K35" s="412"/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>
        <v>593741.94</v>
      </c>
      <c r="J36" s="412">
        <v>570212.28</v>
      </c>
      <c r="K36" s="412"/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>
        <f>2291956.12-13321.68-4902.68+61.33+16120.87</f>
        <v>2289913.96</v>
      </c>
      <c r="J38" s="412">
        <f>2303744.27+38.49+60606.35</f>
        <v>2364389.11</v>
      </c>
      <c r="K38" s="412"/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>
        <f>836677.92-17.78</f>
        <v>836660.14</v>
      </c>
      <c r="J39" s="412">
        <v>878233.2</v>
      </c>
      <c r="K39" s="412"/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36"/>
      <c r="N41" s="436"/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>
        <v>119998.8</v>
      </c>
      <c r="J44" s="412">
        <v>193228.34</v>
      </c>
      <c r="K44" s="412"/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>
        <f>501+5766+2820.15+2820.15</f>
        <v>11907.3</v>
      </c>
      <c r="J45" s="412">
        <f>622+5766+2874.6+2874.6</f>
        <v>12137.2</v>
      </c>
      <c r="K45" s="412"/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>
        <f>4420.01+4420.01+22207.92+8922.83+8922.83</f>
        <v>48893.6</v>
      </c>
      <c r="J46" s="412">
        <f>2428.88+2428.88+21246.12+8536.39+8536.39</f>
        <v>43176.66</v>
      </c>
      <c r="K46" s="412"/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>
        <v>55406</v>
      </c>
      <c r="J49" s="27">
        <v>48916</v>
      </c>
      <c r="K49" s="27"/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>
        <v>96593</v>
      </c>
      <c r="J50" s="27">
        <v>98520</v>
      </c>
      <c r="K50" s="27"/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>
        <f>464714115/1000</f>
        <v>464714</v>
      </c>
      <c r="J53" s="27">
        <f>513953341/1000</f>
        <v>513953</v>
      </c>
      <c r="K53" s="27"/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>
        <f>231542830/1000</f>
        <v>231543</v>
      </c>
      <c r="J54" s="27">
        <f>235296826/1000</f>
        <v>235297</v>
      </c>
      <c r="K54" s="27"/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>
        <f>240556459/1000</f>
        <v>240556</v>
      </c>
      <c r="J79" s="27">
        <f>258413599/1000</f>
        <v>258414</v>
      </c>
      <c r="K79" s="27"/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>
        <f>116056829/1000</f>
        <v>116057</v>
      </c>
      <c r="J80" s="27">
        <f>108840740/1000</f>
        <v>108841</v>
      </c>
      <c r="K80" s="27"/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6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A1" sqref="A1:IV16384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3" t="s">
        <v>227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>
      <c r="A2" s="554" t="s">
        <v>37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56" t="s">
        <v>10</v>
      </c>
      <c r="E5" s="556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57">
        <f>SUM(F6:Q6)</f>
        <v>84135044</v>
      </c>
      <c r="E6" s="557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7684967</v>
      </c>
      <c r="M6" s="177">
        <f>'WA Monthly'!L23</f>
        <v>7537349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58">
        <f aca="true" t="shared" si="2" ref="D7:D13">SUM(F7:Q7)</f>
        <v>-53769754</v>
      </c>
      <c r="E7" s="558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-6790805</v>
      </c>
      <c r="M7" s="177">
        <f>'WA Monthly'!L45</f>
        <v>-3837337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5">
        <f t="shared" si="2"/>
        <v>16113458</v>
      </c>
      <c r="E8" s="555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3058428</v>
      </c>
      <c r="M8" s="177">
        <f>'WA Monthly'!L62</f>
        <v>3762991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5">
        <f t="shared" si="2"/>
        <v>40783985</v>
      </c>
      <c r="E9" s="555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8249668</v>
      </c>
      <c r="M9" s="177">
        <f>'WA Monthly'!L79</f>
        <v>9519606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8">
        <f t="shared" si="2"/>
        <v>-14726571</v>
      </c>
      <c r="E10" s="558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-1821024</v>
      </c>
      <c r="M10" s="177">
        <f>'WA Monthly'!L92</f>
        <v>-1835393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5">
        <f t="shared" si="2"/>
        <v>11650785</v>
      </c>
      <c r="E11" s="555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1434301</v>
      </c>
      <c r="M11" s="177">
        <f>'WA Monthly'!L98</f>
        <v>1491858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5">
        <f t="shared" si="2"/>
        <v>497388</v>
      </c>
      <c r="E12" s="555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46901</v>
      </c>
      <c r="M12" s="177">
        <f>'WA Monthly'!L105</f>
        <v>64239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4" t="s">
        <v>11</v>
      </c>
      <c r="C13" s="444"/>
      <c r="D13" s="559">
        <f t="shared" si="2"/>
        <v>84684335</v>
      </c>
      <c r="E13" s="559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11862436</v>
      </c>
      <c r="M13" s="445">
        <f t="shared" si="3"/>
        <v>16703313</v>
      </c>
      <c r="N13" s="445">
        <f t="shared" si="3"/>
        <v>0</v>
      </c>
      <c r="O13" s="445">
        <f t="shared" si="3"/>
        <v>0</v>
      </c>
      <c r="P13" s="445">
        <f t="shared" si="3"/>
        <v>0</v>
      </c>
      <c r="Q13" s="445">
        <f t="shared" si="3"/>
        <v>0</v>
      </c>
    </row>
    <row r="14" spans="2:17" ht="37.5" customHeight="1">
      <c r="B14" s="408" t="s">
        <v>14</v>
      </c>
      <c r="C14" s="384"/>
      <c r="D14" s="561" t="s">
        <v>545</v>
      </c>
      <c r="E14" s="562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0">
        <f aca="true" t="shared" si="5" ref="D15:D22">SUM(F15:M15)</f>
        <v>78635774</v>
      </c>
      <c r="E15" s="560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0">
        <f t="shared" si="5"/>
        <v>-60667279</v>
      </c>
      <c r="E16" s="560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0">
        <f t="shared" si="5"/>
        <v>18388134</v>
      </c>
      <c r="E17" s="560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0">
        <f t="shared" si="5"/>
        <v>46144699</v>
      </c>
      <c r="E18" s="560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0">
        <f t="shared" si="5"/>
        <v>-10814112</v>
      </c>
      <c r="E19" s="560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0">
        <f t="shared" si="5"/>
        <v>11493724</v>
      </c>
      <c r="E20" s="560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60">
        <f t="shared" si="5"/>
        <v>460000</v>
      </c>
      <c r="E21" s="560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60">
        <f t="shared" si="5"/>
        <v>-1545360</v>
      </c>
      <c r="E22" s="560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70">
        <f>SUM(D15:E22)</f>
        <v>82095580</v>
      </c>
      <c r="E23" s="570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16619356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5">
        <f>SUM(F24:M24)</f>
        <v>2588755</v>
      </c>
      <c r="E24" s="565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>
        <f t="shared" si="8"/>
        <v>4119632</v>
      </c>
      <c r="M24" s="449">
        <f t="shared" si="8"/>
        <v>3799074</v>
      </c>
      <c r="N24" s="449" t="str">
        <f t="shared" si="8"/>
        <v> </v>
      </c>
      <c r="O24" s="449" t="str">
        <f t="shared" si="8"/>
        <v> </v>
      </c>
      <c r="P24" s="449" t="str">
        <f t="shared" si="8"/>
        <v> </v>
      </c>
      <c r="Q24" s="449" t="str">
        <f t="shared" si="8"/>
        <v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4">
        <f>SUM(F25:Q25)</f>
        <v>-4629090</v>
      </c>
      <c r="E25" s="564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>
        <f>'WA Monthly'!K134</f>
        <v>-660516</v>
      </c>
      <c r="M25" s="232">
        <f>'WA Monthly'!L134</f>
        <v>-371017</v>
      </c>
      <c r="N25" s="232" t="str">
        <f>'WA Monthly'!M134</f>
        <v> </v>
      </c>
      <c r="O25" s="232" t="str">
        <f>'WA Monthly'!N134</f>
        <v> </v>
      </c>
      <c r="P25" s="232" t="str">
        <f>'WA Monthly'!O134</f>
        <v> 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4">
        <f>SUM(F26:Q26)</f>
        <v>-2040335</v>
      </c>
      <c r="E26" s="564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3459116</v>
      </c>
      <c r="M26" s="232">
        <f t="shared" si="9"/>
        <v>3428057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6">
        <f>SUM(F28:M28)</f>
        <v>-1320300</v>
      </c>
      <c r="E28" s="566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Q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2238394</v>
      </c>
      <c r="M28" s="451">
        <f t="shared" si="10"/>
        <v>2218296</v>
      </c>
      <c r="N28" s="451">
        <f t="shared" si="10"/>
        <v>0</v>
      </c>
      <c r="O28" s="451">
        <f t="shared" si="10"/>
        <v>0</v>
      </c>
      <c r="P28" s="451">
        <f t="shared" si="10"/>
        <v>0</v>
      </c>
      <c r="Q28" s="451">
        <f t="shared" si="10"/>
        <v>0</v>
      </c>
    </row>
    <row r="29" spans="1:17" ht="20.25" customHeight="1">
      <c r="A29" s="161">
        <f>A28+1</f>
        <v>23</v>
      </c>
      <c r="B29" s="57" t="s">
        <v>503</v>
      </c>
      <c r="D29" s="566">
        <f>SUM(F29:Q29)</f>
        <v>0</v>
      </c>
      <c r="E29" s="566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68" t="s">
        <v>262</v>
      </c>
      <c r="C30" s="568"/>
      <c r="D30" s="572">
        <f>SUM(F30:Q30)</f>
        <v>-2289852</v>
      </c>
      <c r="E30" s="572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>
        <f>'WA RRC'!H19</f>
        <v>-830278</v>
      </c>
      <c r="M30" s="452">
        <f>'WA RRC'!I19</f>
        <v>-758570</v>
      </c>
      <c r="N30" s="452" t="str">
        <f>'WA RRC'!J19</f>
        <v> </v>
      </c>
      <c r="O30" s="452" t="str">
        <f>'WA RRC'!K19</f>
        <v> </v>
      </c>
      <c r="P30" s="452" t="str">
        <f>'WA RRC'!L19</f>
        <v> </v>
      </c>
      <c r="Q30" s="452" t="str">
        <f>'WA RRC'!M19</f>
        <v> </v>
      </c>
    </row>
    <row r="31" spans="1:17" ht="27" customHeight="1">
      <c r="A31" s="161">
        <f t="shared" si="6"/>
        <v>25</v>
      </c>
      <c r="B31" s="571" t="s">
        <v>199</v>
      </c>
      <c r="C31" s="571"/>
      <c r="D31" s="563">
        <f>SUM(F31:M31)</f>
        <v>-3610152</v>
      </c>
      <c r="E31" s="563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>
        <f t="shared" si="11"/>
        <v>1408116</v>
      </c>
      <c r="M31" s="220">
        <f t="shared" si="11"/>
        <v>1459726</v>
      </c>
      <c r="N31" s="220" t="str">
        <f t="shared" si="11"/>
        <v> </v>
      </c>
      <c r="O31" s="220" t="str">
        <f t="shared" si="11"/>
        <v> </v>
      </c>
      <c r="P31" s="220" t="str">
        <f t="shared" si="11"/>
        <v> 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69" t="s">
        <v>369</v>
      </c>
      <c r="C32" s="569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>
        <f t="shared" si="12"/>
        <v>-5069878</v>
      </c>
      <c r="M33" s="173">
        <f t="shared" si="12"/>
        <v>-3610152</v>
      </c>
      <c r="N33" s="173" t="str">
        <f t="shared" si="12"/>
        <v> </v>
      </c>
      <c r="O33" s="173" t="str">
        <f t="shared" si="12"/>
        <v> </v>
      </c>
      <c r="P33" s="173" t="str">
        <f t="shared" si="12"/>
        <v> </v>
      </c>
      <c r="Q33" s="173" t="str">
        <f t="shared" si="12"/>
        <v> 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>
        <f t="shared" si="13"/>
        <v>0</v>
      </c>
      <c r="M34" s="174">
        <f t="shared" si="13"/>
        <v>0</v>
      </c>
      <c r="N34" s="174" t="str">
        <f t="shared" si="13"/>
        <v> </v>
      </c>
      <c r="O34" s="174" t="str">
        <f t="shared" si="13"/>
        <v> </v>
      </c>
      <c r="P34" s="174" t="str">
        <f t="shared" si="13"/>
        <v> </v>
      </c>
      <c r="Q34" s="174" t="str">
        <f t="shared" si="13"/>
        <v> 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>
        <f t="shared" si="14"/>
        <v>-1069878</v>
      </c>
      <c r="M35" s="174">
        <f t="shared" si="14"/>
        <v>0</v>
      </c>
      <c r="N35" s="174" t="str">
        <f t="shared" si="14"/>
        <v> </v>
      </c>
      <c r="O35" s="174" t="str">
        <f t="shared" si="14"/>
        <v> </v>
      </c>
      <c r="P35" s="174" t="str">
        <f t="shared" si="14"/>
        <v> </v>
      </c>
      <c r="Q35" s="174" t="str">
        <f t="shared" si="14"/>
        <v> 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>
        <f t="shared" si="15"/>
        <v>-4000000</v>
      </c>
      <c r="M36" s="174">
        <f t="shared" si="15"/>
        <v>-3610152</v>
      </c>
      <c r="N36" s="174" t="str">
        <f t="shared" si="15"/>
        <v> </v>
      </c>
      <c r="O36" s="174" t="str">
        <f t="shared" si="15"/>
        <v> </v>
      </c>
      <c r="P36" s="174" t="str">
        <f t="shared" si="15"/>
        <v> </v>
      </c>
      <c r="Q36" s="174" t="str">
        <f t="shared" si="15"/>
        <v> 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>
        <f t="shared" si="16"/>
        <v>0</v>
      </c>
      <c r="M37" s="399">
        <f t="shared" si="16"/>
        <v>0</v>
      </c>
      <c r="N37" s="399" t="str">
        <f t="shared" si="16"/>
        <v> </v>
      </c>
      <c r="O37" s="399" t="str">
        <f t="shared" si="16"/>
        <v> </v>
      </c>
      <c r="P37" s="399" t="str">
        <f t="shared" si="16"/>
        <v> </v>
      </c>
      <c r="Q37" s="399" t="str">
        <f t="shared" si="16"/>
        <v> 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>
        <f t="shared" si="17"/>
        <v>-802409</v>
      </c>
      <c r="M38" s="174">
        <f t="shared" si="17"/>
        <v>0</v>
      </c>
      <c r="N38" s="174" t="str">
        <f t="shared" si="17"/>
        <v> </v>
      </c>
      <c r="O38" s="174" t="str">
        <f t="shared" si="17"/>
        <v> </v>
      </c>
      <c r="P38" s="174" t="str">
        <f t="shared" si="17"/>
        <v> 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>
        <f t="shared" si="18"/>
        <v>1056087</v>
      </c>
      <c r="M39" s="174">
        <f t="shared" si="18"/>
        <v>802409</v>
      </c>
      <c r="N39" s="174" t="str">
        <f t="shared" si="18"/>
        <v> </v>
      </c>
      <c r="O39" s="174" t="str">
        <f t="shared" si="18"/>
        <v> </v>
      </c>
      <c r="P39" s="174" t="str">
        <f t="shared" si="18"/>
        <v> </v>
      </c>
      <c r="Q39" s="174" t="str">
        <f t="shared" si="18"/>
        <v> </v>
      </c>
      <c r="R39" s="166"/>
    </row>
    <row r="40" spans="1:18" ht="24.75" customHeight="1">
      <c r="A40" s="569" t="s">
        <v>267</v>
      </c>
      <c r="B40" s="569"/>
      <c r="C40" s="569"/>
      <c r="D40" s="563">
        <f>SUM(F40:M40)</f>
        <v>0</v>
      </c>
      <c r="E40" s="563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>
        <f t="shared" si="19"/>
        <v>-1056087</v>
      </c>
      <c r="M40" s="189">
        <f t="shared" si="19"/>
        <v>-802409</v>
      </c>
      <c r="N40" s="189" t="str">
        <f t="shared" si="19"/>
        <v> </v>
      </c>
      <c r="O40" s="189" t="str">
        <f t="shared" si="19"/>
        <v> </v>
      </c>
      <c r="P40" s="189" t="str">
        <f t="shared" si="19"/>
        <v> </v>
      </c>
      <c r="Q40" s="189" t="str">
        <f t="shared" si="19"/>
        <v> </v>
      </c>
      <c r="R40" s="164"/>
    </row>
    <row r="41" spans="1:18" ht="26.25" customHeight="1" thickBot="1">
      <c r="A41" s="567" t="s">
        <v>111</v>
      </c>
      <c r="B41" s="567"/>
      <c r="C41" s="567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>
        <f t="shared" si="20"/>
        <v>-4267469</v>
      </c>
      <c r="M41" s="191">
        <f t="shared" si="20"/>
        <v>-3610152</v>
      </c>
      <c r="N41" s="191" t="str">
        <f t="shared" si="20"/>
        <v> </v>
      </c>
      <c r="O41" s="191" t="str">
        <f t="shared" si="20"/>
        <v> </v>
      </c>
      <c r="P41" s="191" t="str">
        <f t="shared" si="20"/>
        <v> </v>
      </c>
      <c r="Q41" s="191" t="str">
        <f t="shared" si="20"/>
        <v> 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10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customWidth="1" outlineLevel="1"/>
    <col min="4" max="4" width="13.421875" style="77" bestFit="1" customWidth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2.75">
      <c r="A2" s="573" t="s">
        <v>240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21088519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1387471</v>
      </c>
      <c r="L7" s="192">
        <f t="shared" si="1"/>
        <v>1276154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40"/>
      <c r="R7" s="502">
        <f aca="true" t="shared" si="2" ref="R7:R22">SUM(E7:P7)</f>
        <v>21088519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9248728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1156091</v>
      </c>
      <c r="L8" s="505">
        <f>'Input Tab'!J19</f>
        <v>1156091</v>
      </c>
      <c r="M8" s="505">
        <f>'Input Tab'!K19</f>
        <v>0</v>
      </c>
      <c r="N8" s="505">
        <f>'Input Tab'!L19</f>
        <v>0</v>
      </c>
      <c r="O8" s="505">
        <f>'Input Tab'!M19</f>
        <v>0</v>
      </c>
      <c r="P8" s="505">
        <f>'Input Tab'!N19</f>
        <v>0</v>
      </c>
      <c r="Q8" s="340"/>
      <c r="R8" s="502">
        <f t="shared" si="2"/>
        <v>9248728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881546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86835</v>
      </c>
      <c r="L9" s="505">
        <f>'Input Tab'!J20</f>
        <v>45787</v>
      </c>
      <c r="M9" s="505">
        <f>'Input Tab'!K20</f>
        <v>0</v>
      </c>
      <c r="N9" s="505">
        <f>'Input Tab'!L20</f>
        <v>0</v>
      </c>
      <c r="O9" s="505">
        <f>'Input Tab'!M20</f>
        <v>0</v>
      </c>
      <c r="P9" s="505">
        <f>'Input Tab'!N20</f>
        <v>0</v>
      </c>
      <c r="Q9" s="340"/>
      <c r="R9" s="502">
        <f>SUM(E9:P9)</f>
        <v>881546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1258736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157342</v>
      </c>
      <c r="L10" s="505">
        <f>'Input Tab'!J21</f>
        <v>157342</v>
      </c>
      <c r="M10" s="505">
        <f>'Input Tab'!K21</f>
        <v>0</v>
      </c>
      <c r="N10" s="505">
        <f>'Input Tab'!L21</f>
        <v>0</v>
      </c>
      <c r="O10" s="505">
        <f>'Input Tab'!M21</f>
        <v>0</v>
      </c>
      <c r="P10" s="505">
        <f>'Input Tab'!N21</f>
        <v>0</v>
      </c>
      <c r="Q10" s="340"/>
      <c r="R10" s="502">
        <f t="shared" si="2"/>
        <v>1258736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4849480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606185</v>
      </c>
      <c r="L11" s="506">
        <f>'Input Tab'!J22</f>
        <v>606185</v>
      </c>
      <c r="M11" s="506">
        <f>'Input Tab'!K22</f>
        <v>0</v>
      </c>
      <c r="N11" s="506">
        <f>'Input Tab'!L22</f>
        <v>0</v>
      </c>
      <c r="O11" s="506">
        <f>'Input Tab'!M22</f>
        <v>0</v>
      </c>
      <c r="P11" s="506">
        <f>'Input Tab'!N22</f>
        <v>0</v>
      </c>
      <c r="Q11" s="340"/>
      <c r="R11" s="502">
        <f t="shared" si="2"/>
        <v>4849480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9474572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0</v>
      </c>
      <c r="P12" s="506">
        <f>'Input Tab'!N23</f>
        <v>0</v>
      </c>
      <c r="Q12" s="340"/>
      <c r="R12" s="502">
        <f t="shared" si="2"/>
        <v>9474572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5903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488</v>
      </c>
      <c r="L13" s="506">
        <f>'Input Tab'!J24</f>
        <v>633</v>
      </c>
      <c r="M13" s="506">
        <f>'Input Tab'!K24</f>
        <v>0</v>
      </c>
      <c r="N13" s="506">
        <f>'Input Tab'!L24</f>
        <v>0</v>
      </c>
      <c r="O13" s="506">
        <f>'Input Tab'!M24</f>
        <v>0</v>
      </c>
      <c r="P13" s="506">
        <f>'Input Tab'!N24</f>
        <v>0</v>
      </c>
      <c r="Q13" s="340"/>
      <c r="R13" s="502">
        <f t="shared" si="2"/>
        <v>5903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1001109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137282</v>
      </c>
      <c r="L14" s="506">
        <f>'Input Tab'!J25</f>
        <v>85830</v>
      </c>
      <c r="M14" s="506">
        <f>'Input Tab'!K25</f>
        <v>0</v>
      </c>
      <c r="N14" s="506">
        <f>'Input Tab'!L25</f>
        <v>0</v>
      </c>
      <c r="O14" s="506">
        <f>'Input Tab'!M25</f>
        <v>0</v>
      </c>
      <c r="P14" s="506">
        <f>'Input Tab'!N25</f>
        <v>0</v>
      </c>
      <c r="Q14" s="340"/>
      <c r="R14" s="502">
        <f t="shared" si="2"/>
        <v>1001109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1019816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193728</v>
      </c>
      <c r="L15" s="506">
        <f>'Input Tab'!J34</f>
        <v>173574</v>
      </c>
      <c r="M15" s="506">
        <f>'Input Tab'!K34</f>
        <v>0</v>
      </c>
      <c r="N15" s="506">
        <f>'Input Tab'!L34</f>
        <v>0</v>
      </c>
      <c r="O15" s="506">
        <f>'Input Tab'!M34</f>
        <v>0</v>
      </c>
      <c r="P15" s="506">
        <f>'Input Tab'!N34</f>
        <v>0</v>
      </c>
      <c r="Q15" s="340"/>
      <c r="R15" s="502">
        <f t="shared" si="2"/>
        <v>1019816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1696531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33555</v>
      </c>
      <c r="L16" s="506">
        <f>'Input Tab'!J35</f>
        <v>0</v>
      </c>
      <c r="M16" s="506">
        <f>'Input Tab'!K35</f>
        <v>0</v>
      </c>
      <c r="N16" s="506">
        <f>'Input Tab'!L35</f>
        <v>0</v>
      </c>
      <c r="O16" s="506">
        <f>'Input Tab'!M35</f>
        <v>0</v>
      </c>
      <c r="P16" s="506">
        <f>'Input Tab'!N35</f>
        <v>0</v>
      </c>
      <c r="Q16" s="340"/>
      <c r="R16" s="502">
        <f t="shared" si="2"/>
        <v>1696531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3300573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593742</v>
      </c>
      <c r="L17" s="506">
        <f>'Input Tab'!J36</f>
        <v>570212</v>
      </c>
      <c r="M17" s="506">
        <f>'Input Tab'!K36</f>
        <v>0</v>
      </c>
      <c r="N17" s="506">
        <f>'Input Tab'!L36</f>
        <v>0</v>
      </c>
      <c r="O17" s="506">
        <f>'Input Tab'!M36</f>
        <v>0</v>
      </c>
      <c r="P17" s="506">
        <f>'Input Tab'!N36</f>
        <v>0</v>
      </c>
      <c r="Q17" s="340"/>
      <c r="R17" s="502">
        <f t="shared" si="2"/>
        <v>3300573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16429203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2289914</v>
      </c>
      <c r="L19" s="505">
        <f>'Input Tab'!J38</f>
        <v>2364389</v>
      </c>
      <c r="M19" s="505">
        <f>'Input Tab'!K38</f>
        <v>0</v>
      </c>
      <c r="N19" s="505">
        <f>'Input Tab'!L38</f>
        <v>0</v>
      </c>
      <c r="O19" s="505">
        <f>'Input Tab'!M38</f>
        <v>0</v>
      </c>
      <c r="P19" s="505">
        <f>'Input Tab'!N38</f>
        <v>0</v>
      </c>
      <c r="Q19" s="340"/>
      <c r="R19" s="502">
        <f t="shared" si="2"/>
        <v>16429203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12156116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836660</v>
      </c>
      <c r="L20" s="505">
        <f>'Input Tab'!J39</f>
        <v>878233</v>
      </c>
      <c r="M20" s="505">
        <f>'Input Tab'!K39</f>
        <v>0</v>
      </c>
      <c r="N20" s="505">
        <f>'Input Tab'!L39</f>
        <v>0</v>
      </c>
      <c r="O20" s="505">
        <f>'Input Tab'!M39</f>
        <v>0</v>
      </c>
      <c r="P20" s="505">
        <f>'Input Tab'!N39</f>
        <v>0</v>
      </c>
      <c r="Q20" s="340"/>
      <c r="R20" s="502">
        <f t="shared" si="2"/>
        <v>12156116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1640117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206488</v>
      </c>
      <c r="L21" s="195">
        <f t="shared" si="5"/>
        <v>204218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2">
        <f t="shared" si="2"/>
        <v>1640117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84095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-814</v>
      </c>
      <c r="L22" s="196">
        <f t="shared" si="6"/>
        <v>18701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2">
        <f t="shared" si="2"/>
        <v>84095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84135044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7684967</v>
      </c>
      <c r="L23" s="510">
        <f t="shared" si="7"/>
        <v>7537349</v>
      </c>
      <c r="M23" s="510">
        <f>M37</f>
        <v>0</v>
      </c>
      <c r="N23" s="510">
        <f>N37</f>
        <v>0</v>
      </c>
      <c r="O23" s="510">
        <f t="shared" si="7"/>
        <v>0</v>
      </c>
      <c r="P23" s="510">
        <f t="shared" si="7"/>
        <v>0</v>
      </c>
      <c r="Q23" s="199"/>
      <c r="R23" s="511">
        <f>SUM(R7:R21)</f>
        <v>84050949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78232602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8016677</v>
      </c>
      <c r="L27" s="174">
        <f>_XLL.GET_BALANCE(L$83,"PTD","USD","Total","A","","001","555000","ED","AN","DL")</f>
        <v>10889579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78232602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-596979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-802503</v>
      </c>
      <c r="L29" s="174">
        <f>_XLL.GET_BALANCE(L$83,"PTD","USD","Total","A","","001","555100","ED","AN","DL")</f>
        <v>-4465783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2">
        <f t="shared" si="8"/>
        <v>-596979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84095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-814</v>
      </c>
      <c r="L33" s="174">
        <f>_XLL.GET_BALANCE(L$83,"PTD","USD","Total","A","","001","555550","ED","AN","DL")</f>
        <v>18701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2">
        <f>SUM(E33:P33)</f>
        <v>84095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3540761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265119</v>
      </c>
      <c r="L34" s="174">
        <f>_XLL.GET_BALANCE(L$83,"PTD","USD","Total","A","","001","555700","ED","AN","DL")</f>
        <v>890634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2">
        <f t="shared" si="8"/>
        <v>3540761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1640117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206488</v>
      </c>
      <c r="L35" s="174">
        <f>_XLL.GET_BALANCE(L$83,"PTD","USD","Total","A","","001","555710","ED","AN","DL")</f>
        <v>204218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2">
        <f t="shared" si="8"/>
        <v>1640117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1234448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0</v>
      </c>
      <c r="P36" s="515">
        <f>'Input Tab'!N41</f>
        <v>0</v>
      </c>
      <c r="Q36" s="447"/>
      <c r="R36" s="502">
        <f t="shared" si="8"/>
        <v>1234448</v>
      </c>
    </row>
    <row r="37" spans="1:18" s="217" customFormat="1" ht="12.75" outlineLevel="1">
      <c r="A37" s="498"/>
      <c r="B37" s="374"/>
      <c r="C37" s="374"/>
      <c r="D37" s="243">
        <f>SUM(E37:P37)</f>
        <v>84135044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7684967</v>
      </c>
      <c r="L37" s="243">
        <f t="shared" si="10"/>
        <v>7537349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2"/>
      <c r="R37" s="243">
        <f>SUM(R27:R36)</f>
        <v>84135044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-44335548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-5767715</v>
      </c>
      <c r="L40" s="196">
        <f t="shared" si="12"/>
        <v>-2850184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6"/>
      <c r="R40" s="512">
        <f>SUM(E40:P40)</f>
        <v>-44335548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624552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119999</v>
      </c>
      <c r="L41" s="506">
        <f>'Input Tab'!J44</f>
        <v>193228</v>
      </c>
      <c r="M41" s="506">
        <f>'Input Tab'!K44</f>
        <v>0</v>
      </c>
      <c r="N41" s="506">
        <f>'Input Tab'!L44</f>
        <v>0</v>
      </c>
      <c r="O41" s="506">
        <f>'Input Tab'!M44</f>
        <v>0</v>
      </c>
      <c r="P41" s="506">
        <f>'Input Tab'!N44</f>
        <v>0</v>
      </c>
      <c r="Q41" s="516"/>
      <c r="R41" s="512">
        <f>SUM(E41:P41)</f>
        <v>624552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95201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11907</v>
      </c>
      <c r="L42" s="506">
        <f>'Input Tab'!J45</f>
        <v>12137</v>
      </c>
      <c r="M42" s="506">
        <f>'Input Tab'!K45</f>
        <v>0</v>
      </c>
      <c r="N42" s="506">
        <f>'Input Tab'!L45</f>
        <v>0</v>
      </c>
      <c r="O42" s="506">
        <f>'Input Tab'!M45</f>
        <v>0</v>
      </c>
      <c r="P42" s="506">
        <f>'Input Tab'!N45</f>
        <v>0</v>
      </c>
      <c r="Q42" s="516"/>
      <c r="R42" s="512">
        <f>SUM(E42:P42)</f>
        <v>95201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381929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48894</v>
      </c>
      <c r="L43" s="506">
        <f>'Input Tab'!J46</f>
        <v>43177</v>
      </c>
      <c r="M43" s="506">
        <f>'Input Tab'!K46</f>
        <v>0</v>
      </c>
      <c r="N43" s="506">
        <f>'Input Tab'!L46</f>
        <v>0</v>
      </c>
      <c r="O43" s="506">
        <f>'Input Tab'!M46</f>
        <v>0</v>
      </c>
      <c r="P43" s="506">
        <f>'Input Tab'!N46</f>
        <v>0</v>
      </c>
      <c r="Q43" s="516"/>
      <c r="R43" s="512">
        <f>SUM(E43:P43)</f>
        <v>381929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-10535888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-1203890</v>
      </c>
      <c r="L44" s="194">
        <f t="shared" si="13"/>
        <v>-1235695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6"/>
      <c r="R44" s="512">
        <f>SUM(E44:P44)</f>
        <v>-10535888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-53769754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-6790805</v>
      </c>
      <c r="L45" s="510">
        <f t="shared" si="14"/>
        <v>-3837337</v>
      </c>
      <c r="M45" s="510">
        <f>M55</f>
        <v>0</v>
      </c>
      <c r="N45" s="510">
        <f t="shared" si="14"/>
        <v>0</v>
      </c>
      <c r="O45" s="510">
        <f t="shared" si="14"/>
        <v>0</v>
      </c>
      <c r="P45" s="510">
        <f t="shared" si="14"/>
        <v>0</v>
      </c>
      <c r="Q45" s="518"/>
      <c r="R45" s="511">
        <f>SUM(R40:R44)</f>
        <v>-53769754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-35225726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-35225726</v>
      </c>
    </row>
    <row r="50" spans="1:18" ht="12.75" outlineLevel="2">
      <c r="A50" s="392"/>
      <c r="B50" s="77">
        <v>447100</v>
      </c>
      <c r="D50" s="512">
        <f t="shared" si="15"/>
        <v>-2246425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0"/>
      <c r="R50" s="502">
        <f t="shared" si="16"/>
        <v>-2246425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-4121598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0"/>
      <c r="R52" s="502">
        <f t="shared" si="16"/>
        <v>-4121598</v>
      </c>
    </row>
    <row r="53" spans="1:18" ht="12.75" outlineLevel="2">
      <c r="A53" s="392"/>
      <c r="B53" s="77">
        <v>447710</v>
      </c>
      <c r="D53" s="512">
        <f t="shared" si="15"/>
        <v>-1640117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0"/>
      <c r="R53" s="502">
        <f t="shared" si="16"/>
        <v>-1640117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-10535888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0"/>
      <c r="R54" s="521">
        <f t="shared" si="16"/>
        <v>-10535888</v>
      </c>
    </row>
    <row r="55" spans="1:18" s="217" customFormat="1" ht="12.75" outlineLevel="2">
      <c r="A55" s="498"/>
      <c r="D55" s="243">
        <f t="shared" si="15"/>
        <v>-53769754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-6790805</v>
      </c>
      <c r="L55" s="203">
        <f t="shared" si="17"/>
        <v>-3837337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2"/>
      <c r="R55" s="243">
        <f>SUM(R49:R54)</f>
        <v>-53769754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3347624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3"/>
      <c r="R58" s="248">
        <f>SUM(E58:P58)</f>
        <v>3347624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18530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3"/>
      <c r="R59" s="248">
        <f>SUM(E59:P59)</f>
        <v>18530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12633086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3"/>
      <c r="R60" s="524">
        <f>SUM(E60:P60)</f>
        <v>12633086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114218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3"/>
      <c r="R61" s="524">
        <f>SUM(E61:P61)</f>
        <v>114218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16113458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3058428</v>
      </c>
      <c r="L62" s="189">
        <f t="shared" si="18"/>
        <v>3762991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5"/>
      <c r="R62" s="511">
        <f>SUM(E62:P62)</f>
        <v>16113458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300711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55406</v>
      </c>
      <c r="L65" s="526">
        <f>'Input Tab'!J49</f>
        <v>48916</v>
      </c>
      <c r="M65" s="526">
        <f>'Input Tab'!K49</f>
        <v>0</v>
      </c>
      <c r="N65" s="526">
        <f>'Input Tab'!L49</f>
        <v>0</v>
      </c>
      <c r="O65" s="526">
        <f>'Input Tab'!M49</f>
        <v>0</v>
      </c>
      <c r="P65" s="526">
        <f>'Input Tab'!N49</f>
        <v>0</v>
      </c>
      <c r="Q65" s="519"/>
      <c r="R65" s="69">
        <f>SUM(E65:P65)</f>
        <v>300711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540017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96593</v>
      </c>
      <c r="L66" s="526">
        <f>'Input Tab'!J50</f>
        <v>98520</v>
      </c>
      <c r="M66" s="526">
        <f>'Input Tab'!K50</f>
        <v>0</v>
      </c>
      <c r="N66" s="526">
        <f>'Input Tab'!L50</f>
        <v>0</v>
      </c>
      <c r="O66" s="526">
        <f>'Input Tab'!M50</f>
        <v>0</v>
      </c>
      <c r="P66" s="526">
        <f>'Input Tab'!N50</f>
        <v>0</v>
      </c>
      <c r="Q66" s="519"/>
      <c r="R66" s="69">
        <f>SUM(E66:P66)</f>
        <v>540017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>
        <f>IF(K65=0," ",K58/K65)</f>
        <v>11.24</v>
      </c>
      <c r="L69" s="528">
        <f t="shared" si="19"/>
        <v>11.79</v>
      </c>
      <c r="M69" s="528" t="str">
        <f t="shared" si="19"/>
        <v> </v>
      </c>
      <c r="N69" s="528" t="str">
        <f t="shared" si="19"/>
        <v> </v>
      </c>
      <c r="O69" s="528" t="str">
        <f t="shared" si="19"/>
        <v> </v>
      </c>
      <c r="P69" s="528" t="str">
        <f t="shared" si="19"/>
        <v> </v>
      </c>
      <c r="Q69" s="529"/>
      <c r="R69" s="530">
        <f>R58/R65</f>
        <v>11.13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>
        <f t="shared" si="20"/>
        <v>24.9</v>
      </c>
      <c r="L70" s="528">
        <f t="shared" si="20"/>
        <v>32.13</v>
      </c>
      <c r="M70" s="528" t="str">
        <f t="shared" si="20"/>
        <v> </v>
      </c>
      <c r="N70" s="528" t="str">
        <f t="shared" si="20"/>
        <v> </v>
      </c>
      <c r="O70" s="528" t="str">
        <f t="shared" si="20"/>
        <v> </v>
      </c>
      <c r="P70" s="528" t="str">
        <f t="shared" si="20"/>
        <v> </v>
      </c>
      <c r="Q70" s="529"/>
      <c r="R70" s="530">
        <f>R60/R66</f>
        <v>23.39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4457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4457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540982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31"/>
      <c r="R74" s="532">
        <f t="shared" si="22"/>
        <v>540982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137941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31"/>
      <c r="R75" s="532">
        <f t="shared" si="22"/>
        <v>137941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21033789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31"/>
      <c r="R76" s="532">
        <f t="shared" si="22"/>
        <v>21033789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17157178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31"/>
      <c r="R77" s="532">
        <f>SUM(E77:P77)</f>
        <v>17157178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1909638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323775</v>
      </c>
      <c r="L78" s="202">
        <f>_XLL.GET_BALANCE(L$83,"PTD","USD","Total","A","","001","547310","ED","AN","DL")</f>
        <v>1107794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31"/>
      <c r="R78" s="533">
        <f t="shared" si="22"/>
        <v>1909638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40783985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8249668</v>
      </c>
      <c r="L79" s="189">
        <f t="shared" si="24"/>
        <v>9519606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4"/>
      <c r="R79" s="535">
        <f>SUM(R73:R78)</f>
        <v>40783985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87262733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12202258</v>
      </c>
      <c r="L81" s="189">
        <f t="shared" si="25"/>
        <v>16982609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8"/>
      <c r="R81" s="539">
        <f>R23-R45+R62+R79</f>
        <v>194718146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-9417758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-1190519</v>
      </c>
      <c r="L85" s="174">
        <f>_XLL.GET_BALANCE(L$83,"PTD","USD","Total","A","","001","456100","ED","AN","DL")</f>
        <v>-1212796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-9417758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-2128000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-266000</v>
      </c>
      <c r="L86" s="352">
        <f>_XLL.GET_BALANCE(L$83,"PTD","USD","Total","A","","001","456120","ED","AN","DL")</f>
        <v>-266000</v>
      </c>
      <c r="M86" s="352">
        <f>_XLL.GET_BALANCE(M$83,"PTD","USD","Total","A","","001","456120","ED","AN","DL")</f>
        <v>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31"/>
      <c r="R86" s="532">
        <f t="shared" si="27"/>
        <v>-2128000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-321664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-5638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2">
        <f t="shared" si="27"/>
        <v>-321664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-1640117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-206488</v>
      </c>
      <c r="L88" s="174">
        <f>_XLL.GET_BALANCE(L$83,"PTD","USD","Total","A","","001","456130","ED","AN","DL")</f>
        <v>-204218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31"/>
      <c r="R88" s="532">
        <f t="shared" si="27"/>
        <v>-1640117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-40160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-5020</v>
      </c>
      <c r="L89" s="249">
        <f>_XLL.GET_BALANCE(L$83,"PTD","USD","Total","A","","001","456017","ED","AN","DL")</f>
        <v>-5020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31"/>
      <c r="R89" s="532">
        <f t="shared" si="27"/>
        <v>-40160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-70248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-8781</v>
      </c>
      <c r="L90" s="174">
        <f>_XLL.GET_BALANCE(L$83,"PTD","USD","Total","A","","001","456700","ED","WA","DL")</f>
        <v>-8781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3"/>
      <c r="R90" s="532">
        <f t="shared" si="27"/>
        <v>-70248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-1108624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-138578</v>
      </c>
      <c r="L91" s="202">
        <f>_XLL.GET_BALANCE(L$83,"PTD","USD","Total","A","","001","456705","ED","AN","DL")</f>
        <v>-138578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31"/>
      <c r="R91" s="533">
        <f t="shared" si="27"/>
        <v>-1108624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-14726571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-1821024</v>
      </c>
      <c r="L92" s="241">
        <f t="shared" si="28"/>
        <v>-1835393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4"/>
      <c r="R92" s="535">
        <f t="shared" si="27"/>
        <v>-14726571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11614497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1429765</v>
      </c>
      <c r="L95" s="239">
        <f>_XLL.GET_BALANCE(L$83,"PTD","USD","Total","A","","001","565000","ED","AN","DL")</f>
        <v>1487322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31"/>
      <c r="R95" s="532">
        <f>SUM(E95:P95)</f>
        <v>11614497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36288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4536</v>
      </c>
      <c r="L97" s="202">
        <f>_XLL.GET_BALANCE(L$83,"PTD","USD","Total","A","","001","565710","ED","AN","DL")</f>
        <v>4536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31"/>
      <c r="R97" s="533">
        <f>SUM(E97:P97)</f>
        <v>36288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11650785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1434301</v>
      </c>
      <c r="L98" s="189">
        <f t="shared" si="29"/>
        <v>1491858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4"/>
      <c r="R98" s="535">
        <f>SUM(E98:P98)</f>
        <v>11650785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317995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36369</v>
      </c>
      <c r="L101" s="195">
        <f>_XLL.GET_BALANCE(L$83,"PTD","USD","Total","A","","001","557170","ED","AN","DL")</f>
        <v>42289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97336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7171</v>
      </c>
      <c r="L103" s="195">
        <f>_XLL.GET_BALANCE(L$83,"PTD","USD","Total","A","","001","557165","ED","AN","DL")</f>
        <v>3705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81682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3361</v>
      </c>
      <c r="L104" s="195">
        <f>_XLL.GET_BALANCE(L$83,"PTD","USD","Total","A","","001","557018","ED","AN","DL")</f>
        <v>18245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497388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46901</v>
      </c>
      <c r="L105" s="241">
        <f t="shared" si="30"/>
        <v>64239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11942523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2237102</v>
      </c>
      <c r="L108" s="192">
        <f>_XLL.GET_BALANCE(L$83,"PTD","USD","Total","A","","001","557010","ED","AN","DL")</f>
        <v>2455984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11942523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2426144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-2976389</v>
      </c>
      <c r="L109" s="192">
        <f>_XLL.GET_BALANCE(L$83,"PTD","USD","Total","A","","001","557150","ED","AN","DL")</f>
        <v>-1245477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31"/>
      <c r="R109" s="532">
        <f t="shared" si="31"/>
        <v>2426144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1534511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742450</v>
      </c>
      <c r="L110" s="192">
        <f>_XLL.GET_BALANCE(L$83,"PTD","USD","Total","A","","001","557700","ED","AN","DL")</f>
        <v>658115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31"/>
      <c r="R110" s="532">
        <f t="shared" si="31"/>
        <v>1534511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-1534511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-742450</v>
      </c>
      <c r="L111" s="192">
        <f>_XLL.GET_BALANCE(L$83,"PTD","USD","Total","A","","001","557711","ED","AN","DL")</f>
        <v>-658115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31"/>
      <c r="R111" s="532">
        <f>SUM(E111:P111)</f>
        <v>-1534511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30522851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5452335</v>
      </c>
      <c r="L112" s="192">
        <f>_XLL.GET_BALANCE(L$83,"PTD","USD","Total","A","","001","557730","ED","AN","DL")</f>
        <v>5589840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31"/>
      <c r="R112" s="532">
        <f t="shared" si="31"/>
        <v>30522851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-6422423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-1132181</v>
      </c>
      <c r="L113" s="192">
        <f>_XLL.GET_BALANCE(L$83,"PTD","USD","Total","A","","001","456010","ED","AN","DL")</f>
        <v>-831385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31"/>
      <c r="R113" s="532">
        <f t="shared" si="31"/>
        <v>-6422423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-21657070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-1999556</v>
      </c>
      <c r="L114" s="192">
        <f>_XLL.GET_BALANCE(L$83,"PTD","USD","Total","A","","001","456015","ED","AN","DL")</f>
        <v>-449955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31"/>
      <c r="R114" s="532">
        <f t="shared" si="31"/>
        <v>-21657070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-21441939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-2242160</v>
      </c>
      <c r="L115" s="192">
        <f>_XLL.GET_BALANCE(L$83,"PTD","USD","Total","A","","001","456730","ED","AN","DL")</f>
        <v>-5890144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31"/>
      <c r="R115" s="532">
        <f t="shared" si="31"/>
        <v>-21441939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655967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631238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31"/>
      <c r="R116" s="536">
        <f>SUM(E116:P116)</f>
        <v>655967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-655967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-631238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31"/>
      <c r="R117" s="533">
        <f t="shared" si="31"/>
        <v>-655967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-4629914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-660849</v>
      </c>
      <c r="L118" s="190">
        <f t="shared" si="34"/>
        <v>-371137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31"/>
      <c r="R118" s="545">
        <f>SUM(R108:R117)</f>
        <v>-4629914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472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247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31"/>
      <c r="R121" s="536">
        <f>SUM(E121:P121)</f>
        <v>472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472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531"/>
      <c r="R122" s="532">
        <f>SUM(E122:P122)</f>
        <v>472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352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86</v>
      </c>
      <c r="L126" s="202">
        <f>_XLL.GET_BALANCE(L$83,"PTD","USD","Total","A","","001","557395","ED","AN","DL")</f>
        <v>120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31"/>
      <c r="R126" s="533">
        <f>SUM(E126:P126)</f>
        <v>352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352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86</v>
      </c>
      <c r="L127" s="203">
        <f t="shared" si="36"/>
        <v>120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31"/>
      <c r="R127" s="532">
        <f>SUM(E127:P127)</f>
        <v>352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-4629090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>
        <f t="shared" si="38"/>
        <v>-660516</v>
      </c>
      <c r="L134" s="189">
        <f t="shared" si="38"/>
        <v>-371017</v>
      </c>
      <c r="M134" s="189" t="str">
        <f t="shared" si="38"/>
        <v> </v>
      </c>
      <c r="N134" s="189" t="str">
        <f t="shared" si="38"/>
        <v> </v>
      </c>
      <c r="O134" s="189" t="str">
        <f t="shared" si="38"/>
        <v> </v>
      </c>
      <c r="P134" s="189" t="str">
        <f t="shared" si="38"/>
        <v> </v>
      </c>
      <c r="Q134" s="531"/>
      <c r="R134" s="532">
        <f>SUM(F134:Q134)</f>
        <v>-4207688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80055245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>
        <f t="shared" si="39"/>
        <v>11201920</v>
      </c>
      <c r="L136" s="254">
        <f t="shared" si="39"/>
        <v>16332296</v>
      </c>
      <c r="M136" s="254" t="str">
        <f t="shared" si="39"/>
        <v> </v>
      </c>
      <c r="N136" s="254" t="str">
        <f t="shared" si="39"/>
        <v> </v>
      </c>
      <c r="O136" s="254" t="str">
        <f t="shared" si="39"/>
        <v> </v>
      </c>
      <c r="P136" s="254" t="str">
        <f t="shared" si="39"/>
        <v> 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14" ht="20.25">
      <c r="A2" s="575" t="s">
        <v>409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23.25">
      <c r="A3" s="576" t="s">
        <v>537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15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ht="15"/>
    <row r="6" ht="15"/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464714</v>
      </c>
      <c r="I8" s="468">
        <f>'Input Tab'!J53</f>
        <v>513953</v>
      </c>
      <c r="J8" s="468">
        <f>'Input Tab'!K53</f>
        <v>0</v>
      </c>
      <c r="K8" s="468">
        <f>'Input Tab'!L53</f>
        <v>0</v>
      </c>
      <c r="L8" s="468">
        <f>'Input Tab'!M53</f>
        <v>0</v>
      </c>
      <c r="M8" s="468">
        <f>'Input Tab'!N53</f>
        <v>0</v>
      </c>
      <c r="N8" s="341">
        <f aca="true" t="shared" si="1" ref="N8:N13">SUM(B8:M8)</f>
        <v>3954974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-192214</v>
      </c>
      <c r="I9" s="471">
        <f t="shared" si="2"/>
        <v>-231543</v>
      </c>
      <c r="J9" s="471">
        <f t="shared" si="2"/>
        <v>0</v>
      </c>
      <c r="K9" s="471">
        <f t="shared" si="2"/>
        <v>0</v>
      </c>
      <c r="L9" s="471">
        <f t="shared" si="2"/>
        <v>0</v>
      </c>
      <c r="M9" s="471">
        <f t="shared" si="2"/>
        <v>0</v>
      </c>
      <c r="N9" s="341">
        <f t="shared" si="1"/>
        <v>-1770239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231543</v>
      </c>
      <c r="I10" s="468">
        <f>'Input Tab'!J54</f>
        <v>235297</v>
      </c>
      <c r="J10" s="468">
        <f>'Input Tab'!K54</f>
        <v>0</v>
      </c>
      <c r="K10" s="468">
        <f>'Input Tab'!L54</f>
        <v>0</v>
      </c>
      <c r="L10" s="468">
        <f>'Input Tab'!M54</f>
        <v>0</v>
      </c>
      <c r="M10" s="468">
        <f>'Input Tab'!N54</f>
        <v>0</v>
      </c>
      <c r="N10" s="341">
        <f t="shared" si="1"/>
        <v>1721758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504043</v>
      </c>
      <c r="I11" s="474">
        <f t="shared" si="3"/>
        <v>517707</v>
      </c>
      <c r="J11" s="474">
        <f t="shared" si="3"/>
        <v>0</v>
      </c>
      <c r="K11" s="474">
        <f t="shared" si="3"/>
        <v>0</v>
      </c>
      <c r="L11" s="474">
        <f t="shared" si="3"/>
        <v>0</v>
      </c>
      <c r="M11" s="474">
        <f>SUM(M8:M10)</f>
        <v>0</v>
      </c>
      <c r="N11" s="475">
        <f t="shared" si="1"/>
        <v>3906493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SUM(B12:I12)</f>
        <v>3760270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>
        <f t="shared" si="4"/>
        <v>53019</v>
      </c>
      <c r="I13" s="342">
        <f t="shared" si="4"/>
        <v>48440</v>
      </c>
      <c r="J13" s="342" t="str">
        <f t="shared" si="4"/>
        <v> 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2">
        <f t="shared" si="1"/>
        <v>146223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830278</v>
      </c>
      <c r="I15" s="485">
        <f t="shared" si="5"/>
        <v>758570</v>
      </c>
      <c r="J15" s="485">
        <f t="shared" si="5"/>
        <v>0</v>
      </c>
      <c r="K15" s="485">
        <f t="shared" si="5"/>
        <v>0</v>
      </c>
      <c r="L15" s="485">
        <f t="shared" si="5"/>
        <v>0</v>
      </c>
      <c r="M15" s="485">
        <f t="shared" si="5"/>
        <v>0</v>
      </c>
      <c r="N15" s="485">
        <f>SUM(B15:M15)</f>
        <v>2289852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>
        <f t="shared" si="7"/>
        <v>-830278</v>
      </c>
      <c r="I19" s="491">
        <f t="shared" si="7"/>
        <v>-758570</v>
      </c>
      <c r="J19" s="491" t="str">
        <f t="shared" si="7"/>
        <v> </v>
      </c>
      <c r="K19" s="491" t="str">
        <f t="shared" si="7"/>
        <v> </v>
      </c>
      <c r="L19" s="491" t="str">
        <f t="shared" si="7"/>
        <v> </v>
      </c>
      <c r="M19" s="491" t="str">
        <f t="shared" si="7"/>
        <v> </v>
      </c>
      <c r="N19" s="491">
        <f>N15*-1</f>
        <v>-2289852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Rebate</v>
      </c>
      <c r="I20" s="493" t="str">
        <f t="shared" si="8"/>
        <v>Rebate</v>
      </c>
      <c r="J20" s="493" t="str">
        <f t="shared" si="8"/>
        <v>Surcharge</v>
      </c>
      <c r="K20" s="493" t="str">
        <f t="shared" si="8"/>
        <v>Surcharge</v>
      </c>
      <c r="L20" s="493" t="str">
        <f t="shared" si="8"/>
        <v>Surcharge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D21" sqref="D21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8" t="s">
        <v>227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5.75">
      <c r="A2" s="579" t="s">
        <v>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82900596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7684967</v>
      </c>
      <c r="L5" s="221">
        <f>'ID Monthly'!L23</f>
        <v>7537349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-53769754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-6790805</v>
      </c>
      <c r="L6" s="221">
        <f>'ID Monthly'!L45</f>
        <v>-3837337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16113458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3058428</v>
      </c>
      <c r="L7" s="221">
        <f>'ID Monthly'!L62</f>
        <v>3762991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40783985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8249668</v>
      </c>
      <c r="L8" s="221">
        <f>'ID Monthly'!L79</f>
        <v>9519606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-14690179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-1816475</v>
      </c>
      <c r="L9" s="221">
        <f>'ID Monthly'!L92</f>
        <v>-1830844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11650785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1434301</v>
      </c>
      <c r="L10" s="221">
        <f>'ID Monthly'!L98</f>
        <v>1491858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179018</v>
      </c>
      <c r="E11" s="440">
        <f>'ID Monthly'!E103</f>
        <v>2240</v>
      </c>
      <c r="F11" s="440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10532</v>
      </c>
      <c r="L11" s="221">
        <f>'ID Monthly'!L103</f>
        <v>21950</v>
      </c>
      <c r="M11" s="221">
        <f>'ID Monthly'!M103</f>
        <v>0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83167909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11830616</v>
      </c>
      <c r="L12" s="190">
        <f t="shared" si="3"/>
        <v>16665573</v>
      </c>
      <c r="M12" s="190">
        <f t="shared" si="3"/>
        <v>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August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SUM(E14:L14)</f>
        <v>58879546.99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-27757646.61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18176803.47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37642373.17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-11570019.43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11727842.28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-2278800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84820100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-1652190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>
        <f t="shared" si="8"/>
        <v>2826872</v>
      </c>
      <c r="L23" s="190">
        <f t="shared" si="8"/>
        <v>3686048</v>
      </c>
      <c r="M23" s="190" t="str">
        <f t="shared" si="8"/>
        <v> 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-8379896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>
        <f>'ID Monthly'!K127</f>
        <v>-963828</v>
      </c>
      <c r="L24" s="235">
        <f>'ID Monthly'!L127</f>
        <v>-371017</v>
      </c>
      <c r="M24" s="235" t="str">
        <f>'ID Monthly'!M127</f>
        <v> 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-10032086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>
        <f t="shared" si="9"/>
        <v>1863044</v>
      </c>
      <c r="L25" s="293">
        <f t="shared" si="9"/>
        <v>3315031</v>
      </c>
      <c r="M25" s="293" t="str">
        <f t="shared" si="9"/>
        <v> 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-3448028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>
        <f t="shared" si="11"/>
        <v>640328</v>
      </c>
      <c r="L27" s="222">
        <f t="shared" si="11"/>
        <v>1139376</v>
      </c>
      <c r="M27" s="222" t="str">
        <f t="shared" si="11"/>
        <v> 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80" t="s">
        <v>360</v>
      </c>
      <c r="C28" s="580"/>
      <c r="D28" s="218">
        <f t="shared" si="10"/>
        <v>-1012800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>
        <f>IF(K12=0," ",'ID LCA'!J19)</f>
        <v>-372048</v>
      </c>
      <c r="L28" s="351">
        <f>IF(L12=0," ",'ID LCA'!K19)</f>
        <v>113280</v>
      </c>
      <c r="M28" s="351" t="str">
        <f>IF(M12=0," ",'ID LCA'!L19)</f>
        <v> 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1" t="s">
        <v>266</v>
      </c>
      <c r="C29" s="581"/>
      <c r="D29" s="189">
        <f t="shared" si="10"/>
        <v>-4460828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>
        <f t="shared" si="12"/>
        <v>268280</v>
      </c>
      <c r="L29" s="190">
        <f t="shared" si="12"/>
        <v>1252656</v>
      </c>
      <c r="M29" s="190" t="str">
        <f t="shared" si="12"/>
        <v> 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-4014745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>
        <f t="shared" si="13"/>
        <v>241452</v>
      </c>
      <c r="L30" s="190">
        <f t="shared" si="13"/>
        <v>1127390</v>
      </c>
      <c r="M30" s="190" t="str">
        <f t="shared" si="13"/>
        <v> 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-4460828</v>
      </c>
    </row>
    <row r="31" spans="1:16" ht="31.5" customHeight="1">
      <c r="A31" s="1">
        <f t="shared" si="6"/>
        <v>26</v>
      </c>
      <c r="B31" s="581" t="s">
        <v>270</v>
      </c>
      <c r="C31" s="581"/>
      <c r="D31" s="189">
        <f t="shared" si="10"/>
        <v>-4014745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>
        <f t="shared" si="14"/>
        <v>241452</v>
      </c>
      <c r="L31" s="190">
        <f t="shared" si="14"/>
        <v>1127390</v>
      </c>
      <c r="M31" s="190" t="str">
        <f t="shared" si="14"/>
        <v> 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2" t="s">
        <v>268</v>
      </c>
      <c r="C32" s="582"/>
      <c r="D32" s="254">
        <f t="shared" si="10"/>
        <v>4014745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>
        <f t="shared" si="15"/>
        <v>-241452</v>
      </c>
      <c r="L32" s="254">
        <f t="shared" si="15"/>
        <v>-1127390</v>
      </c>
      <c r="M32" s="254" t="str">
        <f t="shared" si="15"/>
        <v> 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2017-09-07T20:42:52Z</cp:lastPrinted>
  <dcterms:created xsi:type="dcterms:W3CDTF">2002-02-05T19:51:48Z</dcterms:created>
  <dcterms:modified xsi:type="dcterms:W3CDTF">2017-09-15T21:00:48Z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August 2017 Power Cost Deferral Report and REC Report, Deferral Calculations </vt:lpwstr>
  </property>
  <property fmtid="{D5CDD505-2E9C-101B-9397-08002B2CF9AE}" pid="4" name="EFilingId">
    <vt:lpwstr>7820.00000000000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140188</vt:lpwstr>
  </property>
  <property fmtid="{D5CDD505-2E9C-101B-9397-08002B2CF9AE}" pid="12" name="Date1">
    <vt:lpwstr>2017-09-15T00:00:00Z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2014-02-04T00:00:00Z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  <property fmtid="{D5CDD505-2E9C-101B-9397-08002B2CF9AE}" pid="22" name="_docset_NoMedatataSyncRequired">
    <vt:lpwstr>False</vt:lpwstr>
  </property>
</Properties>
</file>