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17\2017_ WA Elec and Gas GRC\Direct Testimony &amp; Exhibits\Johnson\"/>
    </mc:Choice>
  </mc:AlternateContent>
  <bookViews>
    <workbookView xWindow="-15" yWindow="-15" windowWidth="9690" windowHeight="7290" tabRatio="1000" activeTab="3"/>
  </bookViews>
  <sheets>
    <sheet name="Index" sheetId="17" r:id="rId1"/>
    <sheet name="WGJ-2" sheetId="1" r:id="rId2"/>
    <sheet name="WGJ-4" sheetId="16" r:id="rId3"/>
    <sheet name="WGJ-5" sheetId="19" r:id="rId4"/>
    <sheet name="Aurora" sheetId="18" r:id="rId5"/>
  </sheets>
  <definedNames>
    <definedName name="_xlnm.Print_Area" localSheetId="0">Index!$A$23:$O$58</definedName>
    <definedName name="_xlnm.Print_Area" localSheetId="1">'WGJ-2'!$A$1:$F$104</definedName>
    <definedName name="_xlnm.Print_Area" localSheetId="2">'WGJ-4'!$A$1:$O$57</definedName>
    <definedName name="_xlnm.Print_Area" localSheetId="3">'WGJ-5'!$A$1:$N$45</definedName>
    <definedName name="_xlnm.Print_Titles" localSheetId="1">'WGJ-2'!$1:$7</definedName>
  </definedNames>
  <calcPr calcId="152511"/>
</workbook>
</file>

<file path=xl/calcChain.xml><?xml version="1.0" encoding="utf-8"?>
<calcChain xmlns="http://schemas.openxmlformats.org/spreadsheetml/2006/main">
  <c r="B38" i="19" l="1"/>
  <c r="B28" i="19"/>
  <c r="D28" i="19"/>
  <c r="E28" i="19"/>
  <c r="F28" i="19"/>
  <c r="G28" i="19"/>
  <c r="H28" i="19"/>
  <c r="I28" i="19"/>
  <c r="J28" i="19"/>
  <c r="K28" i="19"/>
  <c r="L28" i="19"/>
  <c r="M28" i="19"/>
  <c r="N28" i="19"/>
  <c r="C28" i="19"/>
  <c r="C29" i="17" l="1"/>
  <c r="C28" i="17"/>
  <c r="L51" i="1" l="1"/>
  <c r="M51" i="1"/>
  <c r="N51" i="1"/>
  <c r="O51" i="1"/>
  <c r="P51" i="1"/>
  <c r="Q51" i="1"/>
  <c r="R51" i="1"/>
  <c r="S51" i="1"/>
  <c r="T51" i="1"/>
  <c r="U51" i="1"/>
  <c r="V51" i="1"/>
  <c r="K51" i="1"/>
  <c r="L30" i="1"/>
  <c r="M30" i="1"/>
  <c r="N30" i="1"/>
  <c r="O30" i="1"/>
  <c r="P30" i="1"/>
  <c r="Q30" i="1"/>
  <c r="R30" i="1"/>
  <c r="S30" i="1"/>
  <c r="T30" i="1"/>
  <c r="U30" i="1"/>
  <c r="V30" i="1"/>
  <c r="K30" i="1"/>
  <c r="D16" i="17"/>
  <c r="D19" i="17"/>
  <c r="D20" i="17"/>
  <c r="I15" i="17" l="1"/>
  <c r="J15" i="17"/>
  <c r="K15" i="17"/>
  <c r="L15" i="17"/>
  <c r="M15" i="17"/>
  <c r="L49" i="1" l="1"/>
  <c r="M49" i="1"/>
  <c r="N49" i="1"/>
  <c r="O49" i="1"/>
  <c r="P49" i="1"/>
  <c r="Q49" i="1"/>
  <c r="R49" i="1"/>
  <c r="S49" i="1"/>
  <c r="T49" i="1"/>
  <c r="U49" i="1"/>
  <c r="V49" i="1"/>
  <c r="K49" i="1"/>
  <c r="L46" i="1" l="1"/>
  <c r="M46" i="1"/>
  <c r="N46" i="1"/>
  <c r="O46" i="1"/>
  <c r="P46" i="1"/>
  <c r="Q46" i="1"/>
  <c r="R46" i="1"/>
  <c r="S46" i="1"/>
  <c r="T46" i="1"/>
  <c r="U46" i="1"/>
  <c r="V46" i="1"/>
  <c r="K46" i="1"/>
  <c r="L48" i="1"/>
  <c r="M48" i="1"/>
  <c r="N48" i="1"/>
  <c r="O48" i="1"/>
  <c r="P48" i="1"/>
  <c r="Q48" i="1"/>
  <c r="R48" i="1"/>
  <c r="S48" i="1"/>
  <c r="T48" i="1"/>
  <c r="U48" i="1"/>
  <c r="V48" i="1"/>
  <c r="K48" i="1"/>
  <c r="A33" i="1" l="1"/>
  <c r="J87" i="1" l="1"/>
  <c r="L63" i="1"/>
  <c r="M63" i="1"/>
  <c r="N63" i="1"/>
  <c r="O63" i="1"/>
  <c r="P63" i="1"/>
  <c r="Q63" i="1"/>
  <c r="R63" i="1"/>
  <c r="S63" i="1"/>
  <c r="T63" i="1"/>
  <c r="U63" i="1"/>
  <c r="V63" i="1"/>
  <c r="K63" i="1"/>
  <c r="L50" i="1" l="1"/>
  <c r="M50" i="1"/>
  <c r="N50" i="1"/>
  <c r="O50" i="1"/>
  <c r="P50" i="1"/>
  <c r="Q50" i="1"/>
  <c r="R50" i="1"/>
  <c r="S50" i="1"/>
  <c r="T50" i="1"/>
  <c r="U50" i="1"/>
  <c r="V50" i="1"/>
  <c r="K50" i="1"/>
  <c r="E87" i="1" l="1"/>
  <c r="E19" i="17"/>
  <c r="F19" i="17"/>
  <c r="G19" i="17"/>
  <c r="H19" i="17"/>
  <c r="I19" i="17"/>
  <c r="J19" i="17"/>
  <c r="K19" i="17"/>
  <c r="L19" i="17"/>
  <c r="M19" i="17"/>
  <c r="N19" i="17"/>
  <c r="O19" i="17"/>
  <c r="E32" i="1" l="1"/>
  <c r="L98" i="1" l="1"/>
  <c r="M98" i="1"/>
  <c r="N98" i="1"/>
  <c r="O98" i="1"/>
  <c r="P98" i="1"/>
  <c r="Q98" i="1"/>
  <c r="R98" i="1"/>
  <c r="S98" i="1"/>
  <c r="T98" i="1"/>
  <c r="U98" i="1"/>
  <c r="V98" i="1"/>
  <c r="K98" i="1"/>
  <c r="L74" i="1"/>
  <c r="M74" i="1"/>
  <c r="N74" i="1"/>
  <c r="O74" i="1"/>
  <c r="P74" i="1"/>
  <c r="Q74" i="1"/>
  <c r="R74" i="1"/>
  <c r="S74" i="1"/>
  <c r="T74" i="1"/>
  <c r="U74" i="1"/>
  <c r="V74" i="1"/>
  <c r="K74" i="1"/>
  <c r="J74" i="1" l="1"/>
  <c r="J98" i="1"/>
  <c r="C19" i="17"/>
  <c r="E20" i="17"/>
  <c r="E21" i="17" s="1"/>
  <c r="L86" i="1" s="1"/>
  <c r="F20" i="17"/>
  <c r="F21" i="17" s="1"/>
  <c r="M86" i="1" s="1"/>
  <c r="G20" i="17"/>
  <c r="G21" i="17" s="1"/>
  <c r="N86" i="1" s="1"/>
  <c r="H20" i="17"/>
  <c r="H21" i="17" s="1"/>
  <c r="O86" i="1" s="1"/>
  <c r="I20" i="17"/>
  <c r="I21" i="17" s="1"/>
  <c r="P86" i="1" s="1"/>
  <c r="J20" i="17"/>
  <c r="J21" i="17" s="1"/>
  <c r="Q86" i="1" s="1"/>
  <c r="K20" i="17"/>
  <c r="K21" i="17" s="1"/>
  <c r="R86" i="1" s="1"/>
  <c r="L20" i="17"/>
  <c r="L21" i="17" s="1"/>
  <c r="S86" i="1" s="1"/>
  <c r="M20" i="17"/>
  <c r="M21" i="17" s="1"/>
  <c r="T86" i="1" s="1"/>
  <c r="N20" i="17"/>
  <c r="N21" i="17" s="1"/>
  <c r="U86" i="1" s="1"/>
  <c r="O20" i="17"/>
  <c r="O21" i="17" s="1"/>
  <c r="V86" i="1" s="1"/>
  <c r="D21" i="17"/>
  <c r="K86" i="1" s="1"/>
  <c r="C11" i="17"/>
  <c r="C21" i="17" l="1"/>
  <c r="F86" i="1" s="1"/>
  <c r="L35" i="1" l="1"/>
  <c r="M35" i="1"/>
  <c r="N35" i="1"/>
  <c r="O35" i="1"/>
  <c r="P35" i="1"/>
  <c r="Q35" i="1"/>
  <c r="R35" i="1"/>
  <c r="S35" i="1"/>
  <c r="T35" i="1"/>
  <c r="U35" i="1"/>
  <c r="V35" i="1"/>
  <c r="K35" i="1"/>
  <c r="J35" i="1" l="1"/>
  <c r="L68" i="1" l="1"/>
  <c r="M68" i="1"/>
  <c r="N68" i="1"/>
  <c r="O68" i="1"/>
  <c r="P68" i="1"/>
  <c r="Q68" i="1"/>
  <c r="R68" i="1"/>
  <c r="S68" i="1"/>
  <c r="T68" i="1"/>
  <c r="U68" i="1"/>
  <c r="V68" i="1"/>
  <c r="K68" i="1"/>
  <c r="L62" i="1" l="1"/>
  <c r="M62" i="1"/>
  <c r="N62" i="1"/>
  <c r="O62" i="1"/>
  <c r="P62" i="1"/>
  <c r="Q62" i="1"/>
  <c r="R62" i="1"/>
  <c r="S62" i="1"/>
  <c r="T62" i="1"/>
  <c r="U62" i="1"/>
  <c r="V62" i="1"/>
  <c r="K62" i="1"/>
  <c r="L39" i="1" l="1"/>
  <c r="M39" i="1"/>
  <c r="N39" i="1"/>
  <c r="O39" i="1"/>
  <c r="P39" i="1"/>
  <c r="Q39" i="1"/>
  <c r="R39" i="1"/>
  <c r="S39" i="1"/>
  <c r="T39" i="1"/>
  <c r="U39" i="1"/>
  <c r="V39" i="1"/>
  <c r="K39" i="1"/>
  <c r="J23" i="1"/>
  <c r="J24" i="1"/>
  <c r="J25" i="1"/>
  <c r="J26" i="1"/>
  <c r="E50" i="1" l="1"/>
  <c r="E26" i="17" l="1"/>
  <c r="F26" i="17"/>
  <c r="G26" i="17"/>
  <c r="H26" i="17"/>
  <c r="I26" i="17"/>
  <c r="J26" i="17"/>
  <c r="K26" i="17"/>
  <c r="L26" i="17"/>
  <c r="M26" i="17"/>
  <c r="N26" i="17"/>
  <c r="O26" i="17"/>
  <c r="D26" i="17"/>
  <c r="C10" i="17"/>
  <c r="E16" i="17" l="1"/>
  <c r="F16" i="17"/>
  <c r="G16" i="17"/>
  <c r="M16" i="17"/>
  <c r="N16" i="17"/>
  <c r="E33" i="17" l="1"/>
  <c r="E56" i="17" s="1"/>
  <c r="F33" i="17"/>
  <c r="F56" i="17" s="1"/>
  <c r="G33" i="17"/>
  <c r="G56" i="17" s="1"/>
  <c r="H33" i="17"/>
  <c r="H56" i="17" s="1"/>
  <c r="I33" i="17"/>
  <c r="I56" i="17" s="1"/>
  <c r="J33" i="17"/>
  <c r="J56" i="17" s="1"/>
  <c r="K33" i="17"/>
  <c r="K56" i="17" s="1"/>
  <c r="L33" i="17"/>
  <c r="L56" i="17" s="1"/>
  <c r="M33" i="17"/>
  <c r="M56" i="17" s="1"/>
  <c r="N33" i="17"/>
  <c r="N56" i="17" s="1"/>
  <c r="O33" i="17"/>
  <c r="O56" i="17" s="1"/>
  <c r="D33" i="17"/>
  <c r="D56" i="17" s="1"/>
  <c r="E93" i="1" l="1"/>
  <c r="E31" i="1"/>
  <c r="E33" i="1"/>
  <c r="E26" i="1" l="1"/>
  <c r="E23" i="1" l="1"/>
  <c r="E24" i="17" l="1"/>
  <c r="F24" i="17"/>
  <c r="G24" i="17"/>
  <c r="H24" i="17"/>
  <c r="I24" i="17"/>
  <c r="J24" i="17"/>
  <c r="K24" i="17"/>
  <c r="L24" i="17"/>
  <c r="M24" i="17"/>
  <c r="N24" i="17"/>
  <c r="O24" i="17"/>
  <c r="D24" i="17"/>
  <c r="D34" i="19"/>
  <c r="E34" i="19"/>
  <c r="F34" i="19"/>
  <c r="G34" i="19"/>
  <c r="H34" i="19"/>
  <c r="I34" i="19"/>
  <c r="J34" i="19"/>
  <c r="K34" i="19"/>
  <c r="L34" i="19"/>
  <c r="M34" i="19"/>
  <c r="N34" i="19"/>
  <c r="C34" i="19"/>
  <c r="L92" i="1" l="1"/>
  <c r="M92" i="1"/>
  <c r="N92" i="1"/>
  <c r="O92" i="1"/>
  <c r="P92" i="1"/>
  <c r="Q92" i="1"/>
  <c r="R92" i="1"/>
  <c r="S92" i="1"/>
  <c r="T92" i="1"/>
  <c r="U92" i="1"/>
  <c r="V92" i="1"/>
  <c r="K92" i="1"/>
  <c r="D24" i="19" l="1"/>
  <c r="E24" i="19"/>
  <c r="F24" i="19"/>
  <c r="G24" i="19"/>
  <c r="H24" i="19"/>
  <c r="I24" i="19"/>
  <c r="J24" i="19"/>
  <c r="K24" i="19"/>
  <c r="L24" i="19"/>
  <c r="M24" i="19"/>
  <c r="N24" i="19"/>
  <c r="C24" i="19"/>
  <c r="J12" i="1" l="1"/>
  <c r="V19" i="1"/>
  <c r="U19" i="1"/>
  <c r="T19" i="1"/>
  <c r="S19" i="1"/>
  <c r="R19" i="1"/>
  <c r="Q19" i="1"/>
  <c r="P19" i="1"/>
  <c r="O19" i="1"/>
  <c r="N19" i="1"/>
  <c r="M19" i="1"/>
  <c r="L19" i="1"/>
  <c r="K19" i="1"/>
  <c r="E51" i="1" l="1"/>
  <c r="E12" i="1"/>
  <c r="J49" i="1" l="1"/>
  <c r="E49" i="1"/>
  <c r="B24" i="19"/>
  <c r="J81" i="1"/>
  <c r="E81" i="1"/>
  <c r="A9" i="1"/>
  <c r="A10" i="1" s="1"/>
  <c r="A11" i="1" s="1"/>
  <c r="A12" i="1" s="1"/>
  <c r="D33" i="16"/>
  <c r="K17" i="1" s="1"/>
  <c r="E33" i="16"/>
  <c r="L17" i="1" s="1"/>
  <c r="F33" i="16"/>
  <c r="M17" i="1" s="1"/>
  <c r="G33" i="16"/>
  <c r="N17" i="1" s="1"/>
  <c r="H33" i="16"/>
  <c r="O17" i="1" s="1"/>
  <c r="I33" i="16"/>
  <c r="P17" i="1" s="1"/>
  <c r="J33" i="16"/>
  <c r="Q17" i="1" s="1"/>
  <c r="K33" i="16"/>
  <c r="R17" i="1" s="1"/>
  <c r="L33" i="16"/>
  <c r="S17" i="1" s="1"/>
  <c r="M33" i="16"/>
  <c r="T17" i="1" s="1"/>
  <c r="N33" i="16"/>
  <c r="U17" i="1" s="1"/>
  <c r="O33" i="16"/>
  <c r="V17" i="1" s="1"/>
  <c r="D89" i="1"/>
  <c r="E36" i="17"/>
  <c r="D6" i="17"/>
  <c r="K83" i="1" s="1"/>
  <c r="H6" i="17"/>
  <c r="H15" i="17" s="1"/>
  <c r="I6" i="17"/>
  <c r="I16" i="17" s="1"/>
  <c r="P83" i="1" s="1"/>
  <c r="J6" i="17"/>
  <c r="K6" i="17"/>
  <c r="K16" i="17" s="1"/>
  <c r="R83" i="1" s="1"/>
  <c r="L6" i="17"/>
  <c r="O6" i="17"/>
  <c r="O16" i="17" s="1"/>
  <c r="V83" i="1" s="1"/>
  <c r="E48" i="17"/>
  <c r="F36" i="17"/>
  <c r="G36" i="17"/>
  <c r="H36" i="17"/>
  <c r="I36" i="17"/>
  <c r="J36" i="17"/>
  <c r="K36" i="17"/>
  <c r="L36" i="17"/>
  <c r="M36" i="17"/>
  <c r="N36" i="17"/>
  <c r="O36" i="17"/>
  <c r="D36" i="17"/>
  <c r="L71" i="1"/>
  <c r="D20" i="19" s="1"/>
  <c r="M71" i="1"/>
  <c r="E20" i="19" s="1"/>
  <c r="N71" i="1"/>
  <c r="F20" i="19" s="1"/>
  <c r="O71" i="1"/>
  <c r="G20" i="19" s="1"/>
  <c r="P71" i="1"/>
  <c r="H20" i="19" s="1"/>
  <c r="Q71" i="1"/>
  <c r="I20" i="19" s="1"/>
  <c r="R71" i="1"/>
  <c r="J20" i="19" s="1"/>
  <c r="S71" i="1"/>
  <c r="K20" i="19" s="1"/>
  <c r="T71" i="1"/>
  <c r="L20" i="19" s="1"/>
  <c r="U71" i="1"/>
  <c r="M20" i="19" s="1"/>
  <c r="V71" i="1"/>
  <c r="N20" i="19" s="1"/>
  <c r="K71" i="1"/>
  <c r="C20" i="19" s="1"/>
  <c r="B22" i="19"/>
  <c r="J88" i="1"/>
  <c r="J80" i="1"/>
  <c r="J16" i="1"/>
  <c r="J18" i="1"/>
  <c r="J11" i="1"/>
  <c r="E35" i="16"/>
  <c r="L47" i="1" s="1"/>
  <c r="F35" i="16"/>
  <c r="M47" i="1" s="1"/>
  <c r="G35" i="16"/>
  <c r="N47" i="1" s="1"/>
  <c r="H35" i="16"/>
  <c r="O47" i="1" s="1"/>
  <c r="I35" i="16"/>
  <c r="P47" i="1" s="1"/>
  <c r="J35" i="16"/>
  <c r="Q47" i="1" s="1"/>
  <c r="K35" i="16"/>
  <c r="R47" i="1" s="1"/>
  <c r="L35" i="16"/>
  <c r="S47" i="1" s="1"/>
  <c r="M35" i="16"/>
  <c r="T47" i="1" s="1"/>
  <c r="N35" i="16"/>
  <c r="U47" i="1" s="1"/>
  <c r="O35" i="16"/>
  <c r="V47" i="1" s="1"/>
  <c r="D35" i="16"/>
  <c r="K47" i="1" s="1"/>
  <c r="J48" i="1"/>
  <c r="E11" i="1"/>
  <c r="D23" i="16"/>
  <c r="K40" i="1" s="1"/>
  <c r="D27" i="16"/>
  <c r="K38" i="1" s="1"/>
  <c r="D31" i="16"/>
  <c r="K45" i="1" s="1"/>
  <c r="D39" i="16"/>
  <c r="K54" i="1" s="1"/>
  <c r="D43" i="16"/>
  <c r="K55" i="1" s="1"/>
  <c r="D47" i="16"/>
  <c r="K52" i="1" s="1"/>
  <c r="D51" i="16"/>
  <c r="K53" i="1" s="1"/>
  <c r="E23" i="16"/>
  <c r="L40" i="1" s="1"/>
  <c r="E27" i="16"/>
  <c r="L38" i="1" s="1"/>
  <c r="E31" i="16"/>
  <c r="L45" i="1" s="1"/>
  <c r="E39" i="16"/>
  <c r="E43" i="16"/>
  <c r="L55" i="1" s="1"/>
  <c r="E47" i="16"/>
  <c r="L52" i="1" s="1"/>
  <c r="E51" i="16"/>
  <c r="L53" i="1" s="1"/>
  <c r="F23" i="16"/>
  <c r="M40" i="1" s="1"/>
  <c r="F27" i="16"/>
  <c r="M38" i="1" s="1"/>
  <c r="F31" i="16"/>
  <c r="M45" i="1" s="1"/>
  <c r="F39" i="16"/>
  <c r="M54" i="1" s="1"/>
  <c r="F43" i="16"/>
  <c r="M55" i="1" s="1"/>
  <c r="F47" i="16"/>
  <c r="M52" i="1" s="1"/>
  <c r="F51" i="16"/>
  <c r="M53" i="1" s="1"/>
  <c r="G23" i="16"/>
  <c r="N40" i="1" s="1"/>
  <c r="G27" i="16"/>
  <c r="N38" i="1" s="1"/>
  <c r="G31" i="16"/>
  <c r="N45" i="1" s="1"/>
  <c r="G39" i="16"/>
  <c r="N54" i="1" s="1"/>
  <c r="G43" i="16"/>
  <c r="G47" i="16"/>
  <c r="N52" i="1" s="1"/>
  <c r="G51" i="16"/>
  <c r="N53" i="1" s="1"/>
  <c r="H23" i="16"/>
  <c r="O40" i="1" s="1"/>
  <c r="H27" i="16"/>
  <c r="O38" i="1" s="1"/>
  <c r="H31" i="16"/>
  <c r="O45" i="1" s="1"/>
  <c r="H39" i="16"/>
  <c r="O54" i="1" s="1"/>
  <c r="H43" i="16"/>
  <c r="O55" i="1" s="1"/>
  <c r="H47" i="16"/>
  <c r="O52" i="1" s="1"/>
  <c r="H51" i="16"/>
  <c r="O53" i="1" s="1"/>
  <c r="I23" i="16"/>
  <c r="P40" i="1" s="1"/>
  <c r="I27" i="16"/>
  <c r="P38" i="1" s="1"/>
  <c r="I31" i="16"/>
  <c r="P45" i="1" s="1"/>
  <c r="I39" i="16"/>
  <c r="P54" i="1" s="1"/>
  <c r="I43" i="16"/>
  <c r="I47" i="16"/>
  <c r="P52" i="1" s="1"/>
  <c r="I51" i="16"/>
  <c r="P53" i="1" s="1"/>
  <c r="J23" i="16"/>
  <c r="Q40" i="1" s="1"/>
  <c r="J27" i="16"/>
  <c r="Q38" i="1" s="1"/>
  <c r="J31" i="16"/>
  <c r="Q45" i="1" s="1"/>
  <c r="J39" i="16"/>
  <c r="Q54" i="1" s="1"/>
  <c r="J43" i="16"/>
  <c r="Q55" i="1" s="1"/>
  <c r="J47" i="16"/>
  <c r="Q52" i="1" s="1"/>
  <c r="J51" i="16"/>
  <c r="Q53" i="1" s="1"/>
  <c r="L23" i="16"/>
  <c r="S40" i="1" s="1"/>
  <c r="L27" i="16"/>
  <c r="S38" i="1" s="1"/>
  <c r="L31" i="16"/>
  <c r="S45" i="1" s="1"/>
  <c r="L39" i="16"/>
  <c r="L43" i="16"/>
  <c r="L47" i="16"/>
  <c r="S52" i="1" s="1"/>
  <c r="L51" i="16"/>
  <c r="M23" i="16"/>
  <c r="T40" i="1" s="1"/>
  <c r="M27" i="16"/>
  <c r="T38" i="1" s="1"/>
  <c r="M31" i="16"/>
  <c r="T45" i="1" s="1"/>
  <c r="M39" i="16"/>
  <c r="T54" i="1" s="1"/>
  <c r="M43" i="16"/>
  <c r="T55" i="1" s="1"/>
  <c r="M47" i="16"/>
  <c r="T52" i="1" s="1"/>
  <c r="M51" i="16"/>
  <c r="T53" i="1" s="1"/>
  <c r="N23" i="16"/>
  <c r="U40" i="1" s="1"/>
  <c r="N27" i="16"/>
  <c r="N31" i="16"/>
  <c r="U45" i="1" s="1"/>
  <c r="N39" i="16"/>
  <c r="U54" i="1" s="1"/>
  <c r="N43" i="16"/>
  <c r="N47" i="16"/>
  <c r="U52" i="1" s="1"/>
  <c r="N51" i="16"/>
  <c r="U53" i="1" s="1"/>
  <c r="O23" i="16"/>
  <c r="O27" i="16"/>
  <c r="V38" i="1" s="1"/>
  <c r="O31" i="16"/>
  <c r="V45" i="1" s="1"/>
  <c r="O39" i="16"/>
  <c r="V54" i="1" s="1"/>
  <c r="O43" i="16"/>
  <c r="V55" i="1" s="1"/>
  <c r="O47" i="16"/>
  <c r="V52" i="1" s="1"/>
  <c r="O51" i="16"/>
  <c r="V53" i="1" s="1"/>
  <c r="K23" i="16"/>
  <c r="R40" i="1" s="1"/>
  <c r="K27" i="16"/>
  <c r="R38" i="1" s="1"/>
  <c r="K31" i="16"/>
  <c r="R45" i="1" s="1"/>
  <c r="K39" i="16"/>
  <c r="R54" i="1" s="1"/>
  <c r="K43" i="16"/>
  <c r="R55" i="1" s="1"/>
  <c r="K47" i="16"/>
  <c r="R52" i="1" s="1"/>
  <c r="K51" i="16"/>
  <c r="E16" i="1"/>
  <c r="E48" i="1"/>
  <c r="K34" i="16"/>
  <c r="E44" i="17"/>
  <c r="F44" i="17"/>
  <c r="G44" i="17"/>
  <c r="H44" i="17"/>
  <c r="I44" i="17"/>
  <c r="J44" i="17"/>
  <c r="K44" i="17"/>
  <c r="L44" i="17"/>
  <c r="M44" i="17"/>
  <c r="N44" i="17"/>
  <c r="O44" i="17"/>
  <c r="D44" i="17"/>
  <c r="B36" i="19"/>
  <c r="D21" i="16"/>
  <c r="E21" i="16"/>
  <c r="E22" i="16" s="1"/>
  <c r="F21" i="16"/>
  <c r="G21" i="16"/>
  <c r="H21" i="16"/>
  <c r="I21" i="16"/>
  <c r="I22" i="16" s="1"/>
  <c r="J21" i="16"/>
  <c r="K21" i="16"/>
  <c r="K22" i="16" s="1"/>
  <c r="L21" i="16"/>
  <c r="M21" i="16"/>
  <c r="N21" i="16"/>
  <c r="O21" i="16"/>
  <c r="E80" i="1"/>
  <c r="E10" i="1"/>
  <c r="E88" i="1"/>
  <c r="D13" i="16"/>
  <c r="K9" i="1" s="1"/>
  <c r="K41" i="1"/>
  <c r="D9" i="16"/>
  <c r="K79" i="1" s="1"/>
  <c r="K84" i="1"/>
  <c r="K85" i="1"/>
  <c r="E13" i="16"/>
  <c r="L9" i="1" s="1"/>
  <c r="L41" i="1"/>
  <c r="L54" i="1"/>
  <c r="E9" i="16"/>
  <c r="L79" i="1" s="1"/>
  <c r="L83" i="1"/>
  <c r="L84" i="1"/>
  <c r="L85" i="1"/>
  <c r="F13" i="16"/>
  <c r="M9" i="1" s="1"/>
  <c r="M41" i="1"/>
  <c r="F9" i="16"/>
  <c r="M79" i="1" s="1"/>
  <c r="M83" i="1"/>
  <c r="M84" i="1"/>
  <c r="M85" i="1"/>
  <c r="G13" i="16"/>
  <c r="N9" i="1" s="1"/>
  <c r="N41" i="1"/>
  <c r="N55" i="1"/>
  <c r="G9" i="16"/>
  <c r="N79" i="1" s="1"/>
  <c r="N83" i="1"/>
  <c r="N84" i="1"/>
  <c r="N85" i="1"/>
  <c r="H13" i="16"/>
  <c r="O9" i="1" s="1"/>
  <c r="O41" i="1"/>
  <c r="H9" i="16"/>
  <c r="O79" i="1" s="1"/>
  <c r="O84" i="1"/>
  <c r="O85" i="1"/>
  <c r="I13" i="16"/>
  <c r="P9" i="1" s="1"/>
  <c r="P41" i="1"/>
  <c r="P55" i="1"/>
  <c r="I9" i="16"/>
  <c r="P79" i="1" s="1"/>
  <c r="P84" i="1"/>
  <c r="P85" i="1"/>
  <c r="J13" i="16"/>
  <c r="Q9" i="1" s="1"/>
  <c r="Q41" i="1"/>
  <c r="J9" i="16"/>
  <c r="Q79" i="1" s="1"/>
  <c r="Q84" i="1"/>
  <c r="Q85" i="1"/>
  <c r="K13" i="16"/>
  <c r="R9" i="1" s="1"/>
  <c r="R41" i="1"/>
  <c r="R53" i="1"/>
  <c r="K9" i="16"/>
  <c r="R79" i="1" s="1"/>
  <c r="R84" i="1"/>
  <c r="R85" i="1"/>
  <c r="L13" i="16"/>
  <c r="S9" i="1" s="1"/>
  <c r="S41" i="1"/>
  <c r="S53" i="1"/>
  <c r="S54" i="1"/>
  <c r="S55" i="1"/>
  <c r="L9" i="16"/>
  <c r="S79" i="1" s="1"/>
  <c r="S84" i="1"/>
  <c r="S85" i="1"/>
  <c r="M13" i="16"/>
  <c r="T9" i="1" s="1"/>
  <c r="T41" i="1"/>
  <c r="M9" i="16"/>
  <c r="T79" i="1" s="1"/>
  <c r="T83" i="1"/>
  <c r="T84" i="1"/>
  <c r="T85" i="1"/>
  <c r="N13" i="16"/>
  <c r="U9" i="1" s="1"/>
  <c r="U38" i="1"/>
  <c r="U41" i="1"/>
  <c r="U55" i="1"/>
  <c r="N9" i="16"/>
  <c r="U79" i="1" s="1"/>
  <c r="U83" i="1"/>
  <c r="U84" i="1"/>
  <c r="U85" i="1"/>
  <c r="O13" i="16"/>
  <c r="V9" i="1" s="1"/>
  <c r="V41" i="1"/>
  <c r="O9" i="16"/>
  <c r="V79" i="1" s="1"/>
  <c r="V84" i="1"/>
  <c r="V85" i="1"/>
  <c r="F35" i="1"/>
  <c r="F71" i="1"/>
  <c r="F95" i="1"/>
  <c r="D27" i="1"/>
  <c r="D35" i="1"/>
  <c r="D42" i="1"/>
  <c r="D56" i="1"/>
  <c r="D71" i="1"/>
  <c r="D95" i="1"/>
  <c r="J34" i="1"/>
  <c r="J30" i="1"/>
  <c r="E25" i="1"/>
  <c r="E92" i="1"/>
  <c r="J63" i="1"/>
  <c r="J64" i="1"/>
  <c r="J65" i="1"/>
  <c r="J66" i="1"/>
  <c r="J67" i="1"/>
  <c r="J68" i="1"/>
  <c r="J69" i="1"/>
  <c r="J70" i="1"/>
  <c r="J62" i="1"/>
  <c r="J86" i="1"/>
  <c r="E86" i="1"/>
  <c r="J15" i="1"/>
  <c r="E68" i="1"/>
  <c r="E15" i="1"/>
  <c r="J13" i="1"/>
  <c r="J19" i="1"/>
  <c r="J20" i="1"/>
  <c r="J21" i="1"/>
  <c r="J39" i="1"/>
  <c r="E46" i="1"/>
  <c r="E66" i="1"/>
  <c r="E67" i="1"/>
  <c r="E62" i="1"/>
  <c r="E63" i="1"/>
  <c r="E64" i="1"/>
  <c r="E65" i="1"/>
  <c r="E69" i="1"/>
  <c r="E70" i="1"/>
  <c r="E24" i="1"/>
  <c r="E21" i="1"/>
  <c r="E41" i="1"/>
  <c r="E13" i="1"/>
  <c r="E18" i="1"/>
  <c r="E19" i="1"/>
  <c r="E20" i="1"/>
  <c r="E22" i="1"/>
  <c r="E34" i="1"/>
  <c r="E74" i="1"/>
  <c r="E82" i="1"/>
  <c r="E84" i="1"/>
  <c r="E85" i="1"/>
  <c r="E94" i="1"/>
  <c r="E98" i="1"/>
  <c r="E39" i="1"/>
  <c r="E30" i="1"/>
  <c r="N32" i="18"/>
  <c r="N33" i="18"/>
  <c r="N6" i="18"/>
  <c r="N7" i="18"/>
  <c r="O7" i="18" s="1"/>
  <c r="N8" i="18"/>
  <c r="O8" i="18" s="1"/>
  <c r="N9" i="18"/>
  <c r="O9" i="18" s="1"/>
  <c r="N11" i="18"/>
  <c r="O11" i="18" s="1"/>
  <c r="N12" i="18"/>
  <c r="O12" i="18" s="1"/>
  <c r="N5" i="18"/>
  <c r="O5" i="18" s="1"/>
  <c r="N29" i="18"/>
  <c r="N28" i="18"/>
  <c r="N18" i="18"/>
  <c r="N19" i="18"/>
  <c r="O19" i="18" s="1"/>
  <c r="N20" i="18"/>
  <c r="O20" i="18" s="1"/>
  <c r="N21" i="18"/>
  <c r="O21" i="18" s="1"/>
  <c r="N23" i="18"/>
  <c r="N24" i="18"/>
  <c r="N17" i="18"/>
  <c r="P7" i="18"/>
  <c r="N30" i="18"/>
  <c r="O30" i="18" s="1"/>
  <c r="N15" i="18"/>
  <c r="O6" i="18"/>
  <c r="E29" i="16"/>
  <c r="F29" i="16"/>
  <c r="G29" i="16"/>
  <c r="H29" i="16"/>
  <c r="I29" i="16"/>
  <c r="J29" i="16"/>
  <c r="K29" i="16"/>
  <c r="L29" i="16"/>
  <c r="L30" i="16" s="1"/>
  <c r="M29" i="16"/>
  <c r="N29" i="16"/>
  <c r="N30" i="16" s="1"/>
  <c r="O29" i="16"/>
  <c r="D29" i="16"/>
  <c r="E10" i="16"/>
  <c r="E11" i="16" s="1"/>
  <c r="F10" i="16"/>
  <c r="G10" i="16"/>
  <c r="G11" i="16" s="1"/>
  <c r="H10" i="16"/>
  <c r="I10" i="16"/>
  <c r="I11" i="16" s="1"/>
  <c r="J10" i="16"/>
  <c r="K10" i="16"/>
  <c r="L10" i="16"/>
  <c r="L11" i="16" s="1"/>
  <c r="M10" i="16"/>
  <c r="M11" i="16" s="1"/>
  <c r="N10" i="16"/>
  <c r="O10" i="16"/>
  <c r="E14" i="16"/>
  <c r="E16" i="16" s="1"/>
  <c r="F14" i="16"/>
  <c r="G14" i="16"/>
  <c r="G16" i="16" s="1"/>
  <c r="H14" i="16"/>
  <c r="I14" i="16"/>
  <c r="I15" i="16" s="1"/>
  <c r="J14" i="16"/>
  <c r="K14" i="16"/>
  <c r="K16" i="16" s="1"/>
  <c r="L14" i="16"/>
  <c r="M14" i="16"/>
  <c r="M16" i="16" s="1"/>
  <c r="N14" i="16"/>
  <c r="O14" i="16"/>
  <c r="O15" i="16" s="1"/>
  <c r="D14" i="16"/>
  <c r="D10" i="16"/>
  <c r="D12" i="16" s="1"/>
  <c r="D37" i="16"/>
  <c r="E37" i="16"/>
  <c r="E38" i="16" s="1"/>
  <c r="F37" i="16"/>
  <c r="G37" i="16"/>
  <c r="G38" i="16" s="1"/>
  <c r="H37" i="16"/>
  <c r="I37" i="16"/>
  <c r="I38" i="16" s="1"/>
  <c r="J37" i="16"/>
  <c r="K37" i="16"/>
  <c r="K38" i="16" s="1"/>
  <c r="L37" i="16"/>
  <c r="M37" i="16"/>
  <c r="M38" i="16" s="1"/>
  <c r="N37" i="16"/>
  <c r="O37" i="16"/>
  <c r="O38" i="16" s="1"/>
  <c r="D41" i="16"/>
  <c r="E41" i="16"/>
  <c r="E42" i="16" s="1"/>
  <c r="F41" i="16"/>
  <c r="G41" i="16"/>
  <c r="G42" i="16" s="1"/>
  <c r="H41" i="16"/>
  <c r="I41" i="16"/>
  <c r="I42" i="16" s="1"/>
  <c r="J41" i="16"/>
  <c r="K41" i="16"/>
  <c r="K42" i="16" s="1"/>
  <c r="L41" i="16"/>
  <c r="M41" i="16"/>
  <c r="M42" i="16" s="1"/>
  <c r="N41" i="16"/>
  <c r="O41" i="16"/>
  <c r="O42" i="16" s="1"/>
  <c r="D45" i="16"/>
  <c r="E45" i="16"/>
  <c r="F45" i="16"/>
  <c r="G45" i="16"/>
  <c r="H45" i="16"/>
  <c r="I45" i="16"/>
  <c r="J45" i="16"/>
  <c r="K45" i="16"/>
  <c r="L45" i="16"/>
  <c r="M45" i="16"/>
  <c r="N45" i="16"/>
  <c r="O45" i="16"/>
  <c r="D49" i="16"/>
  <c r="E49" i="16"/>
  <c r="E50" i="16" s="1"/>
  <c r="F49" i="16"/>
  <c r="F50" i="16" s="1"/>
  <c r="G49" i="16"/>
  <c r="G50" i="16" s="1"/>
  <c r="H49" i="16"/>
  <c r="I49" i="16"/>
  <c r="I50" i="16" s="1"/>
  <c r="J49" i="16"/>
  <c r="K49" i="16"/>
  <c r="K50" i="16" s="1"/>
  <c r="L49" i="16"/>
  <c r="M49" i="16"/>
  <c r="M50" i="16" s="1"/>
  <c r="N49" i="16"/>
  <c r="O49" i="16"/>
  <c r="O50" i="16" s="1"/>
  <c r="D25" i="16"/>
  <c r="E25" i="16"/>
  <c r="F25" i="16"/>
  <c r="G25" i="16"/>
  <c r="H25" i="16"/>
  <c r="I25" i="16"/>
  <c r="J25" i="16"/>
  <c r="K25" i="16"/>
  <c r="L25" i="16"/>
  <c r="M25" i="16"/>
  <c r="M26" i="16" s="1"/>
  <c r="N25" i="16"/>
  <c r="O25" i="16"/>
  <c r="O26" i="16" s="1"/>
  <c r="J46" i="16"/>
  <c r="F42" i="16"/>
  <c r="J38" i="16"/>
  <c r="G30" i="16"/>
  <c r="K30" i="16"/>
  <c r="J26" i="16"/>
  <c r="G19" i="16"/>
  <c r="O16" i="16"/>
  <c r="H17" i="16"/>
  <c r="H18" i="16" s="1"/>
  <c r="C9" i="17"/>
  <c r="J10" i="1"/>
  <c r="N42" i="16" l="1"/>
  <c r="D26" i="16"/>
  <c r="G22" i="16"/>
  <c r="I30" i="16"/>
  <c r="E30" i="16"/>
  <c r="F38" i="16"/>
  <c r="N50" i="16"/>
  <c r="H26" i="16"/>
  <c r="F26" i="16"/>
  <c r="L50" i="16"/>
  <c r="H46" i="16"/>
  <c r="D46" i="16"/>
  <c r="L42" i="16"/>
  <c r="H38" i="16"/>
  <c r="D38" i="16"/>
  <c r="C44" i="17"/>
  <c r="C14" i="16"/>
  <c r="L16" i="16"/>
  <c r="F11" i="16"/>
  <c r="J11" i="16"/>
  <c r="H11" i="16"/>
  <c r="K46" i="16"/>
  <c r="I46" i="16"/>
  <c r="G46" i="16"/>
  <c r="E46" i="16"/>
  <c r="C37" i="16"/>
  <c r="P37" i="16" s="1"/>
  <c r="D16" i="16"/>
  <c r="N17" i="16"/>
  <c r="N18" i="16" s="1"/>
  <c r="F17" i="16"/>
  <c r="F18" i="16" s="1"/>
  <c r="O34" i="16"/>
  <c r="E15" i="16"/>
  <c r="E19" i="16"/>
  <c r="J17" i="16"/>
  <c r="J18" i="16" s="1"/>
  <c r="L12" i="16"/>
  <c r="L53" i="16"/>
  <c r="D15" i="16"/>
  <c r="L17" i="16"/>
  <c r="L18" i="16" s="1"/>
  <c r="C45" i="16"/>
  <c r="P45" i="16" s="1"/>
  <c r="C49" i="16"/>
  <c r="P49" i="16" s="1"/>
  <c r="F53" i="16"/>
  <c r="C15" i="17"/>
  <c r="D76" i="1"/>
  <c r="J46" i="1"/>
  <c r="O37" i="17"/>
  <c r="M37" i="17"/>
  <c r="K37" i="17"/>
  <c r="I37" i="17"/>
  <c r="G37" i="17"/>
  <c r="E37" i="17"/>
  <c r="D37" i="17"/>
  <c r="N37" i="17"/>
  <c r="L37" i="17"/>
  <c r="J37" i="17"/>
  <c r="H37" i="17"/>
  <c r="F37" i="17"/>
  <c r="C10" i="16"/>
  <c r="O17" i="16"/>
  <c r="O18" i="16" s="1"/>
  <c r="K17" i="16"/>
  <c r="K18" i="16" s="1"/>
  <c r="I17" i="16"/>
  <c r="I18" i="16" s="1"/>
  <c r="J41" i="1"/>
  <c r="J84" i="1"/>
  <c r="I12" i="16"/>
  <c r="G15" i="16"/>
  <c r="E17" i="16"/>
  <c r="E18" i="16" s="1"/>
  <c r="G17" i="16"/>
  <c r="G18" i="16" s="1"/>
  <c r="M17" i="16"/>
  <c r="M18" i="16" s="1"/>
  <c r="I19" i="16"/>
  <c r="G12" i="16"/>
  <c r="L19" i="16"/>
  <c r="D17" i="16"/>
  <c r="D18" i="16" s="1"/>
  <c r="L15" i="16"/>
  <c r="J12" i="16"/>
  <c r="M34" i="16"/>
  <c r="C39" i="16"/>
  <c r="F54" i="1" s="1"/>
  <c r="E54" i="1" s="1"/>
  <c r="C27" i="16"/>
  <c r="F38" i="1" s="1"/>
  <c r="E38" i="1" s="1"/>
  <c r="C13" i="16"/>
  <c r="F9" i="1" s="1"/>
  <c r="E9" i="1" s="1"/>
  <c r="F46" i="16"/>
  <c r="O46" i="16"/>
  <c r="M46" i="16"/>
  <c r="C47" i="16"/>
  <c r="F52" i="1" s="1"/>
  <c r="E52" i="1" s="1"/>
  <c r="D34" i="16"/>
  <c r="N34" i="16"/>
  <c r="L34" i="16"/>
  <c r="H34" i="16"/>
  <c r="M22" i="16"/>
  <c r="F34" i="16"/>
  <c r="T42" i="1"/>
  <c r="L42" i="1"/>
  <c r="O22" i="16"/>
  <c r="N26" i="16"/>
  <c r="E53" i="16"/>
  <c r="C23" i="16"/>
  <c r="F40" i="1" s="1"/>
  <c r="E40" i="1" s="1"/>
  <c r="V40" i="1"/>
  <c r="V42" i="1" s="1"/>
  <c r="D30" i="16"/>
  <c r="J30" i="16"/>
  <c r="H30" i="16"/>
  <c r="F30" i="16"/>
  <c r="N38" i="16"/>
  <c r="J42" i="16"/>
  <c r="N46" i="16"/>
  <c r="J50" i="16"/>
  <c r="H50" i="16"/>
  <c r="D50" i="16"/>
  <c r="L46" i="16"/>
  <c r="H42" i="16"/>
  <c r="D42" i="16"/>
  <c r="L38" i="16"/>
  <c r="C43" i="16"/>
  <c r="F55" i="1" s="1"/>
  <c r="E55" i="1" s="1"/>
  <c r="C51" i="16"/>
  <c r="F53" i="1" s="1"/>
  <c r="E53" i="1" s="1"/>
  <c r="J22" i="16"/>
  <c r="H22" i="16"/>
  <c r="F22" i="16"/>
  <c r="D22" i="16"/>
  <c r="J53" i="16"/>
  <c r="I53" i="16"/>
  <c r="N53" i="16"/>
  <c r="L26" i="16"/>
  <c r="K26" i="16"/>
  <c r="G26" i="16"/>
  <c r="E26" i="16"/>
  <c r="L12" i="19"/>
  <c r="D12" i="19"/>
  <c r="U56" i="1"/>
  <c r="M14" i="19" s="1"/>
  <c r="R56" i="1"/>
  <c r="J14" i="19" s="1"/>
  <c r="Q56" i="1"/>
  <c r="I14" i="19" s="1"/>
  <c r="S56" i="1"/>
  <c r="K14" i="19" s="1"/>
  <c r="P56" i="1"/>
  <c r="H14" i="19" s="1"/>
  <c r="N56" i="1"/>
  <c r="F14" i="19" s="1"/>
  <c r="M56" i="1"/>
  <c r="E14" i="19" s="1"/>
  <c r="O53" i="16"/>
  <c r="G53" i="16"/>
  <c r="K53" i="16"/>
  <c r="I34" i="16"/>
  <c r="G34" i="16"/>
  <c r="E34" i="16"/>
  <c r="C35" i="16"/>
  <c r="F47" i="1" s="1"/>
  <c r="E47" i="1" s="1"/>
  <c r="N22" i="16"/>
  <c r="L22" i="16"/>
  <c r="J34" i="16"/>
  <c r="L16" i="17"/>
  <c r="S83" i="1" s="1"/>
  <c r="S89" i="1" s="1"/>
  <c r="K16" i="19" s="1"/>
  <c r="J16" i="17"/>
  <c r="Q83" i="1" s="1"/>
  <c r="H16" i="17"/>
  <c r="O83" i="1" s="1"/>
  <c r="O89" i="1" s="1"/>
  <c r="G16" i="19" s="1"/>
  <c r="C25" i="16"/>
  <c r="P25" i="16" s="1"/>
  <c r="J55" i="1"/>
  <c r="K15" i="16"/>
  <c r="M15" i="16"/>
  <c r="H16" i="16"/>
  <c r="F16" i="16"/>
  <c r="N19" i="16"/>
  <c r="J19" i="16"/>
  <c r="H19" i="16"/>
  <c r="F19" i="16"/>
  <c r="N12" i="16"/>
  <c r="H12" i="16"/>
  <c r="F12" i="16"/>
  <c r="N25" i="18"/>
  <c r="N13" i="18"/>
  <c r="O13" i="18" s="1"/>
  <c r="C21" i="16"/>
  <c r="C41" i="16"/>
  <c r="C29" i="16"/>
  <c r="P29" i="16" s="1"/>
  <c r="E71" i="1"/>
  <c r="P42" i="1"/>
  <c r="M42" i="1"/>
  <c r="F15" i="16"/>
  <c r="H15" i="16"/>
  <c r="D11" i="16"/>
  <c r="N15" i="16"/>
  <c r="J15" i="16"/>
  <c r="N16" i="16"/>
  <c r="J16" i="16"/>
  <c r="D19" i="16"/>
  <c r="O19" i="16"/>
  <c r="M19" i="16"/>
  <c r="K19" i="16"/>
  <c r="O12" i="16"/>
  <c r="N11" i="16"/>
  <c r="O11" i="16"/>
  <c r="K11" i="16"/>
  <c r="N34" i="18"/>
  <c r="C6" i="17"/>
  <c r="K56" i="1"/>
  <c r="C14" i="19" s="1"/>
  <c r="J40" i="1"/>
  <c r="J53" i="1"/>
  <c r="L56" i="1"/>
  <c r="D14" i="19" s="1"/>
  <c r="H53" i="16"/>
  <c r="D101" i="1"/>
  <c r="E95" i="1"/>
  <c r="E35" i="1"/>
  <c r="R42" i="1"/>
  <c r="N42" i="1"/>
  <c r="J85" i="1"/>
  <c r="J82" i="1"/>
  <c r="J22" i="1"/>
  <c r="J54" i="1"/>
  <c r="J52" i="1"/>
  <c r="J38" i="1"/>
  <c r="J71" i="1"/>
  <c r="S42" i="1"/>
  <c r="P89" i="1"/>
  <c r="H16" i="19" s="1"/>
  <c r="N89" i="1"/>
  <c r="F16" i="19" s="1"/>
  <c r="J45" i="1"/>
  <c r="D53" i="16"/>
  <c r="M53" i="16"/>
  <c r="O30" i="16"/>
  <c r="M30" i="16"/>
  <c r="C31" i="16"/>
  <c r="F45" i="1" s="1"/>
  <c r="E45" i="1" s="1"/>
  <c r="K42" i="1"/>
  <c r="C12" i="19" s="1"/>
  <c r="M48" i="17"/>
  <c r="V89" i="1"/>
  <c r="N16" i="19" s="1"/>
  <c r="I48" i="17"/>
  <c r="Q42" i="1"/>
  <c r="O42" i="1"/>
  <c r="O48" i="17"/>
  <c r="K48" i="17"/>
  <c r="G48" i="17"/>
  <c r="D48" i="17"/>
  <c r="V56" i="1"/>
  <c r="N14" i="19" s="1"/>
  <c r="K89" i="1"/>
  <c r="C16" i="19" s="1"/>
  <c r="C36" i="17"/>
  <c r="J47" i="1"/>
  <c r="B20" i="19"/>
  <c r="U42" i="1"/>
  <c r="T89" i="1"/>
  <c r="L16" i="19" s="1"/>
  <c r="R89" i="1"/>
  <c r="J16" i="19" s="1"/>
  <c r="M89" i="1"/>
  <c r="E16" i="19" s="1"/>
  <c r="N48" i="17"/>
  <c r="L48" i="17"/>
  <c r="J48" i="17"/>
  <c r="H48" i="17"/>
  <c r="F48" i="17"/>
  <c r="C33" i="16"/>
  <c r="C15" i="16"/>
  <c r="M12" i="16"/>
  <c r="K12" i="16"/>
  <c r="E12" i="16"/>
  <c r="C9" i="16"/>
  <c r="U89" i="1"/>
  <c r="M16" i="19" s="1"/>
  <c r="J79" i="1"/>
  <c r="L89" i="1"/>
  <c r="C56" i="17"/>
  <c r="D34" i="17" s="1"/>
  <c r="J17" i="1"/>
  <c r="F17" i="1" s="1"/>
  <c r="J9" i="1"/>
  <c r="C17" i="16" l="1"/>
  <c r="C18" i="16" s="1"/>
  <c r="C42" i="16"/>
  <c r="C19" i="16"/>
  <c r="C16" i="16"/>
  <c r="C46" i="16"/>
  <c r="C38" i="16"/>
  <c r="E34" i="17"/>
  <c r="F34" i="17" s="1"/>
  <c r="G34" i="17" s="1"/>
  <c r="H34" i="17" s="1"/>
  <c r="I34" i="17" s="1"/>
  <c r="J34" i="17" s="1"/>
  <c r="K34" i="17" s="1"/>
  <c r="L34" i="17" s="1"/>
  <c r="M34" i="17" s="1"/>
  <c r="N34" i="17" s="1"/>
  <c r="O34" i="17" s="1"/>
  <c r="C26" i="16"/>
  <c r="F42" i="1"/>
  <c r="E42" i="1" s="1"/>
  <c r="C50" i="16"/>
  <c r="I12" i="19"/>
  <c r="K12" i="19"/>
  <c r="M12" i="19"/>
  <c r="G12" i="19"/>
  <c r="J12" i="19"/>
  <c r="H12" i="19"/>
  <c r="F12" i="19"/>
  <c r="N12" i="19"/>
  <c r="E12" i="19"/>
  <c r="J83" i="1"/>
  <c r="Q89" i="1"/>
  <c r="I16" i="19" s="1"/>
  <c r="C16" i="17"/>
  <c r="F83" i="1" s="1"/>
  <c r="E83" i="1" s="1"/>
  <c r="P41" i="16"/>
  <c r="Q37" i="16" s="1"/>
  <c r="N36" i="18"/>
  <c r="C37" i="17"/>
  <c r="C30" i="16"/>
  <c r="C22" i="16"/>
  <c r="P21" i="16"/>
  <c r="Q21" i="16" s="1"/>
  <c r="P33" i="16"/>
  <c r="D103" i="1"/>
  <c r="J42" i="1"/>
  <c r="J51" i="1"/>
  <c r="C53" i="16"/>
  <c r="C55" i="16" s="1"/>
  <c r="A13" i="1"/>
  <c r="F56" i="1"/>
  <c r="E56" i="1" s="1"/>
  <c r="C48" i="17"/>
  <c r="E17" i="1"/>
  <c r="C34" i="16"/>
  <c r="F79" i="1"/>
  <c r="C11" i="16"/>
  <c r="C12" i="16"/>
  <c r="C58" i="17"/>
  <c r="D16" i="19"/>
  <c r="A15" i="1" l="1"/>
  <c r="A16" i="1" s="1"/>
  <c r="A17" i="1" s="1"/>
  <c r="A18" i="1" s="1"/>
  <c r="A14" i="1"/>
  <c r="O39" i="17"/>
  <c r="M39" i="17"/>
  <c r="K39" i="17"/>
  <c r="I39" i="17"/>
  <c r="G39" i="17"/>
  <c r="E39" i="17"/>
  <c r="D39" i="17"/>
  <c r="N39" i="17"/>
  <c r="L39" i="17"/>
  <c r="J39" i="17"/>
  <c r="H39" i="17"/>
  <c r="F39" i="17"/>
  <c r="B12" i="19"/>
  <c r="B16" i="19"/>
  <c r="J89" i="1"/>
  <c r="F49" i="17"/>
  <c r="H49" i="17"/>
  <c r="J49" i="17"/>
  <c r="L49" i="17"/>
  <c r="N49" i="17"/>
  <c r="D49" i="17"/>
  <c r="E49" i="17"/>
  <c r="G49" i="17"/>
  <c r="I49" i="17"/>
  <c r="K49" i="17"/>
  <c r="M49" i="17"/>
  <c r="O49" i="17"/>
  <c r="F45" i="17"/>
  <c r="H45" i="17"/>
  <c r="J45" i="17"/>
  <c r="L45" i="17"/>
  <c r="N45" i="17"/>
  <c r="D45" i="17"/>
  <c r="E45" i="17"/>
  <c r="G45" i="17"/>
  <c r="I45" i="17"/>
  <c r="K45" i="17"/>
  <c r="M45" i="17"/>
  <c r="O45" i="17"/>
  <c r="E79" i="1"/>
  <c r="F89" i="1"/>
  <c r="F101" i="1" s="1"/>
  <c r="E46" i="17"/>
  <c r="G46" i="17"/>
  <c r="I46" i="17"/>
  <c r="K46" i="17"/>
  <c r="M46" i="17"/>
  <c r="O46" i="17"/>
  <c r="F46" i="17"/>
  <c r="H46" i="17"/>
  <c r="J46" i="17"/>
  <c r="L46" i="17"/>
  <c r="N46" i="17"/>
  <c r="D46" i="17"/>
  <c r="A19" i="1" l="1"/>
  <c r="A20" i="1" s="1"/>
  <c r="A21" i="1" s="1"/>
  <c r="A22" i="1" s="1"/>
  <c r="A23" i="1" s="1"/>
  <c r="A24" i="1" s="1"/>
  <c r="A25" i="1" s="1"/>
  <c r="C46" i="17"/>
  <c r="E101" i="1"/>
  <c r="E89" i="1"/>
  <c r="L41" i="17"/>
  <c r="L50" i="17"/>
  <c r="H41" i="17"/>
  <c r="H50" i="17"/>
  <c r="D50" i="17"/>
  <c r="M41" i="17"/>
  <c r="M50" i="17"/>
  <c r="I41" i="17"/>
  <c r="I50" i="17"/>
  <c r="E41" i="17"/>
  <c r="E50" i="17"/>
  <c r="N41" i="17"/>
  <c r="N50" i="17"/>
  <c r="J41" i="17"/>
  <c r="J50" i="17"/>
  <c r="F41" i="17"/>
  <c r="F50" i="17"/>
  <c r="O41" i="17"/>
  <c r="O50" i="17"/>
  <c r="K41" i="17"/>
  <c r="K50" i="17"/>
  <c r="G41" i="17"/>
  <c r="G50" i="17"/>
  <c r="H53" i="17" l="1"/>
  <c r="O14" i="1" s="1"/>
  <c r="O27" i="1" s="1"/>
  <c r="L53" i="17"/>
  <c r="S14" i="1" s="1"/>
  <c r="S27" i="1" s="1"/>
  <c r="S109" i="1" s="1"/>
  <c r="S111" i="1" s="1"/>
  <c r="G53" i="17"/>
  <c r="N14" i="1" s="1"/>
  <c r="N27" i="1" s="1"/>
  <c r="N109" i="1" s="1"/>
  <c r="N111" i="1" s="1"/>
  <c r="K53" i="17"/>
  <c r="R14" i="1" s="1"/>
  <c r="R27" i="1" s="1"/>
  <c r="R109" i="1" s="1"/>
  <c r="R111" i="1" s="1"/>
  <c r="O53" i="17"/>
  <c r="V14" i="1" s="1"/>
  <c r="V27" i="1" s="1"/>
  <c r="V109" i="1" s="1"/>
  <c r="V111" i="1" s="1"/>
  <c r="F53" i="17"/>
  <c r="M14" i="1" s="1"/>
  <c r="M27" i="1" s="1"/>
  <c r="M109" i="1" s="1"/>
  <c r="M111" i="1" s="1"/>
  <c r="J53" i="17"/>
  <c r="Q14" i="1" s="1"/>
  <c r="Q27" i="1" s="1"/>
  <c r="Q109" i="1" s="1"/>
  <c r="Q111" i="1" s="1"/>
  <c r="N53" i="17"/>
  <c r="U14" i="1" s="1"/>
  <c r="U27" i="1" s="1"/>
  <c r="U109" i="1" s="1"/>
  <c r="U111" i="1" s="1"/>
  <c r="E53" i="17"/>
  <c r="L14" i="1" s="1"/>
  <c r="L27" i="1" s="1"/>
  <c r="L109" i="1" s="1"/>
  <c r="L111" i="1" s="1"/>
  <c r="I53" i="17"/>
  <c r="P14" i="1" s="1"/>
  <c r="P27" i="1" s="1"/>
  <c r="P109" i="1" s="1"/>
  <c r="P111" i="1" s="1"/>
  <c r="M53" i="17"/>
  <c r="T14" i="1" s="1"/>
  <c r="T27" i="1" s="1"/>
  <c r="K42" i="17"/>
  <c r="F42" i="17"/>
  <c r="J42" i="17"/>
  <c r="N42" i="17"/>
  <c r="E42" i="17"/>
  <c r="I42" i="17"/>
  <c r="M42" i="17"/>
  <c r="H42" i="17"/>
  <c r="L42" i="17"/>
  <c r="C50" i="17"/>
  <c r="C51" i="17" s="1"/>
  <c r="G42" i="17"/>
  <c r="O42" i="17"/>
  <c r="C39" i="17"/>
  <c r="D41" i="17"/>
  <c r="D53" i="17" s="1"/>
  <c r="K14" i="1" s="1"/>
  <c r="A26" i="1" l="1"/>
  <c r="K10" i="19"/>
  <c r="K18" i="19" s="1"/>
  <c r="K26" i="19" s="1"/>
  <c r="G10" i="19"/>
  <c r="L10" i="19"/>
  <c r="H10" i="19"/>
  <c r="H18" i="19" s="1"/>
  <c r="H26" i="19" s="1"/>
  <c r="M10" i="19"/>
  <c r="M18" i="19" s="1"/>
  <c r="M26" i="19" s="1"/>
  <c r="I10" i="19"/>
  <c r="I18" i="19" s="1"/>
  <c r="I26" i="19" s="1"/>
  <c r="E10" i="19"/>
  <c r="E18" i="19" s="1"/>
  <c r="E26" i="19" s="1"/>
  <c r="D42" i="17"/>
  <c r="C41" i="17"/>
  <c r="C42" i="17" s="1"/>
  <c r="N10" i="19"/>
  <c r="N18" i="19" s="1"/>
  <c r="N26" i="19" s="1"/>
  <c r="F10" i="19"/>
  <c r="F18" i="19" s="1"/>
  <c r="F26" i="19" s="1"/>
  <c r="D10" i="19"/>
  <c r="D18" i="19" s="1"/>
  <c r="D26" i="19" s="1"/>
  <c r="J10" i="19"/>
  <c r="J18" i="19" s="1"/>
  <c r="J26" i="19" s="1"/>
  <c r="A27" i="1" l="1"/>
  <c r="A30" i="1" s="1"/>
  <c r="A31" i="1" s="1"/>
  <c r="A32" i="1" s="1"/>
  <c r="C53" i="17"/>
  <c r="F14" i="1" s="1"/>
  <c r="A34" i="1" l="1"/>
  <c r="A35" i="1" s="1"/>
  <c r="A38" i="1" s="1"/>
  <c r="A39" i="1" s="1"/>
  <c r="A40" i="1" s="1"/>
  <c r="A41" i="1" s="1"/>
  <c r="A42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62" i="1" s="1"/>
  <c r="J14" i="1"/>
  <c r="K27" i="1"/>
  <c r="C54" i="17"/>
  <c r="A63" i="1" l="1"/>
  <c r="A64" i="1" s="1"/>
  <c r="A65" i="1" s="1"/>
  <c r="A66" i="1" s="1"/>
  <c r="A67" i="1" s="1"/>
  <c r="A68" i="1" s="1"/>
  <c r="A69" i="1" s="1"/>
  <c r="A70" i="1" s="1"/>
  <c r="A71" i="1" s="1"/>
  <c r="A74" i="1" s="1"/>
  <c r="F27" i="1"/>
  <c r="F76" i="1" s="1"/>
  <c r="E14" i="1"/>
  <c r="K109" i="1"/>
  <c r="K111" i="1" s="1"/>
  <c r="C10" i="19"/>
  <c r="C18" i="19" s="1"/>
  <c r="C26" i="19" s="1"/>
  <c r="J27" i="1"/>
  <c r="A76" i="1" l="1"/>
  <c r="A79" i="1" s="1"/>
  <c r="A80" i="1" s="1"/>
  <c r="A81" i="1" s="1"/>
  <c r="A82" i="1" s="1"/>
  <c r="A83" i="1" s="1"/>
  <c r="A84" i="1" s="1"/>
  <c r="A85" i="1" s="1"/>
  <c r="E27" i="1"/>
  <c r="B10" i="19"/>
  <c r="A86" i="1" l="1"/>
  <c r="E76" i="1"/>
  <c r="F103" i="1"/>
  <c r="E105" i="1" l="1"/>
  <c r="F109" i="1"/>
  <c r="A87" i="1"/>
  <c r="A88" i="1" s="1"/>
  <c r="A89" i="1" s="1"/>
  <c r="A92" i="1" s="1"/>
  <c r="A93" i="1" s="1"/>
  <c r="A94" i="1" s="1"/>
  <c r="A95" i="1" s="1"/>
  <c r="A98" i="1" s="1"/>
  <c r="A101" i="1" s="1"/>
  <c r="A103" i="1" s="1"/>
  <c r="E103" i="1"/>
  <c r="O56" i="1"/>
  <c r="O109" i="1" s="1"/>
  <c r="O111" i="1" s="1"/>
  <c r="J50" i="1"/>
  <c r="J56" i="1" s="1"/>
  <c r="G14" i="19" l="1"/>
  <c r="G18" i="19" s="1"/>
  <c r="G26" i="19" s="1"/>
  <c r="T56" i="1"/>
  <c r="T109" i="1" s="1"/>
  <c r="T111" i="1" s="1"/>
  <c r="J111" i="1" s="1"/>
  <c r="B26" i="19" l="1"/>
  <c r="J109" i="1"/>
  <c r="L14" i="19"/>
  <c r="L18" i="19" s="1"/>
  <c r="L26" i="19" s="1"/>
  <c r="B18" i="19" l="1"/>
  <c r="B14" i="19"/>
</calcChain>
</file>

<file path=xl/sharedStrings.xml><?xml version="1.0" encoding="utf-8"?>
<sst xmlns="http://schemas.openxmlformats.org/spreadsheetml/2006/main" count="287" uniqueCount="243">
  <si>
    <t>Line</t>
  </si>
  <si>
    <t>No.</t>
  </si>
  <si>
    <t>Actuals</t>
  </si>
  <si>
    <t>Adjustment</t>
  </si>
  <si>
    <t>555 PURCHASED POWER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</si>
  <si>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</si>
  <si>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</si>
  <si>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</si>
  <si>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</si>
  <si>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</si>
  <si>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</si>
  <si>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</si>
  <si>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</si>
  <si>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</si>
  <si>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</si>
  <si>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</si>
  <si>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</si>
  <si>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</si>
  <si>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</si>
  <si>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</si>
  <si>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</si>
  <si>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</si>
  <si>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</si>
  <si>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</si>
  <si>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</si>
  <si>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</si>
  <si>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557 OTHER EXPENSES</t>
  </si>
  <si>
    <t>453 SALES OF WATER AND WATER POWER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</si>
  <si>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</si>
  <si>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</si>
  <si>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</si>
  <si>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</si>
  <si>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</si>
  <si>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</si>
  <si>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</si>
  <si>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</si>
  <si>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</si>
  <si>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</si>
  <si>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</si>
  <si>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</si>
  <si>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</si>
  <si>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</si>
  <si>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</si>
  <si>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</si>
  <si>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</si>
  <si>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Kettle Falls - Wood Fuel</t>
  </si>
  <si>
    <t>Colstrip - Coal</t>
  </si>
  <si>
    <t>501 THERMAL FUEL EXPENSE</t>
  </si>
  <si>
    <t>547 OTHER FUEL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</si>
  <si>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</si>
  <si>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</si>
  <si>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</si>
  <si>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</si>
  <si>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</si>
  <si>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</si>
  <si>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</si>
  <si>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</si>
  <si>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</si>
  <si>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</si>
  <si>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</si>
  <si>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</si>
  <si>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</si>
  <si>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</si>
  <si>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</si>
  <si>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</si>
  <si>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</si>
  <si>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</si>
  <si>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</si>
  <si>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</si>
  <si>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</si>
  <si>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</si>
  <si>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</si>
  <si>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</si>
  <si>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</si>
  <si>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</si>
  <si>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</si>
  <si>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</si>
  <si>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</si>
  <si>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</si>
  <si>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</si>
  <si>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</si>
  <si>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</si>
  <si>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</si>
  <si>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</si>
  <si>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</si>
  <si>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</si>
  <si>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</si>
  <si>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</si>
  <si>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</si>
  <si>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</si>
  <si>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</si>
  <si>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</si>
  <si>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</si>
  <si>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</si>
  <si>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</si>
  <si>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</si>
  <si>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</si>
  <si>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</si>
  <si>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</si>
  <si>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</si>
  <si>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</si>
  <si>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</si>
  <si>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</si>
  <si>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</si>
  <si>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</si>
  <si>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</si>
  <si>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</si>
  <si>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</si>
  <si>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</si>
  <si>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</si>
  <si>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</si>
  <si>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</si>
  <si>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</si>
  <si>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</si>
  <si>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normal $0</t>
  </si>
  <si>
    <t>Comment</t>
  </si>
  <si>
    <t>Market Purchases and Sales, Plant Generation and Fuel Cost Summary</t>
  </si>
  <si>
    <t>Sovereign/Kaiser DES</t>
  </si>
  <si>
    <t>Douglas Settlement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</si>
  <si>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</si>
  <si>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</si>
  <si>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</si>
  <si>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</si>
  <si>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</si>
  <si>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</si>
  <si>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</si>
  <si>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Small Power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</si>
  <si>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</si>
  <si>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</si>
  <si>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</si>
  <si>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</si>
  <si>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</si>
  <si>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</si>
  <si>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</si>
  <si>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</si>
  <si>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</si>
  <si>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</si>
  <si>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</si>
  <si>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</si>
  <si>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</si>
  <si>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</si>
  <si>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</si>
  <si>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</si>
  <si>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</si>
  <si>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</si>
  <si>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</si>
  <si>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</si>
  <si>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</si>
  <si>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Surplus Conversion Cost per MWh</t>
  </si>
  <si>
    <t>Total Priest Rapids Product Cost</t>
  </si>
  <si>
    <t>Total Priest Rapids Product Cost per MWh</t>
  </si>
  <si>
    <t>Modeled Short-Term Market Sales</t>
  </si>
  <si>
    <t>Pro forma</t>
  </si>
  <si>
    <t>Natural Gas Fuel Purchases</t>
  </si>
  <si>
    <t>Avista Corp</t>
  </si>
  <si>
    <t>new rate</t>
  </si>
  <si>
    <t>check energy</t>
  </si>
  <si>
    <t>modeled MWh x Actual</t>
  </si>
  <si>
    <t xml:space="preserve">  Surplus</t>
  </si>
  <si>
    <t>Priest Rapids, MWh</t>
  </si>
  <si>
    <t>Wanpum, MWh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</si>
  <si>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</si>
  <si>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</si>
  <si>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</si>
  <si>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</si>
  <si>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</si>
  <si>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</si>
  <si>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</si>
  <si>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</si>
  <si>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</si>
  <si>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</si>
  <si>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</si>
  <si>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</si>
  <si>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</si>
  <si>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Wells - Avista Share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</si>
  <si>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</si>
  <si>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</si>
  <si>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</si>
  <si>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</si>
  <si>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</si>
  <si>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/MWh</t>
  </si>
  <si>
    <t>Actual Financial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</si>
  <si>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</si>
  <si>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</si>
  <si>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</si>
  <si>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</si>
  <si>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Gas Transportation for BP, NE and KFCT</t>
  </si>
  <si>
    <t>Total Priest RapidsCost per MWh</t>
  </si>
  <si>
    <t>Colstrip - Oil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</si>
  <si>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</si>
  <si>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</si>
  <si>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</si>
  <si>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</si>
  <si>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</si>
  <si>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</si>
  <si>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</si>
  <si>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</si>
  <si>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</si>
  <si>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</si>
  <si>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</si>
  <si>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BPA PTP for Colstrip, Coyote &amp; Lancaster</t>
  </si>
  <si>
    <t>Northwestern for Colstrip</t>
  </si>
  <si>
    <t>Palouse Wind</t>
  </si>
  <si>
    <t>Spokane Waste-to-Energy</t>
  </si>
  <si>
    <t>Non-WA EIA REC Sales</t>
  </si>
  <si>
    <t>WA EIA REC Purchase - 100% WA Allocation</t>
  </si>
  <si>
    <t>Gas Transpot Optimization</t>
  </si>
  <si>
    <t>Pro Forma</t>
  </si>
  <si>
    <t>****LOAD NEW PRICES*****</t>
  </si>
  <si>
    <t>Modeled HLH Electric Price</t>
  </si>
  <si>
    <t>Modeled LLH Electric Price</t>
  </si>
  <si>
    <t>Predicted Auction Price</t>
  </si>
  <si>
    <t>ERM Authorized Washington Retail Sales (2)</t>
  </si>
  <si>
    <t>Modeled ST Market Purchases</t>
  </si>
  <si>
    <t>Actual ST Market Purchases</t>
  </si>
  <si>
    <t>Actual ST Purchases - Financial M-to-M</t>
  </si>
  <si>
    <t>Transmission Revenue</t>
  </si>
  <si>
    <t>Total Retail Sales, MWh (2)</t>
  </si>
  <si>
    <t>Intracompany Generation</t>
  </si>
  <si>
    <t>Short-term Transmission Purchases</t>
  </si>
  <si>
    <t>WA EIA REC Sales</t>
  </si>
  <si>
    <t>Pullman Battery</t>
  </si>
  <si>
    <t>Modeled Flat Electric Price</t>
  </si>
  <si>
    <t>Rate (Mid C plus $3/MWh)</t>
  </si>
  <si>
    <t>Energy America</t>
  </si>
  <si>
    <t>Test Year Load</t>
  </si>
  <si>
    <t>ERM Accounts</t>
  </si>
  <si>
    <t>All Accounts</t>
  </si>
  <si>
    <t>Rathdrum Solar, Buck-a-Block</t>
  </si>
  <si>
    <t>REC Expenses (offset to REC Revenue)</t>
  </si>
  <si>
    <t>COB Optimization</t>
  </si>
  <si>
    <t>PGE Capacity Sale</t>
  </si>
  <si>
    <t>System Numbers - 2016 Actual and May 2018 to April 2019 Pro Forma</t>
  </si>
  <si>
    <t>May-18 to Apr-19</t>
  </si>
  <si>
    <t xml:space="preserve">     Total</t>
  </si>
  <si>
    <t>WA Share of System Costs</t>
  </si>
  <si>
    <t>Pro forma May 2018 - April 2019</t>
  </si>
  <si>
    <t>January through December 2016 Historic Normalized Loads</t>
  </si>
  <si>
    <t>(1)  Multiply system numbers by 65.73% to determine Washington share.</t>
  </si>
  <si>
    <t>P/T ratio</t>
  </si>
  <si>
    <t>Retail Revenue Adjustment Rate</t>
  </si>
  <si>
    <t>(2)  Twelve months ended December 2016 normalized monthly WA Retail Sales.</t>
  </si>
  <si>
    <t>Washington Normalized January 2016 -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</si>
</sst>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7">
    <font>
      <sz val="10"/>
      <name val="Geneva"/>
    </font>
    <font>
      <sz val="11"/>
      <color theme="1"/>
      <name val="Calibri"/>
      <family val="2"/>
      <scheme val="minor"/>
    </font>
    <font>
      <b/>
      <sz val="10"/>
      <name val="Geneva"/>
    </font>
    <font>
      <sz val="10"/>
      <name val="Geneva"/>
    </font>
    <font>
      <u/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  <font>
      <sz val="10"/>
      <color theme="1"/>
      <name val="Arial"/>
      <family val="2"/>
    </font>
    <font>
      <b/>
      <sz val="10"/>
      <color theme="1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2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2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3" fillId="0" borderId="0" xfId="0" applyNumberFormat="1" applyFont="1"/>
    <xf numFmtId="0" fontId="0" fillId="0" borderId="8" xfId="0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5" fontId="2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3" fontId="3" fillId="0" borderId="0" xfId="0" applyNumberFormat="1" applyFont="1" applyAlignment="1">
      <alignment horizontal="right"/>
    </xf>
    <xf numFmtId="166" fontId="2" fillId="0" borderId="4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3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3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3" fillId="0" borderId="0" xfId="0" applyNumberFormat="1" applyFont="1" applyFill="1"/>
    <xf numFmtId="165" fontId="0" fillId="0" borderId="1" xfId="0" applyNumberFormat="1" applyBorder="1"/>
    <xf numFmtId="3" fontId="0" fillId="4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3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3" fontId="0" fillId="0" borderId="0" xfId="0" applyNumberFormat="1" applyFill="1"/>
    <xf numFmtId="0" fontId="2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17" fontId="4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/>
    <xf numFmtId="165" fontId="0" fillId="0" borderId="1" xfId="0" applyNumberFormat="1" applyFill="1" applyBorder="1"/>
    <xf numFmtId="166" fontId="0" fillId="0" borderId="0" xfId="0" applyNumberFormat="1" applyFill="1"/>
    <xf numFmtId="0" fontId="0" fillId="0" borderId="0" xfId="0" quotePrefix="1" applyFill="1"/>
    <xf numFmtId="3" fontId="3" fillId="0" borderId="1" xfId="0" applyNumberFormat="1" applyFont="1" applyFill="1" applyBorder="1" applyAlignment="1">
      <alignment horizontal="right"/>
    </xf>
    <xf numFmtId="10" fontId="0" fillId="0" borderId="0" xfId="2" applyNumberFormat="1" applyFont="1"/>
    <xf numFmtId="3" fontId="0" fillId="0" borderId="0" xfId="1" applyNumberFormat="1" applyFont="1"/>
    <xf numFmtId="4" fontId="0" fillId="0" borderId="0" xfId="0" applyNumberFormat="1"/>
    <xf numFmtId="0" fontId="0" fillId="0" borderId="0" xfId="0" applyFont="1"/>
    <xf numFmtId="0" fontId="0" fillId="0" borderId="2" xfId="0" applyFill="1" applyBorder="1"/>
    <xf numFmtId="10" fontId="0" fillId="6" borderId="0" xfId="2" applyNumberFormat="1" applyFont="1" applyFill="1"/>
    <xf numFmtId="0" fontId="16" fillId="0" borderId="0" xfId="0" applyFont="1" applyAlignment="1">
      <alignment horizontal="center"/>
    </xf>
  </cellXfs>
  <cellStyles count="11">
    <cellStyle name="Comma" xfId="1" builtinId="3"/>
    <cellStyle name="Comma 2" xfId="7"/>
    <cellStyle name="Comma 3" xfId="8"/>
    <cellStyle name="Currency 2" xfId="10"/>
    <cellStyle name="Normal" xfId="0" builtinId="0"/>
    <cellStyle name="Normal 2" xfId="6"/>
    <cellStyle name="Normal 2 3" xfId="3"/>
    <cellStyle name="Normal 3" xfId="5"/>
    <cellStyle name="Normal 8" xfId="9"/>
    <cellStyle name="Percent" xfId="2" builtinId="5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O58"/>
  <sheetViews>
    <sheetView topLeftCell="A11" workbookViewId="0">
      <selection activeCell="D46" sqref="D46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208</v>
      </c>
    </row>
    <row r="6" spans="1:15">
      <c r="C6" s="36">
        <f>SUM(D6:O6)</f>
        <v>8760</v>
      </c>
      <c r="D6" s="45">
        <f>'WGJ-4'!D6</f>
        <v>744</v>
      </c>
      <c r="E6" s="45">
        <v>672</v>
      </c>
      <c r="F6" s="45">
        <v>743</v>
      </c>
      <c r="G6" s="45">
        <v>720</v>
      </c>
      <c r="H6" s="45">
        <f>'WGJ-4'!H6</f>
        <v>744</v>
      </c>
      <c r="I6" s="45">
        <f>'WGJ-4'!I6</f>
        <v>720</v>
      </c>
      <c r="J6" s="45">
        <f>'WGJ-4'!J6</f>
        <v>744</v>
      </c>
      <c r="K6" s="45">
        <f>'WGJ-4'!K6</f>
        <v>744</v>
      </c>
      <c r="L6" s="45">
        <f>'WGJ-4'!L6</f>
        <v>720</v>
      </c>
      <c r="M6" s="45">
        <v>744</v>
      </c>
      <c r="N6" s="45">
        <v>721</v>
      </c>
      <c r="O6" s="45">
        <f>'WGJ-4'!O6</f>
        <v>744</v>
      </c>
    </row>
    <row r="7" spans="1:15">
      <c r="C7" s="85" t="s">
        <v>32</v>
      </c>
      <c r="D7" s="46">
        <v>42004</v>
      </c>
      <c r="E7" s="46">
        <v>42035</v>
      </c>
      <c r="F7" s="46">
        <v>42063</v>
      </c>
      <c r="G7" s="46">
        <v>42094</v>
      </c>
      <c r="H7" s="46">
        <v>41759</v>
      </c>
      <c r="I7" s="46">
        <v>41790</v>
      </c>
      <c r="J7" s="46">
        <v>41820</v>
      </c>
      <c r="K7" s="46">
        <v>41851</v>
      </c>
      <c r="L7" s="46">
        <v>41882</v>
      </c>
      <c r="M7" s="46">
        <v>41912</v>
      </c>
      <c r="N7" s="46">
        <v>41943</v>
      </c>
      <c r="O7" s="46">
        <v>41973</v>
      </c>
    </row>
    <row r="8" spans="1:15">
      <c r="C8" s="11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>
      <c r="A9" s="2" t="s">
        <v>209</v>
      </c>
      <c r="C9" s="122">
        <f>AVERAGE(D9:O9)</f>
        <v>25.899650822083132</v>
      </c>
      <c r="D9" s="96">
        <v>30.748459386825544</v>
      </c>
      <c r="E9" s="96">
        <v>28.622721576690651</v>
      </c>
      <c r="F9" s="96">
        <v>24.713095474243136</v>
      </c>
      <c r="G9" s="96">
        <v>19.794730949401821</v>
      </c>
      <c r="H9" s="96">
        <v>17.925662112236001</v>
      </c>
      <c r="I9" s="96">
        <v>19.585629034042334</v>
      </c>
      <c r="J9" s="96">
        <v>27.675601720809915</v>
      </c>
      <c r="K9" s="96">
        <v>31.505064988136276</v>
      </c>
      <c r="L9" s="96">
        <v>28.369565510749787</v>
      </c>
      <c r="M9" s="96">
        <v>24.489473390579196</v>
      </c>
      <c r="N9" s="96">
        <v>26.359929704666115</v>
      </c>
      <c r="O9" s="96">
        <v>31.005876016616803</v>
      </c>
    </row>
    <row r="10" spans="1:15">
      <c r="A10" s="2" t="s">
        <v>210</v>
      </c>
      <c r="C10" s="122">
        <f>AVERAGE(D10:O10)</f>
        <v>19.707610608637307</v>
      </c>
      <c r="D10" s="96">
        <v>26.585415434837312</v>
      </c>
      <c r="E10" s="96">
        <v>25.061217689514134</v>
      </c>
      <c r="F10" s="96">
        <v>22.547167849540685</v>
      </c>
      <c r="G10" s="96">
        <v>16.294168913364377</v>
      </c>
      <c r="H10" s="96">
        <v>9.1453573271632003</v>
      </c>
      <c r="I10" s="96">
        <v>9.4458525791764032</v>
      </c>
      <c r="J10" s="96">
        <v>17.355717957019777</v>
      </c>
      <c r="K10" s="96">
        <v>21.348666238784766</v>
      </c>
      <c r="L10" s="96">
        <v>22.089997768402075</v>
      </c>
      <c r="M10" s="96">
        <v>20.372942447662318</v>
      </c>
      <c r="N10" s="96">
        <v>21.899042057991</v>
      </c>
      <c r="O10" s="96">
        <v>24.345781040191632</v>
      </c>
    </row>
    <row r="11" spans="1:15">
      <c r="A11" s="2" t="s">
        <v>222</v>
      </c>
      <c r="C11" s="122">
        <f>AVERAGE(D11:O11)</f>
        <v>23.248487152159186</v>
      </c>
      <c r="D11" s="96">
        <v>29.002666926383949</v>
      </c>
      <c r="E11" s="96">
        <v>27.096362686157203</v>
      </c>
      <c r="F11" s="96">
        <v>23.7582242965698</v>
      </c>
      <c r="G11" s="96">
        <v>18.31671584844586</v>
      </c>
      <c r="H11" s="96">
        <v>14.243598771095241</v>
      </c>
      <c r="I11" s="96">
        <v>15.304390102624856</v>
      </c>
      <c r="J11" s="96">
        <v>23.125975537300082</v>
      </c>
      <c r="K11" s="96">
        <v>27.245930099487289</v>
      </c>
      <c r="L11" s="96">
        <v>25.57864646911619</v>
      </c>
      <c r="M11" s="96">
        <v>22.763186168670629</v>
      </c>
      <c r="N11" s="96">
        <v>24.476443743705726</v>
      </c>
      <c r="O11" s="96">
        <v>28.06970517635343</v>
      </c>
    </row>
    <row r="12" spans="1:15">
      <c r="C12" s="11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2" t="s">
        <v>41</v>
      </c>
      <c r="C13" s="11"/>
      <c r="D13">
        <v>-0.74399999999999999</v>
      </c>
      <c r="E13">
        <v>-0.67200000000000004</v>
      </c>
      <c r="F13">
        <v>-0.74399999999999999</v>
      </c>
      <c r="G13">
        <v>-0.72</v>
      </c>
      <c r="H13">
        <v>-5.766</v>
      </c>
      <c r="I13">
        <v>-5.58</v>
      </c>
      <c r="J13">
        <v>-5.766</v>
      </c>
      <c r="K13">
        <v>-5.766</v>
      </c>
      <c r="L13">
        <v>-5.58</v>
      </c>
      <c r="M13">
        <v>-5.766</v>
      </c>
      <c r="N13">
        <v>-0.72</v>
      </c>
      <c r="O13">
        <v>-0.74399999999999999</v>
      </c>
    </row>
    <row r="14" spans="1:15">
      <c r="B14" t="s">
        <v>40</v>
      </c>
      <c r="C14" s="11"/>
    </row>
    <row r="15" spans="1:15">
      <c r="B15" t="s">
        <v>92</v>
      </c>
      <c r="C15" s="120">
        <f>SUM(D15:O15)</f>
        <v>29808</v>
      </c>
      <c r="D15" s="3">
        <v>0</v>
      </c>
      <c r="E15" s="3">
        <v>0</v>
      </c>
      <c r="F15" s="3">
        <v>0</v>
      </c>
      <c r="G15" s="3">
        <v>0</v>
      </c>
      <c r="H15" s="3">
        <f t="shared" ref="H15:M15" si="0">-H13*1000-H6</f>
        <v>5022</v>
      </c>
      <c r="I15" s="3">
        <f t="shared" si="0"/>
        <v>4860</v>
      </c>
      <c r="J15" s="3">
        <f t="shared" si="0"/>
        <v>5022</v>
      </c>
      <c r="K15" s="3">
        <f t="shared" si="0"/>
        <v>5022</v>
      </c>
      <c r="L15" s="3">
        <f t="shared" si="0"/>
        <v>4860</v>
      </c>
      <c r="M15" s="3">
        <f t="shared" si="0"/>
        <v>5022</v>
      </c>
      <c r="N15" s="3">
        <v>0</v>
      </c>
      <c r="O15" s="3">
        <v>0</v>
      </c>
    </row>
    <row r="16" spans="1:15">
      <c r="B16" t="s">
        <v>104</v>
      </c>
      <c r="C16" s="100">
        <f>SUM(D16:O16)</f>
        <v>572510.02477482485</v>
      </c>
      <c r="D16" s="24">
        <f>((D9*0.57+D10*0.43)-2.16)*D15</f>
        <v>0</v>
      </c>
      <c r="E16" s="24">
        <f t="shared" ref="E16:O16" si="1">((E9*0.57+E10*0.43)-2.16)*E15</f>
        <v>0</v>
      </c>
      <c r="F16" s="24">
        <f t="shared" si="1"/>
        <v>0</v>
      </c>
      <c r="G16" s="24">
        <f t="shared" si="1"/>
        <v>0</v>
      </c>
      <c r="H16" s="24">
        <f t="shared" si="1"/>
        <v>60214.438156475888</v>
      </c>
      <c r="I16" s="24">
        <f t="shared" si="1"/>
        <v>63498.452270066919</v>
      </c>
      <c r="J16" s="24">
        <f t="shared" si="1"/>
        <v>105853.97564935313</v>
      </c>
      <c r="K16" s="24">
        <f t="shared" si="1"/>
        <v>125438.57952714578</v>
      </c>
      <c r="L16" s="24">
        <f t="shared" si="1"/>
        <v>114255.44771428569</v>
      </c>
      <c r="M16" s="24">
        <f t="shared" si="1"/>
        <v>103249.13145749744</v>
      </c>
      <c r="N16" s="24">
        <f t="shared" si="1"/>
        <v>0</v>
      </c>
      <c r="O16" s="24">
        <f t="shared" si="1"/>
        <v>0</v>
      </c>
    </row>
    <row r="17" spans="1:15">
      <c r="C17" s="11"/>
    </row>
    <row r="18" spans="1:15">
      <c r="B18" t="s">
        <v>224</v>
      </c>
      <c r="C18" s="11"/>
      <c r="D18">
        <v>-14.88</v>
      </c>
      <c r="E18">
        <v>-13.44</v>
      </c>
      <c r="F18">
        <v>-14.88</v>
      </c>
      <c r="G18">
        <v>-14.4</v>
      </c>
      <c r="H18">
        <v>-37.200000000000003</v>
      </c>
      <c r="I18">
        <v>-36</v>
      </c>
      <c r="J18">
        <v>-37.200000000000003</v>
      </c>
      <c r="K18">
        <v>-37.200000000000003</v>
      </c>
      <c r="L18">
        <v>-36</v>
      </c>
      <c r="M18">
        <v>-37.200000000000003</v>
      </c>
      <c r="N18">
        <v>-36</v>
      </c>
      <c r="O18">
        <v>-37.200000000000003</v>
      </c>
    </row>
    <row r="19" spans="1:15">
      <c r="B19" t="s">
        <v>92</v>
      </c>
      <c r="C19" s="120">
        <f>SUM(D19:O19)</f>
        <v>351600</v>
      </c>
      <c r="D19" s="144">
        <f>-D18*1000</f>
        <v>14880</v>
      </c>
      <c r="E19" s="144">
        <f t="shared" ref="E19:O19" si="2">-E18*1000</f>
        <v>13440</v>
      </c>
      <c r="F19" s="144">
        <f t="shared" si="2"/>
        <v>14880</v>
      </c>
      <c r="G19" s="144">
        <f t="shared" si="2"/>
        <v>14400</v>
      </c>
      <c r="H19" s="144">
        <f t="shared" si="2"/>
        <v>37200</v>
      </c>
      <c r="I19" s="144">
        <f t="shared" si="2"/>
        <v>36000</v>
      </c>
      <c r="J19" s="144">
        <f t="shared" si="2"/>
        <v>37200</v>
      </c>
      <c r="K19" s="144">
        <f t="shared" si="2"/>
        <v>37200</v>
      </c>
      <c r="L19" s="144">
        <f t="shared" si="2"/>
        <v>36000</v>
      </c>
      <c r="M19" s="144">
        <f t="shared" si="2"/>
        <v>37200</v>
      </c>
      <c r="N19" s="144">
        <f t="shared" si="2"/>
        <v>36000</v>
      </c>
      <c r="O19" s="144">
        <f t="shared" si="2"/>
        <v>37200</v>
      </c>
    </row>
    <row r="20" spans="1:15">
      <c r="B20" t="s">
        <v>223</v>
      </c>
      <c r="D20" s="28">
        <f>D11+3</f>
        <v>32.002666926383952</v>
      </c>
      <c r="E20" s="28">
        <f t="shared" ref="E20:O20" si="3">E11+3</f>
        <v>30.096362686157203</v>
      </c>
      <c r="F20" s="28">
        <f t="shared" si="3"/>
        <v>26.7582242965698</v>
      </c>
      <c r="G20" s="28">
        <f t="shared" si="3"/>
        <v>21.31671584844586</v>
      </c>
      <c r="H20" s="28">
        <f t="shared" si="3"/>
        <v>17.243598771095243</v>
      </c>
      <c r="I20" s="28">
        <f t="shared" si="3"/>
        <v>18.304390102624858</v>
      </c>
      <c r="J20" s="28">
        <f t="shared" si="3"/>
        <v>26.125975537300082</v>
      </c>
      <c r="K20" s="28">
        <f t="shared" si="3"/>
        <v>30.245930099487289</v>
      </c>
      <c r="L20" s="28">
        <f t="shared" si="3"/>
        <v>28.57864646911619</v>
      </c>
      <c r="M20" s="28">
        <f t="shared" si="3"/>
        <v>25.763186168670629</v>
      </c>
      <c r="N20" s="28">
        <f t="shared" si="3"/>
        <v>27.476443743705726</v>
      </c>
      <c r="O20" s="28">
        <f t="shared" si="3"/>
        <v>31.06970517635343</v>
      </c>
    </row>
    <row r="21" spans="1:15">
      <c r="B21" t="s">
        <v>104</v>
      </c>
      <c r="C21" s="100">
        <f>SUM(D21:O21)</f>
        <v>9115439.4974813368</v>
      </c>
      <c r="D21" s="24">
        <f>D19*D20</f>
        <v>476199.68386459321</v>
      </c>
      <c r="E21" s="24">
        <f t="shared" ref="E21:O21" si="4">E19*E20</f>
        <v>404495.11450195283</v>
      </c>
      <c r="F21" s="24">
        <f t="shared" si="4"/>
        <v>398162.37753295864</v>
      </c>
      <c r="G21" s="24">
        <f t="shared" si="4"/>
        <v>306960.70821762038</v>
      </c>
      <c r="H21" s="24">
        <f t="shared" si="4"/>
        <v>641461.8742847431</v>
      </c>
      <c r="I21" s="24">
        <f t="shared" si="4"/>
        <v>658958.04369449487</v>
      </c>
      <c r="J21" s="24">
        <f t="shared" si="4"/>
        <v>971886.28998756304</v>
      </c>
      <c r="K21" s="24">
        <f t="shared" si="4"/>
        <v>1125148.5997009273</v>
      </c>
      <c r="L21" s="24">
        <f t="shared" si="4"/>
        <v>1028831.2728881829</v>
      </c>
      <c r="M21" s="24">
        <f t="shared" si="4"/>
        <v>958390.52547454741</v>
      </c>
      <c r="N21" s="24">
        <f t="shared" si="4"/>
        <v>989151.97477340617</v>
      </c>
      <c r="O21" s="24">
        <f t="shared" si="4"/>
        <v>1155793.0325603476</v>
      </c>
    </row>
    <row r="22" spans="1:15">
      <c r="C22" s="106"/>
      <c r="K22" s="28"/>
      <c r="L22" s="28"/>
      <c r="M22" s="24"/>
    </row>
    <row r="23" spans="1:15">
      <c r="A23" s="2" t="s">
        <v>147</v>
      </c>
      <c r="C23" s="106"/>
      <c r="K23" s="28"/>
      <c r="L23" s="28"/>
      <c r="M23" s="24"/>
    </row>
    <row r="24" spans="1:15">
      <c r="C24" s="121" t="s">
        <v>32</v>
      </c>
      <c r="D24" s="110">
        <f>D7</f>
        <v>42004</v>
      </c>
      <c r="E24" s="110">
        <f t="shared" ref="E24:O24" si="5">E7</f>
        <v>42035</v>
      </c>
      <c r="F24" s="110">
        <f t="shared" si="5"/>
        <v>42063</v>
      </c>
      <c r="G24" s="110">
        <f t="shared" si="5"/>
        <v>42094</v>
      </c>
      <c r="H24" s="110">
        <f t="shared" si="5"/>
        <v>41759</v>
      </c>
      <c r="I24" s="110">
        <f t="shared" si="5"/>
        <v>41790</v>
      </c>
      <c r="J24" s="110">
        <f t="shared" si="5"/>
        <v>41820</v>
      </c>
      <c r="K24" s="110">
        <f t="shared" si="5"/>
        <v>41851</v>
      </c>
      <c r="L24" s="110">
        <f t="shared" si="5"/>
        <v>41882</v>
      </c>
      <c r="M24" s="110">
        <f t="shared" si="5"/>
        <v>41912</v>
      </c>
      <c r="N24" s="110">
        <f t="shared" si="5"/>
        <v>41943</v>
      </c>
      <c r="O24" s="110">
        <f t="shared" si="5"/>
        <v>41973</v>
      </c>
    </row>
    <row r="25" spans="1:15">
      <c r="A25" s="2"/>
      <c r="C25" s="106"/>
      <c r="K25" s="28"/>
      <c r="L25" s="28"/>
      <c r="M25" s="24"/>
    </row>
    <row r="26" spans="1:15">
      <c r="B26" t="s">
        <v>211</v>
      </c>
      <c r="C26" s="106"/>
      <c r="D26" s="96">
        <f>0.65*D9+0.35*D10+5</f>
        <v>34.291394003629662</v>
      </c>
      <c r="E26" s="96">
        <f t="shared" ref="E26:O26" si="6">0.65*E9+0.35*E10+5</f>
        <v>32.376195216178871</v>
      </c>
      <c r="F26" s="96">
        <f t="shared" si="6"/>
        <v>28.955020805597279</v>
      </c>
      <c r="G26" s="96">
        <f t="shared" si="6"/>
        <v>23.569534236788716</v>
      </c>
      <c r="H26" s="96">
        <f t="shared" si="6"/>
        <v>19.85255543746052</v>
      </c>
      <c r="I26" s="96">
        <f t="shared" si="6"/>
        <v>21.036707274839259</v>
      </c>
      <c r="J26" s="96">
        <f t="shared" si="6"/>
        <v>29.063642403483364</v>
      </c>
      <c r="K26" s="96">
        <f t="shared" si="6"/>
        <v>32.950325425863241</v>
      </c>
      <c r="L26" s="96">
        <f t="shared" si="6"/>
        <v>31.171716800928088</v>
      </c>
      <c r="M26" s="96">
        <f t="shared" si="6"/>
        <v>28.048687560558289</v>
      </c>
      <c r="N26" s="96">
        <f t="shared" si="6"/>
        <v>29.798619028329824</v>
      </c>
      <c r="O26" s="96">
        <f t="shared" si="6"/>
        <v>33.67484277486799</v>
      </c>
    </row>
    <row r="27" spans="1:15">
      <c r="C27" s="10"/>
      <c r="K27" s="28"/>
      <c r="L27" s="28"/>
      <c r="M27" s="24"/>
    </row>
    <row r="28" spans="1:15">
      <c r="B28" t="s">
        <v>159</v>
      </c>
      <c r="C28" s="120">
        <f>SUM(D28:O28)</f>
        <v>170439.51124877881</v>
      </c>
      <c r="D28" s="126">
        <v>16081.148291015597</v>
      </c>
      <c r="E28" s="126">
        <v>13203.021417236299</v>
      </c>
      <c r="F28" s="126">
        <v>13711.2951660156</v>
      </c>
      <c r="G28" s="126">
        <v>14590.012628173799</v>
      </c>
      <c r="H28" s="126">
        <v>17600.639770507802</v>
      </c>
      <c r="I28" s="126">
        <v>16754.070019531198</v>
      </c>
      <c r="J28" s="126">
        <v>15676.172875976499</v>
      </c>
      <c r="K28" s="126">
        <v>13024.246362304601</v>
      </c>
      <c r="L28" s="126">
        <v>10412.3281127929</v>
      </c>
      <c r="M28" s="126">
        <v>10606.1941833496</v>
      </c>
      <c r="N28" s="126">
        <v>13476.762670898399</v>
      </c>
      <c r="O28" s="126">
        <v>15303.619750976502</v>
      </c>
    </row>
    <row r="29" spans="1:15">
      <c r="B29" t="s">
        <v>160</v>
      </c>
      <c r="C29" s="120">
        <f>SUM(D29:O29)</f>
        <v>161915.27114868109</v>
      </c>
      <c r="D29" s="126">
        <v>15002.6462829589</v>
      </c>
      <c r="E29" s="126">
        <v>12150.578088378899</v>
      </c>
      <c r="F29" s="126">
        <v>12651.5657409667</v>
      </c>
      <c r="G29" s="126">
        <v>14342.525494384699</v>
      </c>
      <c r="H29" s="126">
        <v>17511.556127929602</v>
      </c>
      <c r="I29" s="126">
        <v>16851.795721435501</v>
      </c>
      <c r="J29" s="126">
        <v>15724.394207763602</v>
      </c>
      <c r="K29" s="126">
        <v>13608.229772949198</v>
      </c>
      <c r="L29" s="126">
        <v>8999.1686157226504</v>
      </c>
      <c r="M29" s="126">
        <v>8997.2904174804607</v>
      </c>
      <c r="N29" s="126">
        <v>12099.511328125</v>
      </c>
      <c r="O29" s="126">
        <v>13976.009350585902</v>
      </c>
    </row>
    <row r="30" spans="1:15">
      <c r="B30" t="s">
        <v>133</v>
      </c>
      <c r="C30" s="99"/>
      <c r="D30" s="99">
        <v>3.3000000000000002E-2</v>
      </c>
      <c r="E30" s="99">
        <v>3.3000000000000002E-2</v>
      </c>
      <c r="F30" s="99">
        <v>3.3000000000000002E-2</v>
      </c>
      <c r="G30" s="99">
        <v>3.3000000000000002E-2</v>
      </c>
      <c r="H30" s="99">
        <v>3.3000000000000002E-2</v>
      </c>
      <c r="I30" s="99">
        <v>3.3000000000000002E-2</v>
      </c>
      <c r="J30" s="99">
        <v>3.3000000000000002E-2</v>
      </c>
      <c r="K30" s="99">
        <v>3.3000000000000002E-2</v>
      </c>
      <c r="L30" s="99">
        <v>3.3000000000000002E-2</v>
      </c>
      <c r="M30" s="99">
        <v>3.3000000000000002E-2</v>
      </c>
      <c r="N30" s="99">
        <v>3.3000000000000002E-2</v>
      </c>
      <c r="O30" s="99">
        <v>3.3000000000000002E-2</v>
      </c>
    </row>
    <row r="31" spans="1:15">
      <c r="B31" t="s">
        <v>158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</row>
    <row r="32" spans="1:15">
      <c r="B32" t="s">
        <v>134</v>
      </c>
      <c r="C32" s="99"/>
      <c r="D32" s="99">
        <v>4.8999999999999998E-3</v>
      </c>
      <c r="E32" s="99">
        <v>4.8999999999999998E-3</v>
      </c>
      <c r="F32" s="99">
        <v>4.8999999999999998E-3</v>
      </c>
      <c r="G32" s="99">
        <v>4.8999999999999998E-3</v>
      </c>
      <c r="H32" s="99">
        <v>4.8999999999999998E-3</v>
      </c>
      <c r="I32" s="99">
        <v>4.8999999999999998E-3</v>
      </c>
      <c r="J32" s="99">
        <v>4.8999999999999998E-3</v>
      </c>
      <c r="K32" s="99">
        <v>4.8999999999999998E-3</v>
      </c>
      <c r="L32" s="99">
        <v>4.8999999999999998E-3</v>
      </c>
      <c r="M32" s="99">
        <v>4.8999999999999998E-3</v>
      </c>
      <c r="N32" s="99">
        <v>4.8999999999999998E-3</v>
      </c>
      <c r="O32" s="99">
        <v>4.8999999999999998E-3</v>
      </c>
    </row>
    <row r="33" spans="2:15">
      <c r="B33" t="s">
        <v>137</v>
      </c>
      <c r="C33" s="99"/>
      <c r="D33" s="99">
        <f>D30+D31+D32</f>
        <v>3.7900000000000003E-2</v>
      </c>
      <c r="E33" s="99">
        <f t="shared" ref="E33:O33" si="7">E30+E31+E32</f>
        <v>3.7900000000000003E-2</v>
      </c>
      <c r="F33" s="99">
        <f t="shared" si="7"/>
        <v>3.7900000000000003E-2</v>
      </c>
      <c r="G33" s="99">
        <f t="shared" si="7"/>
        <v>3.7900000000000003E-2</v>
      </c>
      <c r="H33" s="99">
        <f t="shared" si="7"/>
        <v>3.7900000000000003E-2</v>
      </c>
      <c r="I33" s="99">
        <f t="shared" si="7"/>
        <v>3.7900000000000003E-2</v>
      </c>
      <c r="J33" s="99">
        <f t="shared" si="7"/>
        <v>3.7900000000000003E-2</v>
      </c>
      <c r="K33" s="99">
        <f t="shared" si="7"/>
        <v>3.7900000000000003E-2</v>
      </c>
      <c r="L33" s="99">
        <f t="shared" si="7"/>
        <v>3.7900000000000003E-2</v>
      </c>
      <c r="M33" s="99">
        <f t="shared" si="7"/>
        <v>3.7900000000000003E-2</v>
      </c>
      <c r="N33" s="99">
        <f t="shared" si="7"/>
        <v>3.7900000000000003E-2</v>
      </c>
      <c r="O33" s="99">
        <f t="shared" si="7"/>
        <v>3.7900000000000003E-2</v>
      </c>
    </row>
    <row r="34" spans="2:15">
      <c r="B34" t="s">
        <v>145</v>
      </c>
      <c r="C34" s="99"/>
      <c r="D34" s="107">
        <f>140/((C56/8760)*0.3)</f>
        <v>0.46617412538001174</v>
      </c>
      <c r="E34" s="107">
        <f>D34</f>
        <v>0.46617412538001174</v>
      </c>
      <c r="F34" s="107">
        <f t="shared" ref="F34:O34" si="8">E34</f>
        <v>0.46617412538001174</v>
      </c>
      <c r="G34" s="107">
        <f t="shared" si="8"/>
        <v>0.46617412538001174</v>
      </c>
      <c r="H34" s="107">
        <f t="shared" si="8"/>
        <v>0.46617412538001174</v>
      </c>
      <c r="I34" s="107">
        <f t="shared" si="8"/>
        <v>0.46617412538001174</v>
      </c>
      <c r="J34" s="107">
        <f t="shared" si="8"/>
        <v>0.46617412538001174</v>
      </c>
      <c r="K34" s="107">
        <f t="shared" si="8"/>
        <v>0.46617412538001174</v>
      </c>
      <c r="L34" s="107">
        <f t="shared" si="8"/>
        <v>0.46617412538001174</v>
      </c>
      <c r="M34" s="107">
        <f t="shared" si="8"/>
        <v>0.46617412538001174</v>
      </c>
      <c r="N34" s="107">
        <f t="shared" si="8"/>
        <v>0.46617412538001174</v>
      </c>
      <c r="O34" s="107">
        <f t="shared" si="8"/>
        <v>0.46617412538001174</v>
      </c>
    </row>
    <row r="35" spans="2:15">
      <c r="C35" s="98"/>
    </row>
    <row r="36" spans="2:15">
      <c r="B36" t="s">
        <v>127</v>
      </c>
      <c r="C36" s="98">
        <f>SUM(D36:O36)</f>
        <v>289385.43058354029</v>
      </c>
      <c r="D36" s="3">
        <f>(D28+D29)*(D30/D33)</f>
        <v>27065.045407418427</v>
      </c>
      <c r="E36" s="3">
        <f t="shared" ref="E36:O36" si="9">(E28+E29)*(E30/E33)</f>
        <v>22075.693500931437</v>
      </c>
      <c r="F36" s="3">
        <f t="shared" si="9"/>
        <v>22954.469919008334</v>
      </c>
      <c r="G36" s="3">
        <f t="shared" si="9"/>
        <v>25191.919737320066</v>
      </c>
      <c r="H36" s="3">
        <f t="shared" si="9"/>
        <v>30572.624397056316</v>
      </c>
      <c r="I36" s="3">
        <f t="shared" si="9"/>
        <v>29261.044048862823</v>
      </c>
      <c r="J36" s="3">
        <f t="shared" si="9"/>
        <v>27340.863159984783</v>
      </c>
      <c r="K36" s="3">
        <f t="shared" si="9"/>
        <v>23189.227241777713</v>
      </c>
      <c r="L36" s="3">
        <f t="shared" si="9"/>
        <v>16901.830924564991</v>
      </c>
      <c r="M36" s="3">
        <f t="shared" si="9"/>
        <v>17068.997145841477</v>
      </c>
      <c r="N36" s="3">
        <f t="shared" si="9"/>
        <v>22269.578943740686</v>
      </c>
      <c r="O36" s="3">
        <f t="shared" si="9"/>
        <v>25494.136157033226</v>
      </c>
    </row>
    <row r="37" spans="2:15">
      <c r="B37" t="s">
        <v>128</v>
      </c>
      <c r="C37" s="97">
        <f>SUM(D37:O37)</f>
        <v>8210188.2402831977</v>
      </c>
      <c r="D37" s="24">
        <f>D36*D26</f>
        <v>928098.13579191279</v>
      </c>
      <c r="E37" s="24">
        <f t="shared" ref="E37:O37" si="10">E36*E26</f>
        <v>714726.96231868735</v>
      </c>
      <c r="F37" s="24">
        <f t="shared" si="10"/>
        <v>664647.15408634325</v>
      </c>
      <c r="G37" s="24">
        <f t="shared" si="10"/>
        <v>593761.81473919866</v>
      </c>
      <c r="H37" s="24">
        <f t="shared" si="10"/>
        <v>606944.72071121854</v>
      </c>
      <c r="I37" s="24">
        <f t="shared" si="10"/>
        <v>615556.01821210457</v>
      </c>
      <c r="J37" s="24">
        <f t="shared" si="10"/>
        <v>794625.06988436985</v>
      </c>
      <c r="K37" s="24">
        <f t="shared" si="10"/>
        <v>764092.58399086865</v>
      </c>
      <c r="L37" s="24">
        <f t="shared" si="10"/>
        <v>526859.08699770842</v>
      </c>
      <c r="M37" s="24">
        <f t="shared" si="10"/>
        <v>478762.96791576874</v>
      </c>
      <c r="N37" s="24">
        <f t="shared" si="10"/>
        <v>663602.6988658444</v>
      </c>
      <c r="O37" s="24">
        <f t="shared" si="10"/>
        <v>858511.02676917112</v>
      </c>
    </row>
    <row r="38" spans="2:15">
      <c r="D38" s="24"/>
    </row>
    <row r="39" spans="2:15">
      <c r="B39" t="s">
        <v>129</v>
      </c>
      <c r="C39" s="97">
        <f>SUM(D39:O39)</f>
        <v>1267240.0203904384</v>
      </c>
      <c r="D39" s="24">
        <f>((D36*10.66/11.03)*(D26-$C58))*(1-D34)</f>
        <v>201186.78775250152</v>
      </c>
      <c r="E39" s="24">
        <f t="shared" ref="E39:O39" si="11">((E36*10.66/11.03)*(E26-$C58))*(1-E34)</f>
        <v>142285.96158046633</v>
      </c>
      <c r="F39" s="24">
        <f t="shared" si="11"/>
        <v>107434.25682698531</v>
      </c>
      <c r="G39" s="24">
        <f t="shared" si="11"/>
        <v>47911.155691222099</v>
      </c>
      <c r="H39" s="24">
        <f t="shared" si="11"/>
        <v>-483.44199133845899</v>
      </c>
      <c r="I39" s="24">
        <f t="shared" si="11"/>
        <v>17413.634506709488</v>
      </c>
      <c r="J39" s="24">
        <f t="shared" si="11"/>
        <v>129496.15910537326</v>
      </c>
      <c r="K39" s="24">
        <f t="shared" si="11"/>
        <v>156331.85037723216</v>
      </c>
      <c r="L39" s="24">
        <f t="shared" si="11"/>
        <v>98435.497455287667</v>
      </c>
      <c r="M39" s="24">
        <f t="shared" si="11"/>
        <v>71906.996862240267</v>
      </c>
      <c r="N39" s="24">
        <f t="shared" si="11"/>
        <v>113921.09558478287</v>
      </c>
      <c r="O39" s="24">
        <f t="shared" si="11"/>
        <v>181400.06663897578</v>
      </c>
    </row>
    <row r="41" spans="2:15">
      <c r="B41" t="s">
        <v>130</v>
      </c>
      <c r="C41" s="123">
        <f>SUM(D41:O41)</f>
        <v>6942948.219892757</v>
      </c>
      <c r="D41" s="24">
        <f>D37-D39</f>
        <v>726911.34803941124</v>
      </c>
      <c r="E41" s="24">
        <f t="shared" ref="E41:O41" si="12">E37-E39</f>
        <v>572441.00073822099</v>
      </c>
      <c r="F41" s="24">
        <f t="shared" si="12"/>
        <v>557212.89725935797</v>
      </c>
      <c r="G41" s="24">
        <f t="shared" si="12"/>
        <v>545850.6590479766</v>
      </c>
      <c r="H41" s="24">
        <f t="shared" si="12"/>
        <v>607428.16270255705</v>
      </c>
      <c r="I41" s="24">
        <f t="shared" si="12"/>
        <v>598142.38370539504</v>
      </c>
      <c r="J41" s="24">
        <f t="shared" si="12"/>
        <v>665128.91077899653</v>
      </c>
      <c r="K41" s="24">
        <f t="shared" si="12"/>
        <v>607760.73361363646</v>
      </c>
      <c r="L41" s="24">
        <f t="shared" si="12"/>
        <v>428423.58954242076</v>
      </c>
      <c r="M41" s="24">
        <f t="shared" si="12"/>
        <v>406855.97105352848</v>
      </c>
      <c r="N41" s="24">
        <f t="shared" si="12"/>
        <v>549681.60328106151</v>
      </c>
      <c r="O41" s="24">
        <f t="shared" si="12"/>
        <v>677110.96013019537</v>
      </c>
    </row>
    <row r="42" spans="2:15">
      <c r="B42" t="s">
        <v>131</v>
      </c>
      <c r="C42" s="111">
        <f t="shared" ref="C42:O42" si="13">C41/C36</f>
        <v>23.992044816812069</v>
      </c>
      <c r="D42" s="28">
        <f t="shared" si="13"/>
        <v>26.857939349333869</v>
      </c>
      <c r="E42" s="28">
        <f t="shared" si="13"/>
        <v>25.930827528207349</v>
      </c>
      <c r="F42" s="28">
        <f t="shared" si="13"/>
        <v>24.27470114646108</v>
      </c>
      <c r="G42" s="28">
        <f t="shared" si="13"/>
        <v>21.667688081719991</v>
      </c>
      <c r="H42" s="28">
        <f t="shared" si="13"/>
        <v>19.868368342007408</v>
      </c>
      <c r="I42" s="28">
        <f t="shared" si="13"/>
        <v>20.441594042460039</v>
      </c>
      <c r="J42" s="28">
        <f t="shared" si="13"/>
        <v>24.327282825234942</v>
      </c>
      <c r="K42" s="28">
        <f t="shared" si="13"/>
        <v>26.208753197204203</v>
      </c>
      <c r="L42" s="28">
        <f t="shared" si="13"/>
        <v>25.347762112550374</v>
      </c>
      <c r="M42" s="28">
        <f t="shared" si="13"/>
        <v>23.835962217185727</v>
      </c>
      <c r="N42" s="28">
        <f t="shared" si="13"/>
        <v>24.683071227781817</v>
      </c>
      <c r="O42" s="28">
        <f t="shared" si="13"/>
        <v>26.559478460437912</v>
      </c>
    </row>
    <row r="44" spans="2:15">
      <c r="B44" t="s">
        <v>161</v>
      </c>
      <c r="C44" s="98">
        <f>SUM(D44:O44)</f>
        <v>0</v>
      </c>
      <c r="D44" s="3">
        <f>(D28+D29)*(D31/D33)</f>
        <v>0</v>
      </c>
      <c r="E44" s="3">
        <f t="shared" ref="E44:O44" si="14">(E28+E29)*(E31/E33)</f>
        <v>0</v>
      </c>
      <c r="F44" s="3">
        <f t="shared" si="14"/>
        <v>0</v>
      </c>
      <c r="G44" s="3">
        <f t="shared" si="14"/>
        <v>0</v>
      </c>
      <c r="H44" s="3">
        <f t="shared" si="14"/>
        <v>0</v>
      </c>
      <c r="I44" s="3">
        <f t="shared" si="14"/>
        <v>0</v>
      </c>
      <c r="J44" s="3">
        <f t="shared" si="14"/>
        <v>0</v>
      </c>
      <c r="K44" s="3">
        <f t="shared" si="14"/>
        <v>0</v>
      </c>
      <c r="L44" s="3">
        <f t="shared" si="14"/>
        <v>0</v>
      </c>
      <c r="M44" s="3">
        <f t="shared" si="14"/>
        <v>0</v>
      </c>
      <c r="N44" s="3">
        <f t="shared" si="14"/>
        <v>0</v>
      </c>
      <c r="O44" s="3">
        <f t="shared" si="14"/>
        <v>0</v>
      </c>
    </row>
    <row r="45" spans="2:15">
      <c r="B45" t="s">
        <v>146</v>
      </c>
      <c r="D45" s="109">
        <f>$C58</f>
        <v>19.883205427437549</v>
      </c>
      <c r="E45" s="109">
        <f t="shared" ref="E45:O45" si="15">$C58</f>
        <v>19.883205427437549</v>
      </c>
      <c r="F45" s="109">
        <f t="shared" si="15"/>
        <v>19.883205427437549</v>
      </c>
      <c r="G45" s="109">
        <f t="shared" si="15"/>
        <v>19.883205427437549</v>
      </c>
      <c r="H45" s="109">
        <f t="shared" si="15"/>
        <v>19.883205427437549</v>
      </c>
      <c r="I45" s="109">
        <f t="shared" si="15"/>
        <v>19.883205427437549</v>
      </c>
      <c r="J45" s="109">
        <f t="shared" si="15"/>
        <v>19.883205427437549</v>
      </c>
      <c r="K45" s="109">
        <f t="shared" si="15"/>
        <v>19.883205427437549</v>
      </c>
      <c r="L45" s="109">
        <f t="shared" si="15"/>
        <v>19.883205427437549</v>
      </c>
      <c r="M45" s="109">
        <f t="shared" si="15"/>
        <v>19.883205427437549</v>
      </c>
      <c r="N45" s="109">
        <f t="shared" si="15"/>
        <v>19.883205427437549</v>
      </c>
      <c r="O45" s="109">
        <f t="shared" si="15"/>
        <v>19.883205427437549</v>
      </c>
    </row>
    <row r="46" spans="2:15">
      <c r="B46" t="s">
        <v>162</v>
      </c>
      <c r="C46" s="124">
        <f>SUM(D46:O46)</f>
        <v>0</v>
      </c>
      <c r="D46" s="24">
        <f>D44*D45</f>
        <v>0</v>
      </c>
      <c r="E46" s="24">
        <f t="shared" ref="E46:O46" si="16">E44*E45</f>
        <v>0</v>
      </c>
      <c r="F46" s="24">
        <f t="shared" si="16"/>
        <v>0</v>
      </c>
      <c r="G46" s="24">
        <f t="shared" si="16"/>
        <v>0</v>
      </c>
      <c r="H46" s="24">
        <f t="shared" si="16"/>
        <v>0</v>
      </c>
      <c r="I46" s="24">
        <f t="shared" si="16"/>
        <v>0</v>
      </c>
      <c r="J46" s="24">
        <f t="shared" si="16"/>
        <v>0</v>
      </c>
      <c r="K46" s="24">
        <f t="shared" si="16"/>
        <v>0</v>
      </c>
      <c r="L46" s="24">
        <f t="shared" si="16"/>
        <v>0</v>
      </c>
      <c r="M46" s="24">
        <f t="shared" si="16"/>
        <v>0</v>
      </c>
      <c r="N46" s="24">
        <f t="shared" si="16"/>
        <v>0</v>
      </c>
      <c r="O46" s="24">
        <f t="shared" si="16"/>
        <v>0</v>
      </c>
    </row>
    <row r="47" spans="2:15">
      <c r="C47" s="111"/>
      <c r="D47" s="24"/>
    </row>
    <row r="48" spans="2:15">
      <c r="B48" t="s">
        <v>136</v>
      </c>
      <c r="C48" s="98">
        <f>SUM(D48:O48)</f>
        <v>42969.351813919617</v>
      </c>
      <c r="D48" s="3">
        <f>(D28+D29)*(D32/D33)</f>
        <v>4018.7491665560692</v>
      </c>
      <c r="E48" s="3">
        <f t="shared" ref="E48:O48" si="17">(E28+E29)*(E32/E33)</f>
        <v>3277.906004683759</v>
      </c>
      <c r="F48" s="3">
        <f t="shared" si="17"/>
        <v>3408.3909879739645</v>
      </c>
      <c r="G48" s="3">
        <f t="shared" si="17"/>
        <v>3740.6183852384338</v>
      </c>
      <c r="H48" s="3">
        <f t="shared" si="17"/>
        <v>4539.5715013810895</v>
      </c>
      <c r="I48" s="3">
        <f t="shared" si="17"/>
        <v>4344.8216921038738</v>
      </c>
      <c r="J48" s="3">
        <f t="shared" si="17"/>
        <v>4059.7039237553163</v>
      </c>
      <c r="K48" s="3">
        <f t="shared" si="17"/>
        <v>3443.2488934760845</v>
      </c>
      <c r="L48" s="3">
        <f t="shared" si="17"/>
        <v>2509.6658039505592</v>
      </c>
      <c r="M48" s="3">
        <f t="shared" si="17"/>
        <v>2534.4874549885826</v>
      </c>
      <c r="N48" s="3">
        <f t="shared" si="17"/>
        <v>3306.6950552827079</v>
      </c>
      <c r="O48" s="3">
        <f t="shared" si="17"/>
        <v>3785.4929445291759</v>
      </c>
    </row>
    <row r="49" spans="2:15">
      <c r="B49" t="s">
        <v>146</v>
      </c>
      <c r="D49" s="109">
        <f>$C58</f>
        <v>19.883205427437549</v>
      </c>
      <c r="E49" s="109">
        <f t="shared" ref="E49:O49" si="18">$C58</f>
        <v>19.883205427437549</v>
      </c>
      <c r="F49" s="109">
        <f t="shared" si="18"/>
        <v>19.883205427437549</v>
      </c>
      <c r="G49" s="109">
        <f t="shared" si="18"/>
        <v>19.883205427437549</v>
      </c>
      <c r="H49" s="109">
        <f t="shared" si="18"/>
        <v>19.883205427437549</v>
      </c>
      <c r="I49" s="109">
        <f t="shared" si="18"/>
        <v>19.883205427437549</v>
      </c>
      <c r="J49" s="109">
        <f t="shared" si="18"/>
        <v>19.883205427437549</v>
      </c>
      <c r="K49" s="109">
        <f t="shared" si="18"/>
        <v>19.883205427437549</v>
      </c>
      <c r="L49" s="109">
        <f t="shared" si="18"/>
        <v>19.883205427437549</v>
      </c>
      <c r="M49" s="109">
        <f t="shared" si="18"/>
        <v>19.883205427437549</v>
      </c>
      <c r="N49" s="109">
        <f t="shared" si="18"/>
        <v>19.883205427437549</v>
      </c>
      <c r="O49" s="109">
        <f t="shared" si="18"/>
        <v>19.883205427437549</v>
      </c>
    </row>
    <row r="50" spans="2:15">
      <c r="B50" t="s">
        <v>135</v>
      </c>
      <c r="C50" s="124">
        <f>SUM(D50:O50)</f>
        <v>854368.44919999992</v>
      </c>
      <c r="D50" s="24">
        <f>D48*D49</f>
        <v>79905.615239977764</v>
      </c>
      <c r="E50" s="24">
        <f t="shared" ref="E50:O50" si="19">E48*E49</f>
        <v>65175.278462958246</v>
      </c>
      <c r="F50" s="24">
        <f t="shared" si="19"/>
        <v>67769.738190913165</v>
      </c>
      <c r="G50" s="24">
        <f t="shared" si="19"/>
        <v>74375.483779345508</v>
      </c>
      <c r="H50" s="24">
        <f t="shared" si="19"/>
        <v>90261.232714501297</v>
      </c>
      <c r="I50" s="24">
        <f t="shared" si="19"/>
        <v>86388.982249688139</v>
      </c>
      <c r="J50" s="24">
        <f t="shared" si="19"/>
        <v>80719.927090601224</v>
      </c>
      <c r="K50" s="24">
        <f t="shared" si="19"/>
        <v>68462.825086782017</v>
      </c>
      <c r="L50" s="24">
        <f t="shared" si="19"/>
        <v>49900.20073416418</v>
      </c>
      <c r="M50" s="24">
        <f t="shared" si="19"/>
        <v>50393.734720801367</v>
      </c>
      <c r="N50" s="24">
        <f t="shared" si="19"/>
        <v>65747.697070078037</v>
      </c>
      <c r="O50" s="24">
        <f t="shared" si="19"/>
        <v>75267.733860189051</v>
      </c>
    </row>
    <row r="51" spans="2:15">
      <c r="B51" t="s">
        <v>148</v>
      </c>
      <c r="C51" s="111">
        <f>C50/C48</f>
        <v>19.883205427437545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2:15"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2:15">
      <c r="B53" t="s">
        <v>149</v>
      </c>
      <c r="C53" s="124">
        <f>SUM(D53:O53)</f>
        <v>7797316.6690927567</v>
      </c>
      <c r="D53" s="24">
        <f>D41+D46+D50</f>
        <v>806816.96327938896</v>
      </c>
      <c r="E53" s="24">
        <f t="shared" ref="E53:O53" si="20">E41+E46+E50</f>
        <v>637616.27920117928</v>
      </c>
      <c r="F53" s="24">
        <f t="shared" si="20"/>
        <v>624982.63545027119</v>
      </c>
      <c r="G53" s="24">
        <f t="shared" si="20"/>
        <v>620226.14282732212</v>
      </c>
      <c r="H53" s="24">
        <f t="shared" si="20"/>
        <v>697689.39541705837</v>
      </c>
      <c r="I53" s="24">
        <f t="shared" si="20"/>
        <v>684531.36595508317</v>
      </c>
      <c r="J53" s="24">
        <f t="shared" si="20"/>
        <v>745848.83786959772</v>
      </c>
      <c r="K53" s="24">
        <f t="shared" si="20"/>
        <v>676223.55870041845</v>
      </c>
      <c r="L53" s="24">
        <f t="shared" si="20"/>
        <v>478323.79027658491</v>
      </c>
      <c r="M53" s="24">
        <f t="shared" si="20"/>
        <v>457249.70577432984</v>
      </c>
      <c r="N53" s="24">
        <f t="shared" si="20"/>
        <v>615429.30035113951</v>
      </c>
      <c r="O53" s="24">
        <f t="shared" si="20"/>
        <v>752378.69399038446</v>
      </c>
    </row>
    <row r="54" spans="2:15">
      <c r="B54" t="s">
        <v>150</v>
      </c>
      <c r="C54" s="111">
        <f>C53/(C28+C29)</f>
        <v>23.460822837710879</v>
      </c>
    </row>
    <row r="56" spans="2:15">
      <c r="B56" t="s">
        <v>185</v>
      </c>
      <c r="C56" s="106">
        <f>SUM(D56:O56)</f>
        <v>8769255.4722284935</v>
      </c>
      <c r="D56" s="55">
        <f>(D28+D29)/D33</f>
        <v>820152.89113389165</v>
      </c>
      <c r="E56" s="55">
        <f>(E28+E29)/E33</f>
        <v>668960.40911913442</v>
      </c>
      <c r="F56" s="55">
        <f t="shared" ref="F56:O56" si="21">(F28+F29)/F33</f>
        <v>695589.99754570704</v>
      </c>
      <c r="G56" s="55">
        <f t="shared" si="21"/>
        <v>763391.50719151716</v>
      </c>
      <c r="H56" s="55">
        <f t="shared" si="21"/>
        <v>926443.16354716104</v>
      </c>
      <c r="I56" s="55">
        <f t="shared" si="21"/>
        <v>886698.30451099458</v>
      </c>
      <c r="J56" s="55">
        <f t="shared" si="21"/>
        <v>828511.00484802376</v>
      </c>
      <c r="K56" s="55">
        <f t="shared" si="21"/>
        <v>702703.85581144574</v>
      </c>
      <c r="L56" s="55">
        <f t="shared" si="21"/>
        <v>512176.69468378759</v>
      </c>
      <c r="M56" s="55">
        <f t="shared" si="21"/>
        <v>517242.33775277197</v>
      </c>
      <c r="N56" s="55">
        <f t="shared" si="21"/>
        <v>674835.72556789964</v>
      </c>
      <c r="O56" s="55">
        <f t="shared" si="21"/>
        <v>772549.58051615837</v>
      </c>
    </row>
    <row r="57" spans="2:15">
      <c r="B57" t="s">
        <v>149</v>
      </c>
      <c r="C57" s="108">
        <v>174360908</v>
      </c>
    </row>
    <row r="58" spans="2:15">
      <c r="B58" t="s">
        <v>187</v>
      </c>
      <c r="C58" s="28">
        <f>C57/C56</f>
        <v>19.883205427437549</v>
      </c>
    </row>
  </sheetData>
  <phoneticPr fontId="6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682"/>
  <sheetViews>
    <sheetView view="pageLayout" topLeftCell="B1" zoomScaleNormal="100" workbookViewId="0">
      <selection activeCell="F4" sqref="E4:F4"/>
    </sheetView>
  </sheetViews>
  <sheetFormatPr defaultColWidth="11.42578125" defaultRowHeight="12.75"/>
  <cols>
    <col min="1" max="1" width="6.140625" style="4" customWidth="1"/>
    <col min="2" max="2" width="39.140625" customWidth="1"/>
    <col min="3" max="3" width="9" customWidth="1"/>
    <col min="4" max="4" width="15.28515625" customWidth="1"/>
    <col min="5" max="5" width="13" customWidth="1"/>
    <col min="6" max="6" width="14.85546875" style="3" customWidth="1"/>
    <col min="7" max="7" width="13.140625" style="3" customWidth="1"/>
    <col min="8" max="8" width="14.7109375" style="3" hidden="1" customWidth="1"/>
    <col min="9" max="9" width="18.7109375" style="19" customWidth="1"/>
    <col min="10" max="10" width="15.85546875" customWidth="1"/>
    <col min="11" max="11" width="12" customWidth="1"/>
  </cols>
  <sheetData>
    <row r="1" spans="1:22">
      <c r="A1" s="7"/>
      <c r="B1" s="7"/>
      <c r="C1" s="13" t="s">
        <v>31</v>
      </c>
      <c r="F1"/>
      <c r="G1"/>
      <c r="H1"/>
      <c r="I1"/>
    </row>
    <row r="2" spans="1:22">
      <c r="A2" s="7"/>
      <c r="B2" s="7"/>
      <c r="C2" s="13" t="s">
        <v>171</v>
      </c>
      <c r="F2"/>
      <c r="G2"/>
      <c r="H2"/>
      <c r="I2"/>
    </row>
    <row r="3" spans="1:22">
      <c r="A3" s="9"/>
      <c r="B3" s="7"/>
      <c r="C3" s="13" t="s">
        <v>232</v>
      </c>
      <c r="F3"/>
      <c r="G3"/>
      <c r="H3"/>
      <c r="I3" s="71"/>
    </row>
    <row r="4" spans="1:22">
      <c r="A4" s="9"/>
      <c r="B4" s="7"/>
      <c r="C4" s="149" t="s">
        <v>225</v>
      </c>
      <c r="F4"/>
      <c r="G4"/>
      <c r="H4"/>
      <c r="I4" s="71"/>
    </row>
    <row r="5" spans="1:22" ht="12.75" customHeight="1">
      <c r="A5" s="5"/>
      <c r="C5" s="125"/>
      <c r="D5" s="10"/>
      <c r="E5" s="10"/>
      <c r="F5" s="10"/>
      <c r="G5" s="10"/>
      <c r="H5" s="10" t="s">
        <v>125</v>
      </c>
      <c r="I5" s="81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0">
        <v>2016</v>
      </c>
      <c r="E6" s="10"/>
      <c r="F6" s="10" t="s">
        <v>233</v>
      </c>
      <c r="G6" s="52"/>
      <c r="H6" s="52" t="s">
        <v>124</v>
      </c>
      <c r="I6" s="82"/>
    </row>
    <row r="7" spans="1:22">
      <c r="A7" s="44" t="s">
        <v>1</v>
      </c>
      <c r="D7" s="14" t="s">
        <v>2</v>
      </c>
      <c r="E7" s="1" t="s">
        <v>3</v>
      </c>
      <c r="F7" s="14" t="s">
        <v>207</v>
      </c>
      <c r="G7" s="14"/>
      <c r="H7" s="14" t="s">
        <v>152</v>
      </c>
      <c r="I7" s="85" t="s">
        <v>115</v>
      </c>
      <c r="J7" s="78" t="s">
        <v>32</v>
      </c>
      <c r="K7" s="46">
        <v>42004</v>
      </c>
      <c r="L7" s="46">
        <v>42035</v>
      </c>
      <c r="M7" s="46">
        <v>42063</v>
      </c>
      <c r="N7" s="46">
        <v>42094</v>
      </c>
      <c r="O7" s="46">
        <v>41759</v>
      </c>
      <c r="P7" s="46">
        <v>41790</v>
      </c>
      <c r="Q7" s="46">
        <v>41820</v>
      </c>
      <c r="R7" s="46">
        <v>41851</v>
      </c>
      <c r="S7" s="46">
        <v>41882</v>
      </c>
      <c r="T7" s="46">
        <v>41912</v>
      </c>
      <c r="U7" s="46">
        <v>41943</v>
      </c>
      <c r="V7" s="46">
        <v>41973</v>
      </c>
    </row>
    <row r="8" spans="1:22">
      <c r="A8" s="5"/>
      <c r="B8" s="6" t="s">
        <v>4</v>
      </c>
      <c r="D8" s="8"/>
      <c r="E8" s="11"/>
      <c r="F8" s="8"/>
      <c r="G8" s="8"/>
      <c r="H8" s="8"/>
      <c r="I8" s="18"/>
    </row>
    <row r="9" spans="1:22">
      <c r="A9" s="5">
        <f t="shared" ref="A9:A15" si="0">A8+1</f>
        <v>1</v>
      </c>
      <c r="B9" t="s">
        <v>213</v>
      </c>
      <c r="D9" s="17">
        <v>0</v>
      </c>
      <c r="E9" s="17">
        <f t="shared" ref="E9:E14" si="1">F9-D9</f>
        <v>7501.8146585263612</v>
      </c>
      <c r="F9" s="17">
        <f>'WGJ-4'!C13/1000</f>
        <v>7501.8146585263612</v>
      </c>
      <c r="G9" s="17"/>
      <c r="H9" s="17">
        <v>20917.018981429192</v>
      </c>
      <c r="I9" s="93" t="s">
        <v>120</v>
      </c>
      <c r="J9" s="3">
        <f t="shared" ref="J9:J13" si="2">SUM(K9:V9)/1000</f>
        <v>7501.8146585263612</v>
      </c>
      <c r="K9" s="55">
        <f>'WGJ-4'!D13</f>
        <v>248179.41999328299</v>
      </c>
      <c r="L9" s="55">
        <f>'WGJ-4'!E13</f>
        <v>355812.189996242</v>
      </c>
      <c r="M9" s="55">
        <f>'WGJ-4'!F13</f>
        <v>358439.52172994602</v>
      </c>
      <c r="N9" s="55">
        <f>'WGJ-4'!G13</f>
        <v>39417.0303542166</v>
      </c>
      <c r="O9" s="55">
        <f>'WGJ-4'!H13</f>
        <v>119958.53686034601</v>
      </c>
      <c r="P9" s="55">
        <f>'WGJ-4'!I13</f>
        <v>349745.34623622801</v>
      </c>
      <c r="Q9" s="55">
        <f>'WGJ-4'!J13</f>
        <v>1008453.17882299</v>
      </c>
      <c r="R9" s="55">
        <f>'WGJ-4'!K13</f>
        <v>1837510.8673095698</v>
      </c>
      <c r="S9" s="55">
        <f>'WGJ-4'!L13</f>
        <v>1092127.9654026001</v>
      </c>
      <c r="T9" s="55">
        <f>'WGJ-4'!M13</f>
        <v>1076749.3669032999</v>
      </c>
      <c r="U9" s="55">
        <f>'WGJ-4'!N13</f>
        <v>554517.72952079703</v>
      </c>
      <c r="V9" s="55">
        <f>'WGJ-4'!O13</f>
        <v>460903.50539684197</v>
      </c>
    </row>
    <row r="10" spans="1:22">
      <c r="A10" s="5">
        <f t="shared" si="0"/>
        <v>2</v>
      </c>
      <c r="B10" t="s">
        <v>214</v>
      </c>
      <c r="D10" s="87">
        <v>50274</v>
      </c>
      <c r="E10" s="18">
        <f t="shared" si="1"/>
        <v>-50274</v>
      </c>
      <c r="F10" s="127">
        <v>0</v>
      </c>
      <c r="G10" s="17"/>
      <c r="H10" s="17"/>
      <c r="I10" s="93"/>
      <c r="J10" s="3">
        <f t="shared" si="2"/>
        <v>0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22">
      <c r="A11" s="5">
        <f t="shared" si="0"/>
        <v>3</v>
      </c>
      <c r="B11" t="s">
        <v>215</v>
      </c>
      <c r="D11" s="87">
        <v>0</v>
      </c>
      <c r="E11" s="18">
        <f t="shared" si="1"/>
        <v>87</v>
      </c>
      <c r="F11" s="127">
        <v>87</v>
      </c>
      <c r="G11" s="17"/>
      <c r="H11" s="17"/>
      <c r="I11" s="93"/>
      <c r="J11" s="3">
        <f t="shared" si="2"/>
        <v>87.452703051781299</v>
      </c>
      <c r="K11" s="55">
        <v>-287720.16214099666</v>
      </c>
      <c r="L11" s="55">
        <v>-133308.7586924432</v>
      </c>
      <c r="M11" s="55">
        <v>99542.839822359092</v>
      </c>
      <c r="N11" s="55">
        <v>406448.79074096645</v>
      </c>
      <c r="O11" s="55">
        <v>171165.69981575001</v>
      </c>
      <c r="P11" s="55">
        <v>130298.9141047</v>
      </c>
      <c r="Q11" s="55">
        <v>-37972.516961395595</v>
      </c>
      <c r="R11" s="55">
        <v>-122149.4068741798</v>
      </c>
      <c r="S11" s="55">
        <v>-50391.311484575199</v>
      </c>
      <c r="T11" s="55">
        <v>29387.375076115</v>
      </c>
      <c r="U11" s="55">
        <v>-10606.535810232159</v>
      </c>
      <c r="V11" s="55">
        <v>-107242.2245442866</v>
      </c>
    </row>
    <row r="12" spans="1:22">
      <c r="A12" s="5">
        <f t="shared" si="0"/>
        <v>4</v>
      </c>
      <c r="B12" t="s">
        <v>184</v>
      </c>
      <c r="D12" s="87">
        <v>12044</v>
      </c>
      <c r="E12" s="18">
        <f t="shared" si="1"/>
        <v>2803</v>
      </c>
      <c r="F12" s="87">
        <v>14847</v>
      </c>
      <c r="G12" s="21"/>
      <c r="H12" s="21"/>
      <c r="I12" s="18"/>
      <c r="J12" s="3">
        <f t="shared" si="2"/>
        <v>14846.644</v>
      </c>
      <c r="K12" s="54">
        <v>1277785</v>
      </c>
      <c r="L12" s="54">
        <v>1277785</v>
      </c>
      <c r="M12" s="54">
        <v>1277785</v>
      </c>
      <c r="N12" s="54">
        <v>1277785</v>
      </c>
      <c r="O12" s="54">
        <v>1216938</v>
      </c>
      <c r="P12" s="54">
        <v>1216938</v>
      </c>
      <c r="Q12" s="54">
        <v>1216938</v>
      </c>
      <c r="R12" s="54">
        <v>1216938</v>
      </c>
      <c r="S12" s="54">
        <v>1216938</v>
      </c>
      <c r="T12" s="54">
        <v>1216938</v>
      </c>
      <c r="U12" s="54">
        <v>1216938</v>
      </c>
      <c r="V12" s="54">
        <v>1216938</v>
      </c>
    </row>
    <row r="13" spans="1:22">
      <c r="A13" s="5">
        <f t="shared" si="0"/>
        <v>5</v>
      </c>
      <c r="B13" t="s">
        <v>174</v>
      </c>
      <c r="D13" s="87">
        <v>1772</v>
      </c>
      <c r="E13" s="18">
        <f t="shared" si="1"/>
        <v>1214</v>
      </c>
      <c r="F13" s="87">
        <v>2986</v>
      </c>
      <c r="G13" s="21"/>
      <c r="H13" s="21">
        <v>1177</v>
      </c>
      <c r="I13" s="18"/>
      <c r="J13" s="3">
        <f t="shared" si="2"/>
        <v>2986.0264845334673</v>
      </c>
      <c r="K13" s="54">
        <v>289265.21551600815</v>
      </c>
      <c r="L13" s="54">
        <v>269236.32951112255</v>
      </c>
      <c r="M13" s="54">
        <v>295280.63470104733</v>
      </c>
      <c r="N13" s="54">
        <v>317413.59026723984</v>
      </c>
      <c r="O13" s="54">
        <v>157342</v>
      </c>
      <c r="P13" s="54">
        <v>157342</v>
      </c>
      <c r="Q13" s="54">
        <v>157342</v>
      </c>
      <c r="R13" s="54">
        <v>157342</v>
      </c>
      <c r="S13" s="54">
        <v>286679.05967389501</v>
      </c>
      <c r="T13" s="54">
        <v>294565.94436274807</v>
      </c>
      <c r="U13" s="54">
        <v>306181.82501782465</v>
      </c>
      <c r="V13" s="54">
        <v>298035.88548358181</v>
      </c>
    </row>
    <row r="14" spans="1:22">
      <c r="A14" s="5">
        <f t="shared" si="0"/>
        <v>6</v>
      </c>
      <c r="B14" t="s">
        <v>147</v>
      </c>
      <c r="D14" s="87">
        <v>6801</v>
      </c>
      <c r="E14" s="18">
        <f t="shared" si="1"/>
        <v>996.31666909275646</v>
      </c>
      <c r="F14" s="87">
        <f>Index!C53/1000</f>
        <v>7797.3166690927565</v>
      </c>
      <c r="G14" s="92"/>
      <c r="H14" s="18">
        <v>0</v>
      </c>
      <c r="I14" s="92" t="s">
        <v>132</v>
      </c>
      <c r="J14" s="3">
        <f t="shared" ref="J14:J27" si="3">SUM(K14:V14)/1000</f>
        <v>7797.3166690927565</v>
      </c>
      <c r="K14" s="54">
        <f>Index!D53</f>
        <v>806816.96327938896</v>
      </c>
      <c r="L14" s="54">
        <f>Index!E53</f>
        <v>637616.27920117928</v>
      </c>
      <c r="M14" s="54">
        <f>Index!F53</f>
        <v>624982.63545027119</v>
      </c>
      <c r="N14" s="54">
        <f>Index!G53</f>
        <v>620226.14282732212</v>
      </c>
      <c r="O14" s="54">
        <f>Index!H53</f>
        <v>697689.39541705837</v>
      </c>
      <c r="P14" s="54">
        <f>Index!I53</f>
        <v>684531.36595508317</v>
      </c>
      <c r="Q14" s="54">
        <f>Index!J53</f>
        <v>745848.83786959772</v>
      </c>
      <c r="R14" s="54">
        <f>Index!K53</f>
        <v>676223.55870041845</v>
      </c>
      <c r="S14" s="54">
        <f>Index!L53</f>
        <v>478323.79027658491</v>
      </c>
      <c r="T14" s="54">
        <f>Index!M53</f>
        <v>457249.70577432984</v>
      </c>
      <c r="U14" s="54">
        <f>Index!N53</f>
        <v>615429.30035113951</v>
      </c>
      <c r="V14" s="54">
        <f>Index!O53</f>
        <v>752378.69399038446</v>
      </c>
    </row>
    <row r="15" spans="1:22">
      <c r="A15" s="5">
        <f t="shared" si="0"/>
        <v>7</v>
      </c>
      <c r="B15" t="s">
        <v>118</v>
      </c>
      <c r="D15" s="87">
        <v>1081</v>
      </c>
      <c r="E15" s="87">
        <f t="shared" ref="E15:E23" si="4">F15-D15</f>
        <v>-532</v>
      </c>
      <c r="F15" s="87">
        <v>549</v>
      </c>
      <c r="G15" s="87" t="s">
        <v>156</v>
      </c>
      <c r="H15" s="89">
        <v>5512</v>
      </c>
      <c r="I15" s="18"/>
      <c r="J15" s="3">
        <f t="shared" si="3"/>
        <v>548.7746462140409</v>
      </c>
      <c r="K15" s="54">
        <v>21844.800609860162</v>
      </c>
      <c r="L15" s="54">
        <v>16540.810474147202</v>
      </c>
      <c r="M15" s="54">
        <v>38932.986251484093</v>
      </c>
      <c r="N15" s="54">
        <v>69432.877457697599</v>
      </c>
      <c r="O15" s="54">
        <v>86349.310969360318</v>
      </c>
      <c r="P15" s="54">
        <v>93361.886744767195</v>
      </c>
      <c r="Q15" s="54">
        <v>79511.640537240019</v>
      </c>
      <c r="R15" s="54">
        <v>56643.508207642313</v>
      </c>
      <c r="S15" s="54">
        <v>23213.0898675432</v>
      </c>
      <c r="T15" s="54">
        <v>25394.777501472719</v>
      </c>
      <c r="U15" s="54">
        <v>17736.975616026419</v>
      </c>
      <c r="V15" s="54">
        <v>19811.981976799681</v>
      </c>
    </row>
    <row r="16" spans="1:22">
      <c r="A16" s="5">
        <f t="shared" ref="A16:A26" si="5">A15+1</f>
        <v>8</v>
      </c>
      <c r="B16" t="s">
        <v>169</v>
      </c>
      <c r="D16" s="87">
        <v>22657</v>
      </c>
      <c r="E16" s="87">
        <f t="shared" si="4"/>
        <v>935</v>
      </c>
      <c r="F16" s="89">
        <v>23592</v>
      </c>
      <c r="G16" s="89"/>
      <c r="H16" s="89"/>
      <c r="I16" s="18"/>
      <c r="J16" s="3">
        <f t="shared" si="3"/>
        <v>23592.436006999997</v>
      </c>
      <c r="K16" s="54">
        <v>1973116.6086666666</v>
      </c>
      <c r="L16" s="54">
        <v>1973116.6086666666</v>
      </c>
      <c r="M16" s="54">
        <v>1973116.6086666666</v>
      </c>
      <c r="N16" s="54">
        <v>1973116.6086666666</v>
      </c>
      <c r="O16" s="54">
        <v>1958956.0591666668</v>
      </c>
      <c r="P16" s="54">
        <v>1958956.0591666668</v>
      </c>
      <c r="Q16" s="54">
        <v>1958956.0591666668</v>
      </c>
      <c r="R16" s="54">
        <v>1958956.0591666668</v>
      </c>
      <c r="S16" s="54">
        <v>1944795.5096666666</v>
      </c>
      <c r="T16" s="54">
        <v>1973116.6086666666</v>
      </c>
      <c r="U16" s="54">
        <v>1973116.6086666666</v>
      </c>
      <c r="V16" s="54">
        <v>1973116.6086666666</v>
      </c>
    </row>
    <row r="17" spans="1:22">
      <c r="A17" s="5">
        <f t="shared" si="5"/>
        <v>9</v>
      </c>
      <c r="B17" t="s">
        <v>168</v>
      </c>
      <c r="D17" s="87">
        <v>2701</v>
      </c>
      <c r="E17" s="87">
        <f t="shared" si="4"/>
        <v>481.32551167815791</v>
      </c>
      <c r="F17" s="89">
        <f>J17</f>
        <v>3182.3255116781579</v>
      </c>
      <c r="G17" s="89"/>
      <c r="H17" s="89"/>
      <c r="I17" s="18"/>
      <c r="J17" s="3">
        <f t="shared" si="3"/>
        <v>3182.3255116781579</v>
      </c>
      <c r="K17" s="54">
        <f>'WGJ-4'!D33*2.09</f>
        <v>368841.66760546871</v>
      </c>
      <c r="L17" s="54">
        <f>'WGJ-4'!E33*2.09</f>
        <v>313505.27071874996</v>
      </c>
      <c r="M17" s="54">
        <f>'WGJ-4'!F33*2.09</f>
        <v>313116.380704101</v>
      </c>
      <c r="N17" s="54">
        <f>'WGJ-4'!G33*2.09</f>
        <v>258218.70168225063</v>
      </c>
      <c r="O17" s="54">
        <f>'WGJ-4'!H33*2.09</f>
        <v>80883.312581542807</v>
      </c>
      <c r="P17" s="54">
        <f>'WGJ-4'!I33*2.09</f>
        <v>72389.601833801265</v>
      </c>
      <c r="Q17" s="54">
        <f>'WGJ-4'!J33*2.09</f>
        <v>225564.86250439423</v>
      </c>
      <c r="R17" s="54">
        <f>'WGJ-4'!K33*2.09</f>
        <v>285563.95234081976</v>
      </c>
      <c r="S17" s="54">
        <f>'WGJ-4'!L33*2.09</f>
        <v>295924.8222089833</v>
      </c>
      <c r="T17" s="54">
        <f>'WGJ-4'!M33*2.09</f>
        <v>303336.28611816349</v>
      </c>
      <c r="U17" s="54">
        <f>'WGJ-4'!N33*2.09</f>
        <v>304834.51302734372</v>
      </c>
      <c r="V17" s="54">
        <f>'WGJ-4'!O33*2.09</f>
        <v>360146.1403525385</v>
      </c>
    </row>
    <row r="18" spans="1:22">
      <c r="A18" s="5">
        <f t="shared" si="5"/>
        <v>10</v>
      </c>
      <c r="B18" t="s">
        <v>5</v>
      </c>
      <c r="D18" s="87">
        <v>15637</v>
      </c>
      <c r="E18" s="18">
        <f t="shared" si="4"/>
        <v>1956</v>
      </c>
      <c r="F18" s="87">
        <v>17593</v>
      </c>
      <c r="G18" s="18" t="s">
        <v>156</v>
      </c>
      <c r="H18" s="18">
        <v>-2690</v>
      </c>
      <c r="I18" s="94" t="s">
        <v>157</v>
      </c>
      <c r="J18" s="3">
        <f t="shared" si="3"/>
        <v>17593.213050000002</v>
      </c>
      <c r="K18" s="55">
        <v>3614260.5</v>
      </c>
      <c r="L18" s="55">
        <v>3244590</v>
      </c>
      <c r="M18" s="55">
        <v>1802875.05</v>
      </c>
      <c r="N18" s="55">
        <v>1767237.75</v>
      </c>
      <c r="O18" s="55"/>
      <c r="P18" s="55"/>
      <c r="Q18" s="55"/>
      <c r="R18" s="55"/>
      <c r="S18" s="55"/>
      <c r="T18" s="55"/>
      <c r="U18" s="55">
        <v>3521399.625</v>
      </c>
      <c r="V18" s="55">
        <v>3642850.1250000005</v>
      </c>
    </row>
    <row r="19" spans="1:22">
      <c r="A19" s="5">
        <f t="shared" si="5"/>
        <v>11</v>
      </c>
      <c r="B19" t="s">
        <v>6</v>
      </c>
      <c r="D19" s="87">
        <v>8</v>
      </c>
      <c r="E19" s="18">
        <f t="shared" si="4"/>
        <v>0</v>
      </c>
      <c r="F19" s="18">
        <v>8</v>
      </c>
      <c r="G19" s="18"/>
      <c r="H19" s="18">
        <v>6679.5</v>
      </c>
      <c r="I19" s="18"/>
      <c r="J19" s="3">
        <f t="shared" si="3"/>
        <v>8.0000000000000018</v>
      </c>
      <c r="K19" s="54">
        <f t="shared" ref="K19:V19" si="6">$F19/12*1000</f>
        <v>666.66666666666663</v>
      </c>
      <c r="L19" s="54">
        <f t="shared" si="6"/>
        <v>666.66666666666663</v>
      </c>
      <c r="M19" s="54">
        <f t="shared" si="6"/>
        <v>666.66666666666663</v>
      </c>
      <c r="N19" s="54">
        <f t="shared" si="6"/>
        <v>666.66666666666663</v>
      </c>
      <c r="O19" s="54">
        <f t="shared" si="6"/>
        <v>666.66666666666663</v>
      </c>
      <c r="P19" s="54">
        <f t="shared" si="6"/>
        <v>666.66666666666663</v>
      </c>
      <c r="Q19" s="54">
        <f t="shared" si="6"/>
        <v>666.66666666666663</v>
      </c>
      <c r="R19" s="54">
        <f t="shared" si="6"/>
        <v>666.66666666666663</v>
      </c>
      <c r="S19" s="54">
        <f t="shared" si="6"/>
        <v>666.66666666666663</v>
      </c>
      <c r="T19" s="54">
        <f t="shared" si="6"/>
        <v>666.66666666666663</v>
      </c>
      <c r="U19" s="54">
        <f t="shared" si="6"/>
        <v>666.66666666666663</v>
      </c>
      <c r="V19" s="54">
        <f t="shared" si="6"/>
        <v>666.66666666666663</v>
      </c>
    </row>
    <row r="20" spans="1:22">
      <c r="A20" s="5">
        <f t="shared" si="5"/>
        <v>12</v>
      </c>
      <c r="B20" t="s">
        <v>126</v>
      </c>
      <c r="D20" s="87">
        <v>1362</v>
      </c>
      <c r="E20" s="18">
        <f t="shared" si="4"/>
        <v>-147</v>
      </c>
      <c r="F20" s="89">
        <v>1215</v>
      </c>
      <c r="G20" s="18" t="s">
        <v>156</v>
      </c>
      <c r="H20" s="89">
        <v>6132</v>
      </c>
      <c r="I20" s="18"/>
      <c r="J20" s="3">
        <f t="shared" si="3"/>
        <v>1214.5739088367261</v>
      </c>
      <c r="K20" s="54">
        <v>92778.145849885812</v>
      </c>
      <c r="L20" s="54">
        <v>117897.58193739537</v>
      </c>
      <c r="M20" s="54">
        <v>141295.42794041857</v>
      </c>
      <c r="N20" s="54">
        <v>154938.58799851843</v>
      </c>
      <c r="O20" s="54">
        <v>142619.7125898333</v>
      </c>
      <c r="P20" s="54">
        <v>121775.5110421487</v>
      </c>
      <c r="Q20" s="54">
        <v>102675.48437110413</v>
      </c>
      <c r="R20" s="54">
        <v>63350.527806744423</v>
      </c>
      <c r="S20" s="54">
        <v>43794.733575439299</v>
      </c>
      <c r="T20" s="54">
        <v>55600.620902447627</v>
      </c>
      <c r="U20" s="54">
        <v>79266.869716266272</v>
      </c>
      <c r="V20" s="54">
        <v>98580.705106524125</v>
      </c>
    </row>
    <row r="21" spans="1:22">
      <c r="A21" s="5">
        <f t="shared" si="5"/>
        <v>13</v>
      </c>
      <c r="B21" t="s">
        <v>144</v>
      </c>
      <c r="D21" s="87">
        <v>1856</v>
      </c>
      <c r="E21" s="18">
        <f t="shared" si="4"/>
        <v>-82</v>
      </c>
      <c r="F21" s="127">
        <v>1774</v>
      </c>
      <c r="G21" s="18" t="s">
        <v>156</v>
      </c>
      <c r="H21" s="87">
        <v>6132</v>
      </c>
      <c r="I21" s="94" t="s">
        <v>122</v>
      </c>
      <c r="J21" s="3">
        <f t="shared" si="3"/>
        <v>1773.6289902001943</v>
      </c>
      <c r="K21" s="54">
        <v>161853.92240234348</v>
      </c>
      <c r="L21" s="54">
        <v>141474.81314453096</v>
      </c>
      <c r="M21" s="54">
        <v>109994.82</v>
      </c>
      <c r="N21" s="54">
        <v>104808.96000000001</v>
      </c>
      <c r="O21" s="54">
        <v>127341.85269531228</v>
      </c>
      <c r="P21" s="54">
        <v>93566.587578125007</v>
      </c>
      <c r="Q21" s="54">
        <v>178460.6033056638</v>
      </c>
      <c r="R21" s="54">
        <v>187123.74214843748</v>
      </c>
      <c r="S21" s="54">
        <v>153840.52231445312</v>
      </c>
      <c r="T21" s="54">
        <v>180193.23107421875</v>
      </c>
      <c r="U21" s="54">
        <v>164739.31768554688</v>
      </c>
      <c r="V21" s="54">
        <v>170230.61785156251</v>
      </c>
    </row>
    <row r="22" spans="1:22">
      <c r="A22" s="5">
        <f t="shared" si="5"/>
        <v>14</v>
      </c>
      <c r="B22" t="s">
        <v>7</v>
      </c>
      <c r="D22" s="87">
        <v>3002</v>
      </c>
      <c r="E22" s="18">
        <f t="shared" si="4"/>
        <v>-26</v>
      </c>
      <c r="F22" s="87">
        <v>2976</v>
      </c>
      <c r="G22" s="18" t="s">
        <v>156</v>
      </c>
      <c r="H22" s="18">
        <v>6953.25</v>
      </c>
      <c r="I22" s="18"/>
      <c r="J22" s="3">
        <f t="shared" si="3"/>
        <v>2975.6122795251495</v>
      </c>
      <c r="K22" s="54">
        <v>368721.56334391295</v>
      </c>
      <c r="L22" s="54">
        <v>378589.7306136071</v>
      </c>
      <c r="M22" s="54">
        <v>510686.74708577525</v>
      </c>
      <c r="N22" s="54">
        <v>391638.32361002633</v>
      </c>
      <c r="O22" s="54">
        <v>338601.22503946978</v>
      </c>
      <c r="P22" s="54">
        <v>257049.1997932943</v>
      </c>
      <c r="Q22" s="54">
        <v>87402.494824218738</v>
      </c>
      <c r="R22" s="54">
        <v>-41214.187928060041</v>
      </c>
      <c r="S22" s="54">
        <v>5415.3847379558792</v>
      </c>
      <c r="T22" s="54">
        <v>106499.59593424508</v>
      </c>
      <c r="U22" s="54">
        <v>220569.26401855508</v>
      </c>
      <c r="V22" s="54">
        <v>351652.93845214887</v>
      </c>
    </row>
    <row r="23" spans="1:22">
      <c r="A23" s="5">
        <f t="shared" si="5"/>
        <v>15</v>
      </c>
      <c r="B23" t="s">
        <v>203</v>
      </c>
      <c r="D23" s="87">
        <v>5664</v>
      </c>
      <c r="E23" s="18">
        <f t="shared" si="4"/>
        <v>353</v>
      </c>
      <c r="F23" s="87">
        <v>6017</v>
      </c>
      <c r="G23" s="18" t="s">
        <v>156</v>
      </c>
      <c r="H23" s="18"/>
      <c r="I23" s="18"/>
      <c r="J23" s="3">
        <f t="shared" si="3"/>
        <v>6017.2794127012194</v>
      </c>
      <c r="K23" s="54">
        <v>464429.35758264153</v>
      </c>
      <c r="L23" s="54">
        <v>473898.01487402339</v>
      </c>
      <c r="M23" s="54">
        <v>454758.76183776784</v>
      </c>
      <c r="N23" s="54">
        <v>485333.69569469843</v>
      </c>
      <c r="O23" s="54">
        <v>476134.5439661828</v>
      </c>
      <c r="P23" s="54">
        <v>389524.16364355467</v>
      </c>
      <c r="Q23" s="54">
        <v>523798.35351464589</v>
      </c>
      <c r="R23" s="54">
        <v>610695.83323095576</v>
      </c>
      <c r="S23" s="54">
        <v>599327.92648437503</v>
      </c>
      <c r="T23" s="54">
        <v>610704.06708007806</v>
      </c>
      <c r="U23" s="54">
        <v>524409.20452770893</v>
      </c>
      <c r="V23" s="54">
        <v>404265.49026458705</v>
      </c>
    </row>
    <row r="24" spans="1:22">
      <c r="A24" s="5">
        <f t="shared" si="5"/>
        <v>16</v>
      </c>
      <c r="B24" t="s">
        <v>49</v>
      </c>
      <c r="D24" s="87">
        <v>21</v>
      </c>
      <c r="E24" s="18">
        <f t="shared" ref="E24:E27" si="7">F24-D24</f>
        <v>-21</v>
      </c>
      <c r="F24" s="18">
        <v>0</v>
      </c>
      <c r="G24" s="18"/>
      <c r="H24" s="18">
        <v>921</v>
      </c>
      <c r="I24" s="92" t="s">
        <v>114</v>
      </c>
      <c r="J24" s="3">
        <f t="shared" si="3"/>
        <v>0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2">
      <c r="A25" s="5">
        <f t="shared" si="5"/>
        <v>17</v>
      </c>
      <c r="B25" t="s">
        <v>140</v>
      </c>
      <c r="D25" s="87">
        <v>1823</v>
      </c>
      <c r="E25" s="18">
        <f t="shared" si="7"/>
        <v>-1823</v>
      </c>
      <c r="F25" s="18">
        <v>0</v>
      </c>
      <c r="G25" s="18"/>
      <c r="H25" s="18"/>
      <c r="I25" s="18"/>
      <c r="J25" s="3">
        <f t="shared" si="3"/>
        <v>0</v>
      </c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>
      <c r="A26" s="5">
        <f t="shared" si="5"/>
        <v>18</v>
      </c>
      <c r="B26" s="16" t="s">
        <v>202</v>
      </c>
      <c r="C26" s="16"/>
      <c r="D26" s="88">
        <v>20525</v>
      </c>
      <c r="E26" s="38">
        <f t="shared" si="7"/>
        <v>745</v>
      </c>
      <c r="F26" s="88">
        <v>21270</v>
      </c>
      <c r="G26" s="18" t="s">
        <v>156</v>
      </c>
      <c r="H26" s="18"/>
      <c r="I26" s="18"/>
      <c r="J26" s="3">
        <f t="shared" si="3"/>
        <v>21269.955751562498</v>
      </c>
      <c r="K26" s="54">
        <v>2409806.5617187498</v>
      </c>
      <c r="L26" s="54">
        <v>1881522.6712890624</v>
      </c>
      <c r="M26" s="54">
        <v>2207281.576171875</v>
      </c>
      <c r="N26" s="54">
        <v>1887783.4603515624</v>
      </c>
      <c r="O26" s="54">
        <v>1629361.0171874999</v>
      </c>
      <c r="P26" s="54">
        <v>1306623.0546875</v>
      </c>
      <c r="Q26" s="54">
        <v>1119495.596875</v>
      </c>
      <c r="R26" s="54">
        <v>1177264.53984375</v>
      </c>
      <c r="S26" s="54">
        <v>1358140.0078125</v>
      </c>
      <c r="T26" s="54">
        <v>1669385.21875</v>
      </c>
      <c r="U26" s="54">
        <v>2153027.8374999999</v>
      </c>
      <c r="V26" s="54">
        <v>2470264.2093750001</v>
      </c>
    </row>
    <row r="27" spans="1:22">
      <c r="A27" s="5">
        <f>A26+1</f>
        <v>19</v>
      </c>
      <c r="B27" t="s">
        <v>8</v>
      </c>
      <c r="D27" s="87">
        <f>SUM(D9:D26)</f>
        <v>147228</v>
      </c>
      <c r="E27" s="18">
        <f t="shared" si="7"/>
        <v>-35832.543160702728</v>
      </c>
      <c r="F27" s="18">
        <f>SUM(F9:F26)</f>
        <v>111395.45683929727</v>
      </c>
      <c r="G27" s="18"/>
      <c r="H27" s="18">
        <v>0</v>
      </c>
      <c r="I27" s="18"/>
      <c r="J27" s="3">
        <f t="shared" si="3"/>
        <v>111395.05407292234</v>
      </c>
      <c r="K27" s="24">
        <f t="shared" ref="K27:V27" si="8">SUM(K9:K26)</f>
        <v>11810646.23109388</v>
      </c>
      <c r="L27" s="24">
        <f t="shared" si="8"/>
        <v>10948943.208400952</v>
      </c>
      <c r="M27" s="24">
        <f t="shared" si="8"/>
        <v>10208755.657028379</v>
      </c>
      <c r="N27" s="24">
        <f t="shared" si="8"/>
        <v>9754466.1863178331</v>
      </c>
      <c r="O27" s="24">
        <f t="shared" si="8"/>
        <v>7204007.3329556882</v>
      </c>
      <c r="P27" s="24">
        <f t="shared" si="8"/>
        <v>6832768.3574525369</v>
      </c>
      <c r="Q27" s="24">
        <f t="shared" si="8"/>
        <v>7367141.2614967925</v>
      </c>
      <c r="R27" s="24">
        <f t="shared" si="8"/>
        <v>8064915.6606194321</v>
      </c>
      <c r="S27" s="24">
        <f t="shared" si="8"/>
        <v>7448796.1672030892</v>
      </c>
      <c r="T27" s="24">
        <f t="shared" si="8"/>
        <v>7999787.4648104515</v>
      </c>
      <c r="U27" s="24">
        <f t="shared" si="8"/>
        <v>11642227.201504309</v>
      </c>
      <c r="V27" s="24">
        <f t="shared" si="8"/>
        <v>12112599.344039015</v>
      </c>
    </row>
    <row r="28" spans="1:22">
      <c r="A28" s="5"/>
      <c r="D28" s="87">
        <v>147227</v>
      </c>
      <c r="E28" s="18"/>
      <c r="F28" s="18"/>
      <c r="G28" s="18"/>
      <c r="H28" s="38">
        <v>3186</v>
      </c>
      <c r="I28" s="18"/>
      <c r="J28" s="3"/>
    </row>
    <row r="29" spans="1:22">
      <c r="A29" s="5"/>
      <c r="B29" s="6" t="s">
        <v>26</v>
      </c>
      <c r="D29" s="18"/>
      <c r="E29" s="18"/>
      <c r="F29" s="18"/>
      <c r="G29" s="18"/>
      <c r="H29" s="18">
        <v>0</v>
      </c>
      <c r="I29" s="18"/>
      <c r="J29" s="3"/>
    </row>
    <row r="30" spans="1:22">
      <c r="A30" s="5">
        <f>A27+1</f>
        <v>20</v>
      </c>
      <c r="B30" t="s">
        <v>12</v>
      </c>
      <c r="D30" s="87">
        <v>411</v>
      </c>
      <c r="E30" s="87">
        <f>F30-D30</f>
        <v>0</v>
      </c>
      <c r="F30" s="127">
        <v>411</v>
      </c>
      <c r="G30" s="92"/>
      <c r="H30" s="88">
        <v>150</v>
      </c>
      <c r="I30" s="92"/>
      <c r="J30" s="3">
        <f>SUM(K30:V30)/1000</f>
        <v>411</v>
      </c>
      <c r="K30" s="54">
        <f>411000/12</f>
        <v>34250</v>
      </c>
      <c r="L30" s="54">
        <f t="shared" ref="L30:V30" si="9">411000/12</f>
        <v>34250</v>
      </c>
      <c r="M30" s="54">
        <f t="shared" si="9"/>
        <v>34250</v>
      </c>
      <c r="N30" s="54">
        <f t="shared" si="9"/>
        <v>34250</v>
      </c>
      <c r="O30" s="54">
        <f t="shared" si="9"/>
        <v>34250</v>
      </c>
      <c r="P30" s="54">
        <f t="shared" si="9"/>
        <v>34250</v>
      </c>
      <c r="Q30" s="54">
        <f t="shared" si="9"/>
        <v>34250</v>
      </c>
      <c r="R30" s="54">
        <f t="shared" si="9"/>
        <v>34250</v>
      </c>
      <c r="S30" s="54">
        <f t="shared" si="9"/>
        <v>34250</v>
      </c>
      <c r="T30" s="54">
        <f t="shared" si="9"/>
        <v>34250</v>
      </c>
      <c r="U30" s="54">
        <f t="shared" si="9"/>
        <v>34250</v>
      </c>
      <c r="V30" s="54">
        <f t="shared" si="9"/>
        <v>34250</v>
      </c>
    </row>
    <row r="31" spans="1:22">
      <c r="A31" s="5">
        <f>A30+1</f>
        <v>21</v>
      </c>
      <c r="B31" t="s">
        <v>205</v>
      </c>
      <c r="D31" s="87">
        <v>437</v>
      </c>
      <c r="E31" s="87">
        <f t="shared" ref="E31:E33" si="10">F31-D31</f>
        <v>-437</v>
      </c>
      <c r="F31" s="87">
        <v>0</v>
      </c>
      <c r="G31" s="87"/>
      <c r="H31" s="87"/>
      <c r="I31" s="18"/>
      <c r="J31" s="3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</row>
    <row r="32" spans="1:22">
      <c r="A32" s="5">
        <f>A31+1</f>
        <v>22</v>
      </c>
      <c r="B32" t="s">
        <v>229</v>
      </c>
      <c r="D32" s="87">
        <v>51</v>
      </c>
      <c r="E32" s="87">
        <f t="shared" si="10"/>
        <v>-51</v>
      </c>
      <c r="F32" s="87">
        <v>0</v>
      </c>
      <c r="G32" s="87"/>
      <c r="H32" s="87"/>
      <c r="I32" s="18"/>
      <c r="J32" s="3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</row>
    <row r="33" spans="1:22">
      <c r="A33" s="5">
        <f>A32+1</f>
        <v>23</v>
      </c>
      <c r="B33" t="s">
        <v>228</v>
      </c>
      <c r="D33" s="87">
        <v>1</v>
      </c>
      <c r="E33" s="87">
        <f t="shared" si="10"/>
        <v>-1</v>
      </c>
      <c r="F33" s="87">
        <v>0</v>
      </c>
      <c r="G33" s="87"/>
      <c r="H33" s="87"/>
      <c r="I33" s="18"/>
      <c r="J33" s="3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</row>
    <row r="34" spans="1:22">
      <c r="A34" s="5">
        <f t="shared" ref="A34" si="11">A33+1</f>
        <v>24</v>
      </c>
      <c r="B34" s="16" t="s">
        <v>153</v>
      </c>
      <c r="C34" s="16"/>
      <c r="D34" s="87">
        <v>66110</v>
      </c>
      <c r="E34" s="38">
        <f>F34-D34</f>
        <v>-66110</v>
      </c>
      <c r="F34" s="18">
        <v>0</v>
      </c>
      <c r="G34" s="18"/>
      <c r="H34" s="18">
        <v>152</v>
      </c>
      <c r="I34" s="92" t="s">
        <v>121</v>
      </c>
      <c r="J34" s="3">
        <f>SUM(K34:V34)/1000</f>
        <v>0</v>
      </c>
    </row>
    <row r="35" spans="1:22">
      <c r="A35" s="5">
        <f>A34+1</f>
        <v>25</v>
      </c>
      <c r="B35" t="s">
        <v>13</v>
      </c>
      <c r="D35" s="103">
        <f>SUM(D30:D34)</f>
        <v>67010</v>
      </c>
      <c r="E35" s="18">
        <f>F35-D35</f>
        <v>-66599</v>
      </c>
      <c r="F35" s="20">
        <f>SUM(F30:F34)</f>
        <v>411</v>
      </c>
      <c r="G35" s="18"/>
      <c r="H35" s="18"/>
      <c r="I35" s="18"/>
      <c r="J35" s="3">
        <f>SUM(K35:V35)/1000</f>
        <v>411</v>
      </c>
      <c r="K35" s="55">
        <f t="shared" ref="K35:V35" si="12">SUM(K30:K34)</f>
        <v>34250</v>
      </c>
      <c r="L35" s="55">
        <f t="shared" si="12"/>
        <v>34250</v>
      </c>
      <c r="M35" s="55">
        <f t="shared" si="12"/>
        <v>34250</v>
      </c>
      <c r="N35" s="55">
        <f t="shared" si="12"/>
        <v>34250</v>
      </c>
      <c r="O35" s="55">
        <f t="shared" si="12"/>
        <v>34250</v>
      </c>
      <c r="P35" s="55">
        <f t="shared" si="12"/>
        <v>34250</v>
      </c>
      <c r="Q35" s="55">
        <f t="shared" si="12"/>
        <v>34250</v>
      </c>
      <c r="R35" s="55">
        <f t="shared" si="12"/>
        <v>34250</v>
      </c>
      <c r="S35" s="55">
        <f t="shared" si="12"/>
        <v>34250</v>
      </c>
      <c r="T35" s="55">
        <f t="shared" si="12"/>
        <v>34250</v>
      </c>
      <c r="U35" s="55">
        <f t="shared" si="12"/>
        <v>34250</v>
      </c>
      <c r="V35" s="55">
        <f t="shared" si="12"/>
        <v>34250</v>
      </c>
    </row>
    <row r="36" spans="1:22">
      <c r="A36" s="5"/>
      <c r="D36" s="18"/>
      <c r="E36" s="18"/>
      <c r="F36" s="18"/>
      <c r="G36" s="18"/>
      <c r="H36" s="18"/>
      <c r="I36" s="18"/>
      <c r="J36" s="3"/>
    </row>
    <row r="37" spans="1:22">
      <c r="A37" s="5"/>
      <c r="B37" s="6" t="s">
        <v>47</v>
      </c>
      <c r="D37" s="18"/>
      <c r="E37" s="18"/>
      <c r="F37" s="18"/>
      <c r="G37" s="18"/>
      <c r="H37" s="18">
        <v>78</v>
      </c>
      <c r="I37" s="18"/>
      <c r="J37" s="3"/>
    </row>
    <row r="38" spans="1:22">
      <c r="A38" s="5">
        <f>A35+1</f>
        <v>26</v>
      </c>
      <c r="B38" t="s">
        <v>45</v>
      </c>
      <c r="C38" s="12"/>
      <c r="D38" s="87">
        <v>6318</v>
      </c>
      <c r="E38" s="18">
        <f>F38-D38</f>
        <v>-238.16574542299622</v>
      </c>
      <c r="F38" s="87">
        <f>'WGJ-4'!C27/1000</f>
        <v>6079.8342545770038</v>
      </c>
      <c r="G38" s="87"/>
      <c r="H38" s="88">
        <v>0</v>
      </c>
      <c r="I38" s="92" t="s">
        <v>120</v>
      </c>
      <c r="J38" s="3">
        <f>SUM(K38:V38)/1000</f>
        <v>6079.8342545770038</v>
      </c>
      <c r="K38" s="24">
        <f>'WGJ-4'!D27</f>
        <v>671059.26666259696</v>
      </c>
      <c r="L38" s="24">
        <f>'WGJ-4'!E27</f>
        <v>610362.23602294899</v>
      </c>
      <c r="M38" s="24">
        <f>'WGJ-4'!F27</f>
        <v>616340.73257446196</v>
      </c>
      <c r="N38" s="24">
        <f>'WGJ-4'!G27</f>
        <v>612428.91540527297</v>
      </c>
      <c r="O38" s="24">
        <f>'WGJ-4'!H27</f>
        <v>238590.02640247301</v>
      </c>
      <c r="P38" s="24">
        <f>'WGJ-4'!I27</f>
        <v>11354.3849490582</v>
      </c>
      <c r="Q38" s="24">
        <f>'WGJ-4'!J27</f>
        <v>368883.01835060096</v>
      </c>
      <c r="R38" s="24">
        <f>'WGJ-4'!K27</f>
        <v>525053.29132079997</v>
      </c>
      <c r="S38" s="24">
        <f>'WGJ-4'!L27</f>
        <v>579206.82373046805</v>
      </c>
      <c r="T38" s="24">
        <f>'WGJ-4'!M27</f>
        <v>603732.96623229899</v>
      </c>
      <c r="U38" s="24">
        <f>'WGJ-4'!N27</f>
        <v>596434.99069213797</v>
      </c>
      <c r="V38" s="24">
        <f>'WGJ-4'!O27</f>
        <v>646387.60223388602</v>
      </c>
    </row>
    <row r="39" spans="1:22">
      <c r="A39" s="5">
        <f>A38+1</f>
        <v>27</v>
      </c>
      <c r="B39" t="s">
        <v>170</v>
      </c>
      <c r="C39" s="12"/>
      <c r="D39" s="89">
        <v>14</v>
      </c>
      <c r="E39" s="18">
        <f>F39-D39</f>
        <v>0</v>
      </c>
      <c r="F39" s="18">
        <v>14</v>
      </c>
      <c r="G39" s="18"/>
      <c r="H39" s="18">
        <v>78</v>
      </c>
      <c r="I39" s="18"/>
      <c r="J39" s="3">
        <f>SUM(K39:V39)/1000</f>
        <v>13.999999999999998</v>
      </c>
      <c r="K39" s="17">
        <f>$F39/12*1000</f>
        <v>1166.6666666666667</v>
      </c>
      <c r="L39" s="17">
        <f t="shared" ref="L39:V39" si="13">$F39/12*1000</f>
        <v>1166.6666666666667</v>
      </c>
      <c r="M39" s="17">
        <f t="shared" si="13"/>
        <v>1166.6666666666667</v>
      </c>
      <c r="N39" s="17">
        <f t="shared" si="13"/>
        <v>1166.6666666666667</v>
      </c>
      <c r="O39" s="17">
        <f t="shared" si="13"/>
        <v>1166.6666666666667</v>
      </c>
      <c r="P39" s="17">
        <f t="shared" si="13"/>
        <v>1166.6666666666667</v>
      </c>
      <c r="Q39" s="17">
        <f t="shared" si="13"/>
        <v>1166.6666666666667</v>
      </c>
      <c r="R39" s="17">
        <f t="shared" si="13"/>
        <v>1166.6666666666667</v>
      </c>
      <c r="S39" s="17">
        <f t="shared" si="13"/>
        <v>1166.6666666666667</v>
      </c>
      <c r="T39" s="17">
        <f t="shared" si="13"/>
        <v>1166.6666666666667</v>
      </c>
      <c r="U39" s="17">
        <f t="shared" si="13"/>
        <v>1166.6666666666667</v>
      </c>
      <c r="V39" s="17">
        <f t="shared" si="13"/>
        <v>1166.6666666666667</v>
      </c>
    </row>
    <row r="40" spans="1:22">
      <c r="A40" s="5">
        <f>A39+1</f>
        <v>28</v>
      </c>
      <c r="B40" s="11" t="s">
        <v>46</v>
      </c>
      <c r="C40" s="10"/>
      <c r="D40" s="87">
        <v>22371</v>
      </c>
      <c r="E40" s="18">
        <f>F40-D40</f>
        <v>210.09911590233605</v>
      </c>
      <c r="F40" s="87">
        <f>'WGJ-4'!C23/1000</f>
        <v>22581.099115902336</v>
      </c>
      <c r="G40" s="87"/>
      <c r="H40" s="87"/>
      <c r="I40" s="92" t="s">
        <v>120</v>
      </c>
      <c r="J40" s="3">
        <f>SUM(K40:V40)/1000</f>
        <v>22581.099115902336</v>
      </c>
      <c r="K40" s="79">
        <f>'WGJ-4'!D23</f>
        <v>2204097.0485296249</v>
      </c>
      <c r="L40" s="79">
        <f>'WGJ-4'!E23</f>
        <v>2043439.9428930273</v>
      </c>
      <c r="M40" s="79">
        <f>'WGJ-4'!F23</f>
        <v>2134237.4816503525</v>
      </c>
      <c r="N40" s="79">
        <f>'WGJ-4'!G23</f>
        <v>1861326.0360326765</v>
      </c>
      <c r="O40" s="79">
        <f>'WGJ-4'!H23</f>
        <v>1294923.1446886556</v>
      </c>
      <c r="P40" s="79">
        <f>'WGJ-4'!I23</f>
        <v>1329646.3935518756</v>
      </c>
      <c r="Q40" s="79">
        <f>'WGJ-4'!J23</f>
        <v>1832959.1975832477</v>
      </c>
      <c r="R40" s="79">
        <f>'WGJ-4'!K23</f>
        <v>1935321.3645601769</v>
      </c>
      <c r="S40" s="79">
        <f>'WGJ-4'!L23</f>
        <v>1981250.5862856396</v>
      </c>
      <c r="T40" s="79">
        <f>'WGJ-4'!M23</f>
        <v>1971504.0153170116</v>
      </c>
      <c r="U40" s="79">
        <f>'WGJ-4'!N23</f>
        <v>1952647.7790499229</v>
      </c>
      <c r="V40" s="79">
        <f>'WGJ-4'!O23</f>
        <v>2039746.1257601276</v>
      </c>
    </row>
    <row r="41" spans="1:22">
      <c r="A41" s="5">
        <f>A40+1</f>
        <v>29</v>
      </c>
      <c r="B41" s="16" t="s">
        <v>188</v>
      </c>
      <c r="C41" s="39"/>
      <c r="D41" s="142">
        <v>199</v>
      </c>
      <c r="E41" s="38">
        <f>F41-D41</f>
        <v>0</v>
      </c>
      <c r="F41" s="88">
        <v>199</v>
      </c>
      <c r="G41" s="18"/>
      <c r="H41" s="18"/>
      <c r="I41" s="18"/>
      <c r="J41" s="3">
        <f>SUM(K41:V41)/1000</f>
        <v>199.00000000000003</v>
      </c>
      <c r="K41" s="104">
        <f>$F41/12*1000</f>
        <v>16583.333333333332</v>
      </c>
      <c r="L41" s="104">
        <f t="shared" ref="L41:V41" si="14">$F41/12*1000</f>
        <v>16583.333333333332</v>
      </c>
      <c r="M41" s="104">
        <f t="shared" si="14"/>
        <v>16583.333333333332</v>
      </c>
      <c r="N41" s="104">
        <f t="shared" si="14"/>
        <v>16583.333333333332</v>
      </c>
      <c r="O41" s="104">
        <f t="shared" si="14"/>
        <v>16583.333333333332</v>
      </c>
      <c r="P41" s="104">
        <f t="shared" si="14"/>
        <v>16583.333333333332</v>
      </c>
      <c r="Q41" s="104">
        <f t="shared" si="14"/>
        <v>16583.333333333332</v>
      </c>
      <c r="R41" s="104">
        <f t="shared" si="14"/>
        <v>16583.333333333332</v>
      </c>
      <c r="S41" s="104">
        <f t="shared" si="14"/>
        <v>16583.333333333332</v>
      </c>
      <c r="T41" s="104">
        <f t="shared" si="14"/>
        <v>16583.333333333332</v>
      </c>
      <c r="U41" s="104">
        <f t="shared" si="14"/>
        <v>16583.333333333332</v>
      </c>
      <c r="V41" s="104">
        <f t="shared" si="14"/>
        <v>16583.333333333332</v>
      </c>
    </row>
    <row r="42" spans="1:22">
      <c r="A42" s="10">
        <f>A41+1</f>
        <v>30</v>
      </c>
      <c r="B42" t="s">
        <v>22</v>
      </c>
      <c r="D42" s="87">
        <f>SUM(D38:D41)</f>
        <v>28902</v>
      </c>
      <c r="E42" s="18">
        <f>F42-D42</f>
        <v>-28.066629520661081</v>
      </c>
      <c r="F42" s="18">
        <f>SUM(F38:F41)</f>
        <v>28873.933370479339</v>
      </c>
      <c r="G42" s="18"/>
      <c r="H42" s="18">
        <v>8095.4688974966612</v>
      </c>
      <c r="I42" s="18"/>
      <c r="J42" s="3">
        <f>SUM(K42:V42)/1000</f>
        <v>28873.933370479343</v>
      </c>
      <c r="K42" s="24">
        <f>SUM(K38:K41)</f>
        <v>2892906.3151922221</v>
      </c>
      <c r="L42" s="24">
        <f t="shared" ref="L42:V42" si="15">SUM(L38:L41)</f>
        <v>2671552.1789159765</v>
      </c>
      <c r="M42" s="24">
        <f t="shared" si="15"/>
        <v>2768328.2142248144</v>
      </c>
      <c r="N42" s="24">
        <f t="shared" si="15"/>
        <v>2491504.9514379497</v>
      </c>
      <c r="O42" s="24">
        <f t="shared" si="15"/>
        <v>1551263.1710911286</v>
      </c>
      <c r="P42" s="24">
        <f t="shared" si="15"/>
        <v>1358750.7785009337</v>
      </c>
      <c r="Q42" s="24">
        <f t="shared" si="15"/>
        <v>2219592.2159338486</v>
      </c>
      <c r="R42" s="24">
        <f t="shared" si="15"/>
        <v>2478124.6558809769</v>
      </c>
      <c r="S42" s="24">
        <f t="shared" si="15"/>
        <v>2578207.4100161078</v>
      </c>
      <c r="T42" s="24">
        <f t="shared" si="15"/>
        <v>2592986.981549311</v>
      </c>
      <c r="U42" s="24">
        <f t="shared" si="15"/>
        <v>2566832.7697420609</v>
      </c>
      <c r="V42" s="24">
        <f t="shared" si="15"/>
        <v>2703883.7279940136</v>
      </c>
    </row>
    <row r="43" spans="1:22">
      <c r="A43" s="5"/>
      <c r="D43" s="18"/>
      <c r="E43" s="18"/>
      <c r="F43" s="18"/>
      <c r="G43" s="18"/>
      <c r="H43" s="18">
        <v>0</v>
      </c>
      <c r="I43" s="18"/>
      <c r="J43" s="3"/>
    </row>
    <row r="44" spans="1:22">
      <c r="A44" s="5"/>
      <c r="B44" s="6" t="s">
        <v>48</v>
      </c>
      <c r="D44" s="18"/>
      <c r="E44" s="18"/>
      <c r="F44" s="18"/>
      <c r="G44" s="18"/>
      <c r="H44" s="18">
        <v>10682.990036010742</v>
      </c>
      <c r="I44" s="18"/>
      <c r="J44" s="3"/>
    </row>
    <row r="45" spans="1:22">
      <c r="A45" s="5">
        <f>A42+1</f>
        <v>31</v>
      </c>
      <c r="B45" s="15" t="s">
        <v>57</v>
      </c>
      <c r="D45" s="87">
        <v>36449</v>
      </c>
      <c r="E45" s="18">
        <f t="shared" ref="E45:E55" si="16">F45-D45</f>
        <v>-5940.0960310027331</v>
      </c>
      <c r="F45" s="87">
        <f>'WGJ-4'!C31/1000</f>
        <v>30508.903968997267</v>
      </c>
      <c r="G45" s="87"/>
      <c r="H45" s="88">
        <v>188</v>
      </c>
      <c r="I45" s="92" t="s">
        <v>120</v>
      </c>
      <c r="J45" s="3">
        <f t="shared" ref="J45:J55" si="17">SUM(K45:V45)/1000</f>
        <v>30508.903968997267</v>
      </c>
      <c r="K45" s="24">
        <f>'WGJ-4'!D31</f>
        <v>3999477.2381355898</v>
      </c>
      <c r="L45" s="24">
        <f>'WGJ-4'!E31</f>
        <v>3253585.1852416899</v>
      </c>
      <c r="M45" s="24">
        <f>'WGJ-4'!F31</f>
        <v>3071403.75461578</v>
      </c>
      <c r="N45" s="24">
        <f>'WGJ-4'!G31</f>
        <v>1889402.69966125</v>
      </c>
      <c r="O45" s="24">
        <f>'WGJ-4'!H31</f>
        <v>508894.68340873701</v>
      </c>
      <c r="P45" s="24">
        <f>'WGJ-4'!I31</f>
        <v>587992.20447540202</v>
      </c>
      <c r="Q45" s="24">
        <f>'WGJ-4'!J31</f>
        <v>2185247.53246307</v>
      </c>
      <c r="R45" s="24">
        <f>'WGJ-4'!K31</f>
        <v>2826318.1289672796</v>
      </c>
      <c r="S45" s="24">
        <f>'WGJ-4'!L31</f>
        <v>2774325.8422851502</v>
      </c>
      <c r="T45" s="24">
        <f>'WGJ-4'!M31</f>
        <v>2654722.6680116402</v>
      </c>
      <c r="U45" s="24">
        <f>'WGJ-4'!N31</f>
        <v>2965940.385255483</v>
      </c>
      <c r="V45" s="24">
        <f>'WGJ-4'!O31</f>
        <v>3791593.6464761975</v>
      </c>
    </row>
    <row r="46" spans="1:22">
      <c r="A46" s="5">
        <f>A45+1</f>
        <v>32</v>
      </c>
      <c r="B46" s="15" t="s">
        <v>176</v>
      </c>
      <c r="D46" s="87">
        <v>5716</v>
      </c>
      <c r="E46" s="18">
        <f t="shared" si="16"/>
        <v>679</v>
      </c>
      <c r="F46" s="87">
        <v>6395</v>
      </c>
      <c r="G46" s="18"/>
      <c r="H46" s="18">
        <v>18966.458933507405</v>
      </c>
      <c r="I46" s="18"/>
      <c r="J46" s="3">
        <f t="shared" si="17"/>
        <v>6395.427999999999</v>
      </c>
      <c r="K46" s="80">
        <f>6395428/12</f>
        <v>532952.33333333337</v>
      </c>
      <c r="L46" s="80">
        <f t="shared" ref="L46:V46" si="18">6395428/12</f>
        <v>532952.33333333337</v>
      </c>
      <c r="M46" s="80">
        <f t="shared" si="18"/>
        <v>532952.33333333337</v>
      </c>
      <c r="N46" s="80">
        <f t="shared" si="18"/>
        <v>532952.33333333337</v>
      </c>
      <c r="O46" s="80">
        <f t="shared" si="18"/>
        <v>532952.33333333337</v>
      </c>
      <c r="P46" s="80">
        <f t="shared" si="18"/>
        <v>532952.33333333337</v>
      </c>
      <c r="Q46" s="80">
        <f t="shared" si="18"/>
        <v>532952.33333333337</v>
      </c>
      <c r="R46" s="80">
        <f t="shared" si="18"/>
        <v>532952.33333333337</v>
      </c>
      <c r="S46" s="80">
        <f t="shared" si="18"/>
        <v>532952.33333333337</v>
      </c>
      <c r="T46" s="80">
        <f t="shared" si="18"/>
        <v>532952.33333333337</v>
      </c>
      <c r="U46" s="80">
        <f t="shared" si="18"/>
        <v>532952.33333333337</v>
      </c>
      <c r="V46" s="80">
        <f t="shared" si="18"/>
        <v>532952.33333333337</v>
      </c>
    </row>
    <row r="47" spans="1:22">
      <c r="A47" s="5">
        <f t="shared" ref="A47:A56" si="19">A46+1</f>
        <v>33</v>
      </c>
      <c r="B47" s="15" t="s">
        <v>163</v>
      </c>
      <c r="D47" s="87">
        <v>27817</v>
      </c>
      <c r="E47" s="18">
        <f t="shared" si="16"/>
        <v>1629.6359753327743</v>
      </c>
      <c r="F47" s="87">
        <f>'WGJ-4'!C35/1000</f>
        <v>29446.635975332774</v>
      </c>
      <c r="G47" s="18"/>
      <c r="H47" s="18"/>
      <c r="I47" s="18"/>
      <c r="J47" s="3">
        <f t="shared" si="17"/>
        <v>29446.635975332774</v>
      </c>
      <c r="K47" s="80">
        <f>'WGJ-4'!D35</f>
        <v>3709331.1492919903</v>
      </c>
      <c r="L47" s="80">
        <f>'WGJ-4'!E35</f>
        <v>3133960.8932495099</v>
      </c>
      <c r="M47" s="80">
        <f>'WGJ-4'!F35</f>
        <v>3075414.1223907401</v>
      </c>
      <c r="N47" s="80">
        <f>'WGJ-4'!G35</f>
        <v>2040396.3773727401</v>
      </c>
      <c r="O47" s="80">
        <f>'WGJ-4'!H35</f>
        <v>705960.42013978586</v>
      </c>
      <c r="P47" s="80">
        <f>'WGJ-4'!I35</f>
        <v>639939.25322845101</v>
      </c>
      <c r="Q47" s="80">
        <f>'WGJ-4'!J35</f>
        <v>2028701.7812177222</v>
      </c>
      <c r="R47" s="80">
        <f>'WGJ-4'!K35</f>
        <v>2553961.5225092419</v>
      </c>
      <c r="S47" s="80">
        <f>'WGJ-4'!L35</f>
        <v>2554140.9759521396</v>
      </c>
      <c r="T47" s="80">
        <f>'WGJ-4'!M35</f>
        <v>2634794.2962646396</v>
      </c>
      <c r="U47" s="80">
        <f>'WGJ-4'!N35</f>
        <v>2840918.2495117104</v>
      </c>
      <c r="V47" s="80">
        <f>'WGJ-4'!O35</f>
        <v>3529116.9342040997</v>
      </c>
    </row>
    <row r="48" spans="1:22">
      <c r="A48" s="5">
        <f t="shared" si="19"/>
        <v>34</v>
      </c>
      <c r="B48" s="15" t="s">
        <v>175</v>
      </c>
      <c r="D48" s="87">
        <v>4922</v>
      </c>
      <c r="E48" s="18">
        <f t="shared" si="16"/>
        <v>507</v>
      </c>
      <c r="F48" s="87">
        <v>5429</v>
      </c>
      <c r="G48" s="18"/>
      <c r="H48" s="18"/>
      <c r="I48" s="18"/>
      <c r="J48" s="3">
        <f t="shared" si="17"/>
        <v>5429.0839999999998</v>
      </c>
      <c r="K48" s="80">
        <f>5429084/12</f>
        <v>452423.66666666669</v>
      </c>
      <c r="L48" s="80">
        <f t="shared" ref="L48:V48" si="20">5429084/12</f>
        <v>452423.66666666669</v>
      </c>
      <c r="M48" s="80">
        <f t="shared" si="20"/>
        <v>452423.66666666669</v>
      </c>
      <c r="N48" s="80">
        <f t="shared" si="20"/>
        <v>452423.66666666669</v>
      </c>
      <c r="O48" s="80">
        <f t="shared" si="20"/>
        <v>452423.66666666669</v>
      </c>
      <c r="P48" s="80">
        <f t="shared" si="20"/>
        <v>452423.66666666669</v>
      </c>
      <c r="Q48" s="80">
        <f t="shared" si="20"/>
        <v>452423.66666666669</v>
      </c>
      <c r="R48" s="80">
        <f t="shared" si="20"/>
        <v>452423.66666666669</v>
      </c>
      <c r="S48" s="80">
        <f t="shared" si="20"/>
        <v>452423.66666666669</v>
      </c>
      <c r="T48" s="80">
        <f t="shared" si="20"/>
        <v>452423.66666666669</v>
      </c>
      <c r="U48" s="80">
        <f t="shared" si="20"/>
        <v>452423.66666666669</v>
      </c>
      <c r="V48" s="80">
        <f t="shared" si="20"/>
        <v>452423.66666666669</v>
      </c>
    </row>
    <row r="49" spans="1:22">
      <c r="A49" s="5">
        <f t="shared" si="19"/>
        <v>35</v>
      </c>
      <c r="B49" t="s">
        <v>181</v>
      </c>
      <c r="D49" s="87">
        <v>0</v>
      </c>
      <c r="E49" s="18">
        <f t="shared" si="16"/>
        <v>-1009</v>
      </c>
      <c r="F49" s="127">
        <v>-1009</v>
      </c>
      <c r="G49" s="18"/>
      <c r="H49" s="18"/>
      <c r="I49" s="18"/>
      <c r="J49" s="3">
        <f t="shared" si="17"/>
        <v>-1009.3060000000002</v>
      </c>
      <c r="K49" s="80">
        <f>-1009306/12</f>
        <v>-84108.833333333328</v>
      </c>
      <c r="L49" s="80">
        <f t="shared" ref="L49:V49" si="21">-1009306/12</f>
        <v>-84108.833333333328</v>
      </c>
      <c r="M49" s="80">
        <f t="shared" si="21"/>
        <v>-84108.833333333328</v>
      </c>
      <c r="N49" s="80">
        <f t="shared" si="21"/>
        <v>-84108.833333333328</v>
      </c>
      <c r="O49" s="80">
        <f t="shared" si="21"/>
        <v>-84108.833333333328</v>
      </c>
      <c r="P49" s="80">
        <f t="shared" si="21"/>
        <v>-84108.833333333328</v>
      </c>
      <c r="Q49" s="80">
        <f t="shared" si="21"/>
        <v>-84108.833333333328</v>
      </c>
      <c r="R49" s="80">
        <f t="shared" si="21"/>
        <v>-84108.833333333328</v>
      </c>
      <c r="S49" s="80">
        <f t="shared" si="21"/>
        <v>-84108.833333333328</v>
      </c>
      <c r="T49" s="80">
        <f t="shared" si="21"/>
        <v>-84108.833333333328</v>
      </c>
      <c r="U49" s="80">
        <f t="shared" si="21"/>
        <v>-84108.833333333328</v>
      </c>
      <c r="V49" s="80">
        <f t="shared" si="21"/>
        <v>-84108.833333333328</v>
      </c>
    </row>
    <row r="50" spans="1:22">
      <c r="A50" s="5">
        <f t="shared" si="19"/>
        <v>36</v>
      </c>
      <c r="B50" t="s">
        <v>206</v>
      </c>
      <c r="D50" s="87">
        <v>0</v>
      </c>
      <c r="E50" s="18">
        <f t="shared" si="16"/>
        <v>-9000</v>
      </c>
      <c r="F50" s="87">
        <v>-9000</v>
      </c>
      <c r="G50" s="18"/>
      <c r="H50" s="18"/>
      <c r="I50" s="18"/>
      <c r="J50" s="3">
        <f t="shared" si="17"/>
        <v>-9000</v>
      </c>
      <c r="K50" s="80">
        <f>$F50*1000/12</f>
        <v>-750000</v>
      </c>
      <c r="L50" s="80">
        <f t="shared" ref="L50:V50" si="22">$F50*1000/12</f>
        <v>-750000</v>
      </c>
      <c r="M50" s="80">
        <f t="shared" si="22"/>
        <v>-750000</v>
      </c>
      <c r="N50" s="80">
        <f t="shared" si="22"/>
        <v>-750000</v>
      </c>
      <c r="O50" s="80">
        <f t="shared" si="22"/>
        <v>-750000</v>
      </c>
      <c r="P50" s="80">
        <f t="shared" si="22"/>
        <v>-750000</v>
      </c>
      <c r="Q50" s="80">
        <f t="shared" si="22"/>
        <v>-750000</v>
      </c>
      <c r="R50" s="80">
        <f t="shared" si="22"/>
        <v>-750000</v>
      </c>
      <c r="S50" s="80">
        <f t="shared" si="22"/>
        <v>-750000</v>
      </c>
      <c r="T50" s="80">
        <f t="shared" si="22"/>
        <v>-750000</v>
      </c>
      <c r="U50" s="80">
        <f t="shared" si="22"/>
        <v>-750000</v>
      </c>
      <c r="V50" s="80">
        <f t="shared" si="22"/>
        <v>-750000</v>
      </c>
    </row>
    <row r="51" spans="1:22">
      <c r="A51" s="5">
        <f t="shared" si="19"/>
        <v>37</v>
      </c>
      <c r="B51" t="s">
        <v>186</v>
      </c>
      <c r="D51" s="87">
        <v>46</v>
      </c>
      <c r="E51" s="18">
        <f t="shared" si="16"/>
        <v>0</v>
      </c>
      <c r="F51" s="127">
        <v>46</v>
      </c>
      <c r="G51" s="18"/>
      <c r="H51" s="18"/>
      <c r="I51" s="18"/>
      <c r="J51" s="3">
        <f t="shared" si="17"/>
        <v>46.000000000000007</v>
      </c>
      <c r="K51" s="129">
        <f>46000/12</f>
        <v>3833.3333333333335</v>
      </c>
      <c r="L51" s="129">
        <f t="shared" ref="L51:V51" si="23">46000/12</f>
        <v>3833.3333333333335</v>
      </c>
      <c r="M51" s="129">
        <f t="shared" si="23"/>
        <v>3833.3333333333335</v>
      </c>
      <c r="N51" s="129">
        <f t="shared" si="23"/>
        <v>3833.3333333333335</v>
      </c>
      <c r="O51" s="129">
        <f t="shared" si="23"/>
        <v>3833.3333333333335</v>
      </c>
      <c r="P51" s="129">
        <f t="shared" si="23"/>
        <v>3833.3333333333335</v>
      </c>
      <c r="Q51" s="129">
        <f t="shared" si="23"/>
        <v>3833.3333333333335</v>
      </c>
      <c r="R51" s="129">
        <f t="shared" si="23"/>
        <v>3833.3333333333335</v>
      </c>
      <c r="S51" s="129">
        <f t="shared" si="23"/>
        <v>3833.3333333333335</v>
      </c>
      <c r="T51" s="129">
        <f t="shared" si="23"/>
        <v>3833.3333333333335</v>
      </c>
      <c r="U51" s="129">
        <f t="shared" si="23"/>
        <v>3833.3333333333335</v>
      </c>
      <c r="V51" s="129">
        <f t="shared" si="23"/>
        <v>3833.3333333333335</v>
      </c>
    </row>
    <row r="52" spans="1:22">
      <c r="A52" s="5">
        <f t="shared" si="19"/>
        <v>38</v>
      </c>
      <c r="B52" s="11" t="s">
        <v>61</v>
      </c>
      <c r="C52" s="11"/>
      <c r="D52" s="87">
        <v>1556</v>
      </c>
      <c r="E52" s="18">
        <f t="shared" si="16"/>
        <v>4150.3394734210005</v>
      </c>
      <c r="F52" s="87">
        <f>'WGJ-4'!C47/1000</f>
        <v>5706.3394734210005</v>
      </c>
      <c r="G52" s="87"/>
      <c r="H52" s="87"/>
      <c r="I52" s="92" t="s">
        <v>120</v>
      </c>
      <c r="J52" s="3">
        <f t="shared" si="17"/>
        <v>5706.3394734210005</v>
      </c>
      <c r="K52" s="24">
        <f>'WGJ-4'!D47</f>
        <v>647283.51129293395</v>
      </c>
      <c r="L52" s="24">
        <f>'WGJ-4'!E47</f>
        <v>344821.400737761</v>
      </c>
      <c r="M52" s="24">
        <f>'WGJ-4'!F47</f>
        <v>34918.214464187498</v>
      </c>
      <c r="N52" s="24">
        <f>'WGJ-4'!G47</f>
        <v>13765.12209177017</v>
      </c>
      <c r="O52" s="24">
        <f>'WGJ-4'!H47</f>
        <v>24313.281445146531</v>
      </c>
      <c r="P52" s="24">
        <f>'WGJ-4'!I47</f>
        <v>228547.222187312</v>
      </c>
      <c r="Q52" s="24">
        <f>'WGJ-4'!J47</f>
        <v>944277.67027652427</v>
      </c>
      <c r="R52" s="24">
        <f>'WGJ-4'!K47</f>
        <v>1330357.6886173445</v>
      </c>
      <c r="S52" s="24">
        <f>'WGJ-4'!L47</f>
        <v>689487.99648284807</v>
      </c>
      <c r="T52" s="24">
        <f>'WGJ-4'!M47</f>
        <v>428698.10377359303</v>
      </c>
      <c r="U52" s="24">
        <f>'WGJ-4'!N47</f>
        <v>381976.03857517196</v>
      </c>
      <c r="V52" s="24">
        <f>'WGJ-4'!O47</f>
        <v>637893.2234764091</v>
      </c>
    </row>
    <row r="53" spans="1:22">
      <c r="A53" s="5">
        <f t="shared" si="19"/>
        <v>39</v>
      </c>
      <c r="B53" t="s">
        <v>60</v>
      </c>
      <c r="D53" s="87">
        <v>44</v>
      </c>
      <c r="E53" s="18">
        <f t="shared" si="16"/>
        <v>1188.3227538824046</v>
      </c>
      <c r="F53" s="87">
        <f>'WGJ-4'!C51/1000</f>
        <v>1232.3227538824046</v>
      </c>
      <c r="G53" s="87"/>
      <c r="H53" s="87"/>
      <c r="I53" s="92" t="s">
        <v>120</v>
      </c>
      <c r="J53" s="3">
        <f t="shared" si="17"/>
        <v>1232.3227538824046</v>
      </c>
      <c r="K53" s="24">
        <f>'WGJ-4'!D51</f>
        <v>117769.8633551597</v>
      </c>
      <c r="L53" s="24">
        <f>'WGJ-4'!E51</f>
        <v>38964.217388629797</v>
      </c>
      <c r="M53" s="24">
        <f>'WGJ-4'!F51</f>
        <v>6069.6266651153401</v>
      </c>
      <c r="N53" s="24">
        <f>'WGJ-4'!G51</f>
        <v>1603.5778343677521</v>
      </c>
      <c r="O53" s="24">
        <f>'WGJ-4'!H51</f>
        <v>2337.85292506216</v>
      </c>
      <c r="P53" s="24">
        <f>'WGJ-4'!I51</f>
        <v>36465.512949228199</v>
      </c>
      <c r="Q53" s="24">
        <f>'WGJ-4'!J51</f>
        <v>200472.24453687499</v>
      </c>
      <c r="R53" s="24">
        <f>'WGJ-4'!K51</f>
        <v>279254.245996474</v>
      </c>
      <c r="S53" s="24">
        <f>'WGJ-4'!L51</f>
        <v>175636.4916980266</v>
      </c>
      <c r="T53" s="24">
        <f>'WGJ-4'!M51</f>
        <v>131500.42712688429</v>
      </c>
      <c r="U53" s="24">
        <f>'WGJ-4'!N51</f>
        <v>116128.63752841941</v>
      </c>
      <c r="V53" s="24">
        <f>'WGJ-4'!O51</f>
        <v>126120.05587816231</v>
      </c>
    </row>
    <row r="54" spans="1:22">
      <c r="A54" s="5">
        <f t="shared" si="19"/>
        <v>40</v>
      </c>
      <c r="B54" t="s">
        <v>58</v>
      </c>
      <c r="D54" s="87">
        <v>528</v>
      </c>
      <c r="E54" s="18">
        <f t="shared" si="16"/>
        <v>237.88124732076983</v>
      </c>
      <c r="F54" s="87">
        <f>'WGJ-4'!C39/1000</f>
        <v>765.88124732076983</v>
      </c>
      <c r="G54" s="87"/>
      <c r="H54" s="87">
        <v>59394.366704579188</v>
      </c>
      <c r="I54" s="92" t="s">
        <v>120</v>
      </c>
      <c r="J54" s="3">
        <f t="shared" si="17"/>
        <v>765.88124732076983</v>
      </c>
      <c r="K54" s="24">
        <f>'WGJ-4'!D39</f>
        <v>100418.53747367801</v>
      </c>
      <c r="L54" s="24">
        <f>'WGJ-4'!E39</f>
        <v>69670.012736320496</v>
      </c>
      <c r="M54" s="24">
        <f>'WGJ-4'!F39</f>
        <v>35275.389862060503</v>
      </c>
      <c r="N54" s="24">
        <f>'WGJ-4'!G39</f>
        <v>22835.3790074586</v>
      </c>
      <c r="O54" s="24">
        <f>'WGJ-4'!H39</f>
        <v>20229.568260908098</v>
      </c>
      <c r="P54" s="24">
        <f>'WGJ-4'!I39</f>
        <v>30653.531247377297</v>
      </c>
      <c r="Q54" s="24">
        <f>'WGJ-4'!J39</f>
        <v>85812.003993987993</v>
      </c>
      <c r="R54" s="24">
        <f>'WGJ-4'!K39</f>
        <v>126030.40122985801</v>
      </c>
      <c r="S54" s="24">
        <f>'WGJ-4'!L39</f>
        <v>84861.155700683594</v>
      </c>
      <c r="T54" s="24">
        <f>'WGJ-4'!M39</f>
        <v>48311.412537097902</v>
      </c>
      <c r="U54" s="24">
        <f>'WGJ-4'!N39</f>
        <v>52151.186704635598</v>
      </c>
      <c r="V54" s="24">
        <f>'WGJ-4'!O39</f>
        <v>89632.668566703796</v>
      </c>
    </row>
    <row r="55" spans="1:22">
      <c r="A55" s="5">
        <f t="shared" si="19"/>
        <v>41</v>
      </c>
      <c r="B55" s="102" t="s">
        <v>59</v>
      </c>
      <c r="C55" s="16"/>
      <c r="D55" s="88">
        <v>122</v>
      </c>
      <c r="E55" s="38">
        <f t="shared" si="16"/>
        <v>424.00128343384654</v>
      </c>
      <c r="F55" s="88">
        <f>'WGJ-4'!C43/1000</f>
        <v>546.00128343384654</v>
      </c>
      <c r="G55" s="87"/>
      <c r="H55" s="87">
        <v>6240</v>
      </c>
      <c r="I55" s="92" t="s">
        <v>120</v>
      </c>
      <c r="J55" s="83">
        <f t="shared" si="17"/>
        <v>546.00128343384654</v>
      </c>
      <c r="K55" s="119">
        <f>'WGJ-4'!D43</f>
        <v>71086.059084720822</v>
      </c>
      <c r="L55" s="119">
        <f>'WGJ-4'!E43</f>
        <v>50098.103011026964</v>
      </c>
      <c r="M55" s="119">
        <f>'WGJ-4'!F43</f>
        <v>27535.022707469743</v>
      </c>
      <c r="N55" s="119">
        <f>'WGJ-4'!G43</f>
        <v>16080.885606445307</v>
      </c>
      <c r="O55" s="119">
        <f>'WGJ-4'!H43</f>
        <v>9345.9683917462808</v>
      </c>
      <c r="P55" s="119">
        <f>'WGJ-4'!I43</f>
        <v>19628.5492341965</v>
      </c>
      <c r="Q55" s="119">
        <f>'WGJ-4'!J43</f>
        <v>53640.280684828707</v>
      </c>
      <c r="R55" s="119">
        <f>'WGJ-4'!K43</f>
        <v>70395.850768126518</v>
      </c>
      <c r="S55" s="119">
        <f>'WGJ-4'!L43</f>
        <v>60004.575657471971</v>
      </c>
      <c r="T55" s="119">
        <f>'WGJ-4'!M43</f>
        <v>50343.040609359683</v>
      </c>
      <c r="U55" s="119">
        <f>'WGJ-4'!N43</f>
        <v>49739.402669481875</v>
      </c>
      <c r="V55" s="119">
        <f>'WGJ-4'!O43</f>
        <v>68103.545008972273</v>
      </c>
    </row>
    <row r="56" spans="1:22">
      <c r="A56" s="5">
        <f t="shared" si="19"/>
        <v>42</v>
      </c>
      <c r="B56" t="s">
        <v>44</v>
      </c>
      <c r="D56" s="87">
        <f>SUM(D45:D55)</f>
        <v>77200</v>
      </c>
      <c r="E56" s="18">
        <f>F56-D56</f>
        <v>-7132.9152976119512</v>
      </c>
      <c r="F56" s="18">
        <f>SUM(F45:F55)</f>
        <v>70067.084702388049</v>
      </c>
      <c r="G56" s="18"/>
      <c r="H56" s="18">
        <v>0.11360950271288535</v>
      </c>
      <c r="I56" s="18"/>
      <c r="J56" s="3">
        <f t="shared" ref="J56:V56" si="24">SUM(J45:J55)</f>
        <v>70067.290702388054</v>
      </c>
      <c r="K56" s="24">
        <f t="shared" si="24"/>
        <v>8800466.8586340714</v>
      </c>
      <c r="L56" s="24">
        <f t="shared" si="24"/>
        <v>7046200.3123649387</v>
      </c>
      <c r="M56" s="24">
        <f t="shared" si="24"/>
        <v>6405716.6307053538</v>
      </c>
      <c r="N56" s="24">
        <f t="shared" si="24"/>
        <v>4139184.5415740325</v>
      </c>
      <c r="O56" s="24">
        <f t="shared" si="24"/>
        <v>1426182.2745713859</v>
      </c>
      <c r="P56" s="24">
        <f t="shared" si="24"/>
        <v>1698326.7733219671</v>
      </c>
      <c r="Q56" s="24">
        <f t="shared" si="24"/>
        <v>5653252.0131730093</v>
      </c>
      <c r="R56" s="24">
        <f t="shared" si="24"/>
        <v>7341418.3380883252</v>
      </c>
      <c r="S56" s="24">
        <f t="shared" si="24"/>
        <v>6493557.5377763212</v>
      </c>
      <c r="T56" s="24">
        <f t="shared" si="24"/>
        <v>6103470.4483232154</v>
      </c>
      <c r="U56" s="24">
        <f t="shared" si="24"/>
        <v>6561954.4002449028</v>
      </c>
      <c r="V56" s="24">
        <f t="shared" si="24"/>
        <v>8397560.5736105442</v>
      </c>
    </row>
    <row r="57" spans="1:22">
      <c r="A57" s="5"/>
      <c r="D57" s="18">
        <v>77200</v>
      </c>
      <c r="E57" s="18"/>
      <c r="F57" s="18"/>
      <c r="G57" s="18"/>
      <c r="H57" s="18">
        <v>3237.8010523088278</v>
      </c>
      <c r="I57" s="18"/>
      <c r="J57" s="3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1:22">
      <c r="A58" s="5"/>
      <c r="D58" s="18"/>
      <c r="E58" s="18"/>
      <c r="F58" s="18"/>
      <c r="G58" s="18"/>
      <c r="H58" s="18"/>
      <c r="I58" s="18"/>
      <c r="J58" s="3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spans="1:22">
      <c r="A59" s="5"/>
      <c r="D59" s="18"/>
      <c r="E59" s="18"/>
      <c r="F59" s="18"/>
      <c r="G59" s="18"/>
      <c r="H59" s="18"/>
      <c r="I59" s="18"/>
      <c r="J59" s="3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</row>
    <row r="60" spans="1:22">
      <c r="A60" s="5"/>
      <c r="D60" s="18"/>
      <c r="E60" s="18"/>
      <c r="F60" s="18"/>
      <c r="G60" s="18"/>
      <c r="H60" s="18">
        <v>592.63582339628294</v>
      </c>
      <c r="I60" s="18"/>
      <c r="J60" s="3"/>
    </row>
    <row r="61" spans="1:22">
      <c r="A61" s="5"/>
      <c r="B61" s="6" t="s">
        <v>10</v>
      </c>
      <c r="D61" s="18"/>
      <c r="E61" s="18" t="s">
        <v>9</v>
      </c>
      <c r="F61" s="18"/>
      <c r="G61" s="18"/>
      <c r="H61" s="38">
        <v>480</v>
      </c>
      <c r="I61" s="18"/>
      <c r="J61" s="3"/>
    </row>
    <row r="62" spans="1:22">
      <c r="A62" s="5">
        <f>A56+1</f>
        <v>43</v>
      </c>
      <c r="B62" t="s">
        <v>5</v>
      </c>
      <c r="C62" s="11"/>
      <c r="D62" s="87">
        <v>943</v>
      </c>
      <c r="E62" s="18">
        <f t="shared" ref="E62:E70" si="25">F62-D62</f>
        <v>0</v>
      </c>
      <c r="F62" s="87">
        <v>943</v>
      </c>
      <c r="G62" s="18"/>
      <c r="H62" s="18">
        <v>70026.232758276092</v>
      </c>
      <c r="I62" s="18"/>
      <c r="J62" s="3">
        <f t="shared" ref="J62:J71" si="26">SUM(K62:V62)/1000</f>
        <v>943.00000000000011</v>
      </c>
      <c r="K62" s="55">
        <f>$F62*1000/12</f>
        <v>78583.333333333328</v>
      </c>
      <c r="L62" s="55">
        <f t="shared" ref="L62:V63" si="27">$F62*1000/12</f>
        <v>78583.333333333328</v>
      </c>
      <c r="M62" s="55">
        <f t="shared" si="27"/>
        <v>78583.333333333328</v>
      </c>
      <c r="N62" s="55">
        <f t="shared" si="27"/>
        <v>78583.333333333328</v>
      </c>
      <c r="O62" s="55">
        <f t="shared" si="27"/>
        <v>78583.333333333328</v>
      </c>
      <c r="P62" s="55">
        <f t="shared" si="27"/>
        <v>78583.333333333328</v>
      </c>
      <c r="Q62" s="55">
        <f t="shared" si="27"/>
        <v>78583.333333333328</v>
      </c>
      <c r="R62" s="55">
        <f t="shared" si="27"/>
        <v>78583.333333333328</v>
      </c>
      <c r="S62" s="55">
        <f t="shared" si="27"/>
        <v>78583.333333333328</v>
      </c>
      <c r="T62" s="55">
        <f t="shared" si="27"/>
        <v>78583.333333333328</v>
      </c>
      <c r="U62" s="55">
        <f t="shared" si="27"/>
        <v>78583.333333333328</v>
      </c>
      <c r="V62" s="55">
        <f t="shared" si="27"/>
        <v>78583.333333333328</v>
      </c>
    </row>
    <row r="63" spans="1:22">
      <c r="A63" s="5">
        <f>A62+1</f>
        <v>44</v>
      </c>
      <c r="B63" t="s">
        <v>219</v>
      </c>
      <c r="D63" s="87">
        <v>38</v>
      </c>
      <c r="E63" s="18">
        <f t="shared" si="25"/>
        <v>0</v>
      </c>
      <c r="F63" s="87">
        <v>38</v>
      </c>
      <c r="G63" s="18"/>
      <c r="H63" s="18"/>
      <c r="I63" s="18"/>
      <c r="J63" s="3">
        <f t="shared" si="26"/>
        <v>38</v>
      </c>
      <c r="K63" s="55">
        <f>$F63*1000/12</f>
        <v>3166.6666666666665</v>
      </c>
      <c r="L63" s="55">
        <f t="shared" si="27"/>
        <v>3166.6666666666665</v>
      </c>
      <c r="M63" s="55">
        <f t="shared" si="27"/>
        <v>3166.6666666666665</v>
      </c>
      <c r="N63" s="55">
        <f t="shared" si="27"/>
        <v>3166.6666666666665</v>
      </c>
      <c r="O63" s="55">
        <f t="shared" si="27"/>
        <v>3166.6666666666665</v>
      </c>
      <c r="P63" s="55">
        <f t="shared" si="27"/>
        <v>3166.6666666666665</v>
      </c>
      <c r="Q63" s="55">
        <f t="shared" si="27"/>
        <v>3166.6666666666665</v>
      </c>
      <c r="R63" s="55">
        <f t="shared" si="27"/>
        <v>3166.6666666666665</v>
      </c>
      <c r="S63" s="55">
        <f t="shared" si="27"/>
        <v>3166.6666666666665</v>
      </c>
      <c r="T63" s="55">
        <f t="shared" si="27"/>
        <v>3166.6666666666665</v>
      </c>
      <c r="U63" s="55">
        <f t="shared" si="27"/>
        <v>3166.6666666666665</v>
      </c>
      <c r="V63" s="55">
        <f t="shared" si="27"/>
        <v>3166.6666666666665</v>
      </c>
    </row>
    <row r="64" spans="1:22">
      <c r="A64" s="5">
        <f t="shared" ref="A64:A71" si="28">A63+1</f>
        <v>45</v>
      </c>
      <c r="B64" t="s">
        <v>200</v>
      </c>
      <c r="D64" s="87">
        <v>12249</v>
      </c>
      <c r="E64" s="18">
        <f t="shared" si="25"/>
        <v>145</v>
      </c>
      <c r="F64" s="87">
        <v>12394</v>
      </c>
      <c r="G64" s="87"/>
      <c r="H64" s="87">
        <v>772</v>
      </c>
      <c r="I64" s="90"/>
      <c r="J64" s="3">
        <f t="shared" si="26"/>
        <v>12393.96</v>
      </c>
      <c r="K64" s="55">
        <v>1032830</v>
      </c>
      <c r="L64" s="55">
        <v>1032830</v>
      </c>
      <c r="M64" s="55">
        <v>1032830</v>
      </c>
      <c r="N64" s="55">
        <v>1032830</v>
      </c>
      <c r="O64" s="55">
        <v>1032830</v>
      </c>
      <c r="P64" s="55">
        <v>1032830</v>
      </c>
      <c r="Q64" s="55">
        <v>1032830</v>
      </c>
      <c r="R64" s="55">
        <v>1032830</v>
      </c>
      <c r="S64" s="55">
        <v>1032830</v>
      </c>
      <c r="T64" s="55">
        <v>1032830</v>
      </c>
      <c r="U64" s="55">
        <v>1032830</v>
      </c>
      <c r="V64" s="55">
        <v>1032830</v>
      </c>
    </row>
    <row r="65" spans="1:22">
      <c r="A65" s="5">
        <f t="shared" si="28"/>
        <v>46</v>
      </c>
      <c r="B65" t="s">
        <v>24</v>
      </c>
      <c r="D65" s="87">
        <v>1499</v>
      </c>
      <c r="E65" s="18">
        <f t="shared" si="25"/>
        <v>9</v>
      </c>
      <c r="F65" s="87">
        <v>1508</v>
      </c>
      <c r="G65" s="18" t="s">
        <v>155</v>
      </c>
      <c r="H65" s="18">
        <v>49</v>
      </c>
      <c r="I65" s="18"/>
      <c r="J65" s="3">
        <f t="shared" si="26"/>
        <v>1507.7159999999999</v>
      </c>
      <c r="K65" s="55">
        <v>125643</v>
      </c>
      <c r="L65" s="55">
        <v>125643</v>
      </c>
      <c r="M65" s="55">
        <v>125643</v>
      </c>
      <c r="N65" s="55">
        <v>125643</v>
      </c>
      <c r="O65" s="55">
        <v>125643</v>
      </c>
      <c r="P65" s="55">
        <v>125643</v>
      </c>
      <c r="Q65" s="55">
        <v>125643</v>
      </c>
      <c r="R65" s="55">
        <v>125643</v>
      </c>
      <c r="S65" s="55">
        <v>125643</v>
      </c>
      <c r="T65" s="55">
        <v>125643</v>
      </c>
      <c r="U65" s="55">
        <v>125643</v>
      </c>
      <c r="V65" s="55">
        <v>125643</v>
      </c>
    </row>
    <row r="66" spans="1:22">
      <c r="A66" s="5">
        <f t="shared" si="28"/>
        <v>47</v>
      </c>
      <c r="B66" t="s">
        <v>94</v>
      </c>
      <c r="D66" s="87">
        <v>1285</v>
      </c>
      <c r="E66" s="18">
        <f t="shared" si="25"/>
        <v>0</v>
      </c>
      <c r="F66" s="87">
        <v>1285</v>
      </c>
      <c r="G66" s="92"/>
      <c r="H66" s="18">
        <v>348</v>
      </c>
      <c r="I66" s="18"/>
      <c r="J66" s="3">
        <f t="shared" si="26"/>
        <v>1284.9606699999999</v>
      </c>
      <c r="K66" s="55">
        <v>23845.84</v>
      </c>
      <c r="L66" s="55">
        <v>257044.22</v>
      </c>
      <c r="M66" s="55">
        <v>125448.79</v>
      </c>
      <c r="N66" s="55">
        <v>106624.23</v>
      </c>
      <c r="O66" s="55">
        <v>80068.94</v>
      </c>
      <c r="P66" s="55">
        <v>72412.070000000007</v>
      </c>
      <c r="Q66" s="55">
        <v>127412.95</v>
      </c>
      <c r="R66" s="55">
        <v>118304.00999999998</v>
      </c>
      <c r="S66" s="55">
        <v>83839.069999999992</v>
      </c>
      <c r="T66" s="55">
        <v>81667.939999999988</v>
      </c>
      <c r="U66" s="55">
        <v>91687.44</v>
      </c>
      <c r="V66" s="55">
        <v>116605.16999999998</v>
      </c>
    </row>
    <row r="67" spans="1:22">
      <c r="A67" s="5">
        <f t="shared" si="28"/>
        <v>48</v>
      </c>
      <c r="B67" t="s">
        <v>93</v>
      </c>
      <c r="D67" s="87">
        <v>45</v>
      </c>
      <c r="E67" s="18">
        <f t="shared" si="25"/>
        <v>0</v>
      </c>
      <c r="F67" s="87">
        <v>45</v>
      </c>
      <c r="G67" s="18"/>
      <c r="H67" s="18">
        <v>8315</v>
      </c>
      <c r="I67" s="18"/>
      <c r="J67" s="3">
        <f t="shared" si="26"/>
        <v>45.222000000000001</v>
      </c>
      <c r="K67" s="55">
        <v>3768.5</v>
      </c>
      <c r="L67" s="55">
        <v>3768.5</v>
      </c>
      <c r="M67" s="55">
        <v>3768.5</v>
      </c>
      <c r="N67" s="55">
        <v>3768.5</v>
      </c>
      <c r="O67" s="55">
        <v>3768.5</v>
      </c>
      <c r="P67" s="55">
        <v>3768.5</v>
      </c>
      <c r="Q67" s="55">
        <v>3768.5</v>
      </c>
      <c r="R67" s="55">
        <v>3768.5</v>
      </c>
      <c r="S67" s="55">
        <v>3768.5</v>
      </c>
      <c r="T67" s="55">
        <v>3768.5</v>
      </c>
      <c r="U67" s="55">
        <v>3768.5</v>
      </c>
      <c r="V67" s="55">
        <v>3768.5</v>
      </c>
    </row>
    <row r="68" spans="1:22">
      <c r="A68" s="5">
        <f t="shared" si="28"/>
        <v>49</v>
      </c>
      <c r="B68" t="s">
        <v>123</v>
      </c>
      <c r="D68" s="87">
        <v>134</v>
      </c>
      <c r="E68" s="18">
        <f t="shared" si="25"/>
        <v>0</v>
      </c>
      <c r="F68" s="87">
        <v>134</v>
      </c>
      <c r="G68" s="18"/>
      <c r="H68" s="18">
        <v>1245</v>
      </c>
      <c r="I68" s="18"/>
      <c r="J68" s="3">
        <f t="shared" si="26"/>
        <v>134.00000000000003</v>
      </c>
      <c r="K68" s="55">
        <f>$F68*1000/12</f>
        <v>11166.666666666666</v>
      </c>
      <c r="L68" s="55">
        <f t="shared" ref="L68:V68" si="29">$F68*1000/12</f>
        <v>11166.666666666666</v>
      </c>
      <c r="M68" s="55">
        <f t="shared" si="29"/>
        <v>11166.666666666666</v>
      </c>
      <c r="N68" s="55">
        <f t="shared" si="29"/>
        <v>11166.666666666666</v>
      </c>
      <c r="O68" s="55">
        <f t="shared" si="29"/>
        <v>11166.666666666666</v>
      </c>
      <c r="P68" s="55">
        <f t="shared" si="29"/>
        <v>11166.666666666666</v>
      </c>
      <c r="Q68" s="55">
        <f t="shared" si="29"/>
        <v>11166.666666666666</v>
      </c>
      <c r="R68" s="55">
        <f t="shared" si="29"/>
        <v>11166.666666666666</v>
      </c>
      <c r="S68" s="55">
        <f t="shared" si="29"/>
        <v>11166.666666666666</v>
      </c>
      <c r="T68" s="55">
        <f t="shared" si="29"/>
        <v>11166.666666666666</v>
      </c>
      <c r="U68" s="55">
        <f t="shared" si="29"/>
        <v>11166.666666666666</v>
      </c>
      <c r="V68" s="55">
        <f t="shared" si="29"/>
        <v>11166.666666666666</v>
      </c>
    </row>
    <row r="69" spans="1:22">
      <c r="A69" s="5">
        <f t="shared" si="28"/>
        <v>50</v>
      </c>
      <c r="B69" t="s">
        <v>201</v>
      </c>
      <c r="C69" s="11"/>
      <c r="D69" s="87">
        <v>415</v>
      </c>
      <c r="E69" s="18">
        <f t="shared" si="25"/>
        <v>0</v>
      </c>
      <c r="F69" s="87">
        <v>415</v>
      </c>
      <c r="G69" s="92"/>
      <c r="H69" s="18">
        <v>1689</v>
      </c>
      <c r="I69" s="18"/>
      <c r="J69" s="3">
        <f t="shared" si="26"/>
        <v>414.88107000000002</v>
      </c>
      <c r="K69" s="55">
        <v>54305.039999999994</v>
      </c>
      <c r="L69" s="55">
        <v>52721.73</v>
      </c>
      <c r="M69" s="55">
        <v>22572.27</v>
      </c>
      <c r="N69" s="55">
        <v>8449.73</v>
      </c>
      <c r="O69" s="55">
        <v>5366.17</v>
      </c>
      <c r="P69" s="55">
        <v>10188.42</v>
      </c>
      <c r="Q69" s="55">
        <v>16830.95</v>
      </c>
      <c r="R69" s="55">
        <v>16190.53</v>
      </c>
      <c r="S69" s="55">
        <v>174894.54</v>
      </c>
      <c r="T69" s="55">
        <v>16485.849999999999</v>
      </c>
      <c r="U69" s="55">
        <v>16053.889999999998</v>
      </c>
      <c r="V69" s="55">
        <v>20821.949999999997</v>
      </c>
    </row>
    <row r="70" spans="1:22">
      <c r="A70" s="5">
        <f t="shared" si="28"/>
        <v>51</v>
      </c>
      <c r="B70" s="16" t="s">
        <v>28</v>
      </c>
      <c r="C70" s="16"/>
      <c r="D70" s="88">
        <v>643</v>
      </c>
      <c r="E70" s="38">
        <f t="shared" si="25"/>
        <v>0</v>
      </c>
      <c r="F70" s="88">
        <v>643</v>
      </c>
      <c r="G70" s="18"/>
      <c r="H70" s="18">
        <v>32.112000000000002</v>
      </c>
      <c r="I70" s="18"/>
      <c r="J70" s="83">
        <f t="shared" si="26"/>
        <v>642.58799999999997</v>
      </c>
      <c r="K70" s="101">
        <v>53549</v>
      </c>
      <c r="L70" s="101">
        <v>53549</v>
      </c>
      <c r="M70" s="101">
        <v>53549</v>
      </c>
      <c r="N70" s="101">
        <v>53549</v>
      </c>
      <c r="O70" s="101">
        <v>53549</v>
      </c>
      <c r="P70" s="101">
        <v>53549</v>
      </c>
      <c r="Q70" s="101">
        <v>53549</v>
      </c>
      <c r="R70" s="101">
        <v>53549</v>
      </c>
      <c r="S70" s="101">
        <v>53549</v>
      </c>
      <c r="T70" s="101">
        <v>53549</v>
      </c>
      <c r="U70" s="101">
        <v>53549</v>
      </c>
      <c r="V70" s="101">
        <v>53549</v>
      </c>
    </row>
    <row r="71" spans="1:22">
      <c r="A71" s="5">
        <f t="shared" si="28"/>
        <v>52</v>
      </c>
      <c r="B71" t="s">
        <v>11</v>
      </c>
      <c r="D71" s="87">
        <f>SUM(D62:D70)</f>
        <v>17251</v>
      </c>
      <c r="E71" s="18">
        <f>F71-D71</f>
        <v>154</v>
      </c>
      <c r="F71" s="18">
        <f>SUM(F62:F70)</f>
        <v>17405</v>
      </c>
      <c r="G71" s="18"/>
      <c r="H71" s="18">
        <v>214</v>
      </c>
      <c r="I71" s="18"/>
      <c r="J71" s="3">
        <f t="shared" si="26"/>
        <v>17404.327740000001</v>
      </c>
      <c r="K71" s="24">
        <f t="shared" ref="K71:V71" si="30">SUM(K62:K70)</f>
        <v>1386858.0466666669</v>
      </c>
      <c r="L71" s="24">
        <f t="shared" si="30"/>
        <v>1618473.1166666667</v>
      </c>
      <c r="M71" s="24">
        <f t="shared" si="30"/>
        <v>1456728.2266666668</v>
      </c>
      <c r="N71" s="24">
        <f t="shared" si="30"/>
        <v>1423781.1266666667</v>
      </c>
      <c r="O71" s="24">
        <f t="shared" si="30"/>
        <v>1394142.2766666666</v>
      </c>
      <c r="P71" s="24">
        <f t="shared" si="30"/>
        <v>1391307.6566666667</v>
      </c>
      <c r="Q71" s="24">
        <f t="shared" si="30"/>
        <v>1452951.0666666667</v>
      </c>
      <c r="R71" s="24">
        <f t="shared" si="30"/>
        <v>1443201.7066666668</v>
      </c>
      <c r="S71" s="24">
        <f t="shared" si="30"/>
        <v>1567440.7766666668</v>
      </c>
      <c r="T71" s="24">
        <f t="shared" si="30"/>
        <v>1406860.9566666668</v>
      </c>
      <c r="U71" s="24">
        <f t="shared" si="30"/>
        <v>1416448.4966666666</v>
      </c>
      <c r="V71" s="24">
        <f t="shared" si="30"/>
        <v>1446134.2866666666</v>
      </c>
    </row>
    <row r="72" spans="1:22" ht="12.95" customHeight="1">
      <c r="A72" s="5"/>
      <c r="D72" s="18">
        <v>17251</v>
      </c>
      <c r="E72" s="18"/>
      <c r="F72" s="18"/>
      <c r="G72" s="18"/>
      <c r="H72" s="38">
        <v>643</v>
      </c>
      <c r="I72" s="18"/>
      <c r="J72" s="3"/>
    </row>
    <row r="73" spans="1:22" ht="12" customHeight="1">
      <c r="A73" s="5"/>
      <c r="B73" s="6" t="s">
        <v>14</v>
      </c>
      <c r="D73" s="18"/>
      <c r="E73" s="18"/>
      <c r="F73" s="18"/>
      <c r="G73" s="18"/>
      <c r="H73" s="18">
        <v>13307.111999999999</v>
      </c>
      <c r="I73" s="18"/>
      <c r="J73" s="3"/>
    </row>
    <row r="74" spans="1:22" ht="12" customHeight="1">
      <c r="A74" s="5">
        <f>A71+1</f>
        <v>53</v>
      </c>
      <c r="B74" t="s">
        <v>103</v>
      </c>
      <c r="D74" s="87">
        <v>989</v>
      </c>
      <c r="E74" s="87">
        <f>F74-D74</f>
        <v>40</v>
      </c>
      <c r="F74" s="87">
        <v>1029</v>
      </c>
      <c r="G74" s="87"/>
      <c r="H74" s="87"/>
      <c r="I74" s="18"/>
      <c r="J74" s="3">
        <f t="shared" ref="J74" si="31">SUM(K74:V74)/1000</f>
        <v>1029</v>
      </c>
      <c r="K74" s="55">
        <f>$F74*1000/12</f>
        <v>85750</v>
      </c>
      <c r="L74" s="55">
        <f t="shared" ref="L74:V74" si="32">$F74*1000/12</f>
        <v>85750</v>
      </c>
      <c r="M74" s="55">
        <f t="shared" si="32"/>
        <v>85750</v>
      </c>
      <c r="N74" s="55">
        <f t="shared" si="32"/>
        <v>85750</v>
      </c>
      <c r="O74" s="55">
        <f t="shared" si="32"/>
        <v>85750</v>
      </c>
      <c r="P74" s="55">
        <f t="shared" si="32"/>
        <v>85750</v>
      </c>
      <c r="Q74" s="55">
        <f t="shared" si="32"/>
        <v>85750</v>
      </c>
      <c r="R74" s="55">
        <f t="shared" si="32"/>
        <v>85750</v>
      </c>
      <c r="S74" s="55">
        <f t="shared" si="32"/>
        <v>85750</v>
      </c>
      <c r="T74" s="55">
        <f t="shared" si="32"/>
        <v>85750</v>
      </c>
      <c r="U74" s="55">
        <f t="shared" si="32"/>
        <v>85750</v>
      </c>
      <c r="V74" s="55">
        <f t="shared" si="32"/>
        <v>85750</v>
      </c>
    </row>
    <row r="75" spans="1:22" ht="12" customHeight="1">
      <c r="A75" s="5"/>
      <c r="D75" s="18"/>
      <c r="E75" s="18"/>
      <c r="F75" s="18"/>
      <c r="G75" s="18"/>
      <c r="H75" s="18"/>
      <c r="I75" s="18"/>
      <c r="J75" s="3"/>
    </row>
    <row r="76" spans="1:22" ht="12" customHeight="1">
      <c r="A76" s="5">
        <f>A74+1</f>
        <v>54</v>
      </c>
      <c r="B76" s="40" t="s">
        <v>15</v>
      </c>
      <c r="C76" s="34"/>
      <c r="D76" s="41">
        <f>D27+D35+D42+D56+D71+D74</f>
        <v>338580</v>
      </c>
      <c r="E76" s="41">
        <f>F76-D76</f>
        <v>-109398.52508783533</v>
      </c>
      <c r="F76" s="42">
        <f>F27+F35+F42+F56+F71+F74</f>
        <v>229181.47491216467</v>
      </c>
      <c r="G76" s="18"/>
      <c r="H76" s="18">
        <v>133</v>
      </c>
      <c r="I76" s="18"/>
      <c r="J76" s="3"/>
    </row>
    <row r="77" spans="1:22" ht="12" customHeight="1">
      <c r="A77" s="5"/>
      <c r="B77" s="2"/>
      <c r="D77" s="18"/>
      <c r="E77" s="18"/>
      <c r="F77" s="18"/>
      <c r="G77" s="18"/>
      <c r="H77" s="38"/>
      <c r="I77" s="18"/>
      <c r="J77" s="3"/>
    </row>
    <row r="78" spans="1:22" ht="12" customHeight="1">
      <c r="A78" s="5"/>
      <c r="B78" s="6" t="s">
        <v>16</v>
      </c>
      <c r="D78" s="18"/>
      <c r="E78" s="18"/>
      <c r="F78" s="18"/>
      <c r="G78" s="18"/>
      <c r="H78" s="41">
        <v>188457.26014905036</v>
      </c>
      <c r="I78" s="18"/>
      <c r="J78" s="3"/>
      <c r="K78" s="46">
        <v>41274</v>
      </c>
      <c r="L78" s="46">
        <v>41305</v>
      </c>
      <c r="M78" s="46">
        <v>41333</v>
      </c>
      <c r="N78" s="46">
        <v>41364</v>
      </c>
      <c r="O78" s="46">
        <v>41394</v>
      </c>
      <c r="P78" s="46">
        <v>41425</v>
      </c>
      <c r="Q78" s="46">
        <v>41455</v>
      </c>
      <c r="R78" s="46">
        <v>41486</v>
      </c>
      <c r="S78" s="46">
        <v>41517</v>
      </c>
      <c r="T78" s="46">
        <v>41547</v>
      </c>
      <c r="U78" s="46">
        <v>41578</v>
      </c>
      <c r="V78" s="46">
        <v>41608</v>
      </c>
    </row>
    <row r="79" spans="1:22" ht="12.95" customHeight="1">
      <c r="A79" s="5">
        <f>A76+1</f>
        <v>55</v>
      </c>
      <c r="B79" t="s">
        <v>151</v>
      </c>
      <c r="D79" s="87">
        <v>0</v>
      </c>
      <c r="E79" s="18">
        <f t="shared" ref="E79:E88" si="33">F79-D79</f>
        <v>40098.890730285588</v>
      </c>
      <c r="F79" s="18">
        <f>-'WGJ-4'!C9/1000</f>
        <v>40098.890730285588</v>
      </c>
      <c r="G79" s="18"/>
      <c r="H79" s="18"/>
      <c r="I79" s="17"/>
      <c r="J79" s="3">
        <f>SUM(K79:V79)/1000</f>
        <v>40098.890730285588</v>
      </c>
      <c r="K79" s="24">
        <f>-'WGJ-4'!D9</f>
        <v>4924207.9269409096</v>
      </c>
      <c r="L79" s="24">
        <f>-'WGJ-4'!E9</f>
        <v>3098277.3880004804</v>
      </c>
      <c r="M79" s="24">
        <f>-'WGJ-4'!F9</f>
        <v>3427770.0698852502</v>
      </c>
      <c r="N79" s="24">
        <f>-'WGJ-4'!G9</f>
        <v>4965029.5150756799</v>
      </c>
      <c r="O79" s="24">
        <f>-'WGJ-4'!H9</f>
        <v>2074276.3118743801</v>
      </c>
      <c r="P79" s="24">
        <f>-'WGJ-4'!I9</f>
        <v>2005337.1635437</v>
      </c>
      <c r="Q79" s="24">
        <f>-'WGJ-4'!J9</f>
        <v>4017292.6815032903</v>
      </c>
      <c r="R79" s="24">
        <f>-'WGJ-4'!K9</f>
        <v>2153446.7987060496</v>
      </c>
      <c r="S79" s="24">
        <f>-'WGJ-4'!L9</f>
        <v>2849883.7310791002</v>
      </c>
      <c r="T79" s="24">
        <f>-'WGJ-4'!M9</f>
        <v>1871755.9707641602</v>
      </c>
      <c r="U79" s="24">
        <f>-'WGJ-4'!N9</f>
        <v>3301713.7985229399</v>
      </c>
      <c r="V79" s="24">
        <f>-'WGJ-4'!O9</f>
        <v>5409899.3743896401</v>
      </c>
    </row>
    <row r="80" spans="1:22" ht="12.95" customHeight="1">
      <c r="A80" s="5">
        <f t="shared" ref="A80:A88" si="34">A79+1</f>
        <v>56</v>
      </c>
      <c r="B80" t="s">
        <v>178</v>
      </c>
      <c r="D80" s="87">
        <v>82549</v>
      </c>
      <c r="E80" s="18">
        <f t="shared" si="33"/>
        <v>-82549</v>
      </c>
      <c r="F80" s="127">
        <v>0</v>
      </c>
      <c r="G80" s="18"/>
      <c r="H80" s="18"/>
      <c r="I80" s="17"/>
      <c r="J80" s="3">
        <f>SUM(K80:V80)/1000</f>
        <v>0</v>
      </c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</row>
    <row r="81" spans="1:22" ht="12.95" customHeight="1">
      <c r="A81" s="5">
        <f t="shared" si="34"/>
        <v>57</v>
      </c>
      <c r="B81" t="s">
        <v>177</v>
      </c>
      <c r="D81" s="87">
        <v>0</v>
      </c>
      <c r="E81" s="18">
        <f t="shared" si="33"/>
        <v>3145</v>
      </c>
      <c r="F81" s="127">
        <v>3145</v>
      </c>
      <c r="G81" s="18"/>
      <c r="H81" s="18"/>
      <c r="I81" s="17"/>
      <c r="J81" s="3">
        <f>SUM(K81:V81)/1000</f>
        <v>3145.1086862453626</v>
      </c>
      <c r="K81" s="24">
        <v>-110026.88418664005</v>
      </c>
      <c r="L81" s="24">
        <v>65454.987863823619</v>
      </c>
      <c r="M81" s="24">
        <v>396190.45376591361</v>
      </c>
      <c r="N81" s="24">
        <v>805398.38743209571</v>
      </c>
      <c r="O81" s="24">
        <v>1136644.7969913429</v>
      </c>
      <c r="P81" s="24">
        <v>968692.28081349179</v>
      </c>
      <c r="Q81" s="24">
        <v>147428.63997681966</v>
      </c>
      <c r="R81" s="24">
        <v>-270701.30962394149</v>
      </c>
      <c r="S81" s="24">
        <v>-56749.519648588896</v>
      </c>
      <c r="T81" s="24">
        <v>290120.00899985409</v>
      </c>
      <c r="U81" s="24">
        <v>96946.243869885424</v>
      </c>
      <c r="V81" s="24">
        <v>-324289.40000869322</v>
      </c>
    </row>
    <row r="82" spans="1:22">
      <c r="A82" s="5">
        <f t="shared" si="34"/>
        <v>58</v>
      </c>
      <c r="B82" s="146" t="s">
        <v>231</v>
      </c>
      <c r="D82" s="87">
        <v>19278</v>
      </c>
      <c r="E82" s="18">
        <f t="shared" si="33"/>
        <v>-19278</v>
      </c>
      <c r="F82" s="87">
        <v>0</v>
      </c>
      <c r="G82" s="18"/>
      <c r="H82" s="18"/>
      <c r="I82" s="18"/>
      <c r="J82" s="3">
        <f t="shared" ref="J82:J89" si="35">SUM(K82:V82)/1000</f>
        <v>0</v>
      </c>
      <c r="K82" s="130">
        <v>0</v>
      </c>
      <c r="L82" s="130">
        <v>0</v>
      </c>
      <c r="M82" s="130">
        <v>0</v>
      </c>
      <c r="N82" s="130">
        <v>0</v>
      </c>
      <c r="O82" s="130">
        <v>0</v>
      </c>
      <c r="P82" s="130">
        <v>0</v>
      </c>
      <c r="Q82" s="130">
        <v>0</v>
      </c>
      <c r="R82" s="130">
        <v>0</v>
      </c>
      <c r="S82" s="130">
        <v>0</v>
      </c>
      <c r="T82" s="130">
        <v>0</v>
      </c>
      <c r="U82" s="130">
        <v>0</v>
      </c>
      <c r="V82" s="130">
        <v>0</v>
      </c>
    </row>
    <row r="83" spans="1:22">
      <c r="A83" s="5">
        <f t="shared" si="34"/>
        <v>59</v>
      </c>
      <c r="B83" t="s">
        <v>29</v>
      </c>
      <c r="D83" s="95">
        <v>953</v>
      </c>
      <c r="E83" s="18">
        <f t="shared" si="33"/>
        <v>-380.48997522517516</v>
      </c>
      <c r="F83" s="87">
        <f>Index!C16/1000</f>
        <v>572.51002477482484</v>
      </c>
      <c r="G83" s="116" t="s">
        <v>119</v>
      </c>
      <c r="H83" s="95">
        <v>1800</v>
      </c>
      <c r="I83" s="91" t="s">
        <v>119</v>
      </c>
      <c r="J83" s="3">
        <f t="shared" si="35"/>
        <v>572.51002477482484</v>
      </c>
      <c r="K83" s="24">
        <f>Index!D16</f>
        <v>0</v>
      </c>
      <c r="L83" s="24">
        <f>Index!E16</f>
        <v>0</v>
      </c>
      <c r="M83" s="24">
        <f>Index!F16</f>
        <v>0</v>
      </c>
      <c r="N83" s="24">
        <f>Index!G16</f>
        <v>0</v>
      </c>
      <c r="O83" s="24">
        <f>Index!H16</f>
        <v>60214.438156475888</v>
      </c>
      <c r="P83" s="24">
        <f>Index!I16</f>
        <v>63498.452270066919</v>
      </c>
      <c r="Q83" s="24">
        <f>Index!J16</f>
        <v>105853.97564935313</v>
      </c>
      <c r="R83" s="24">
        <f>Index!K16</f>
        <v>125438.57952714578</v>
      </c>
      <c r="S83" s="24">
        <f>Index!L16</f>
        <v>114255.44771428569</v>
      </c>
      <c r="T83" s="24">
        <f>Index!M16</f>
        <v>103249.13145749744</v>
      </c>
      <c r="U83" s="24">
        <f>Index!N16</f>
        <v>0</v>
      </c>
      <c r="V83" s="24">
        <f>Index!O16</f>
        <v>0</v>
      </c>
    </row>
    <row r="84" spans="1:22">
      <c r="A84" s="5">
        <f t="shared" si="34"/>
        <v>60</v>
      </c>
      <c r="B84" t="s">
        <v>117</v>
      </c>
      <c r="D84" s="95">
        <v>150</v>
      </c>
      <c r="E84" s="18">
        <f t="shared" si="33"/>
        <v>0</v>
      </c>
      <c r="F84" s="87">
        <v>150</v>
      </c>
      <c r="G84" s="19"/>
      <c r="H84" s="19">
        <v>-63</v>
      </c>
      <c r="J84" s="3">
        <f t="shared" si="35"/>
        <v>150</v>
      </c>
      <c r="K84" s="24">
        <f t="shared" ref="K84:K85" si="36">$F84/12*1000</f>
        <v>12500</v>
      </c>
      <c r="L84" s="24">
        <f t="shared" ref="L84:V85" si="37">$F84/12*1000</f>
        <v>12500</v>
      </c>
      <c r="M84" s="24">
        <f t="shared" si="37"/>
        <v>12500</v>
      </c>
      <c r="N84" s="24">
        <f t="shared" si="37"/>
        <v>12500</v>
      </c>
      <c r="O84" s="24">
        <f t="shared" si="37"/>
        <v>12500</v>
      </c>
      <c r="P84" s="24">
        <f t="shared" si="37"/>
        <v>12500</v>
      </c>
      <c r="Q84" s="24">
        <f t="shared" si="37"/>
        <v>12500</v>
      </c>
      <c r="R84" s="24">
        <f t="shared" si="37"/>
        <v>12500</v>
      </c>
      <c r="S84" s="24">
        <f t="shared" si="37"/>
        <v>12500</v>
      </c>
      <c r="T84" s="24">
        <f t="shared" si="37"/>
        <v>12500</v>
      </c>
      <c r="U84" s="24">
        <f t="shared" si="37"/>
        <v>12500</v>
      </c>
      <c r="V84" s="24">
        <f t="shared" si="37"/>
        <v>12500</v>
      </c>
    </row>
    <row r="85" spans="1:22">
      <c r="A85" s="5">
        <f t="shared" si="34"/>
        <v>61</v>
      </c>
      <c r="B85" t="s">
        <v>30</v>
      </c>
      <c r="D85" s="95">
        <v>601</v>
      </c>
      <c r="E85" s="18">
        <f t="shared" si="33"/>
        <v>0</v>
      </c>
      <c r="F85" s="87">
        <v>601</v>
      </c>
      <c r="G85" s="76"/>
      <c r="H85" s="76">
        <v>272</v>
      </c>
      <c r="J85" s="3">
        <f t="shared" si="35"/>
        <v>601</v>
      </c>
      <c r="K85" s="24">
        <f t="shared" si="36"/>
        <v>50083.333333333336</v>
      </c>
      <c r="L85" s="24">
        <f t="shared" si="37"/>
        <v>50083.333333333336</v>
      </c>
      <c r="M85" s="24">
        <f t="shared" si="37"/>
        <v>50083.333333333336</v>
      </c>
      <c r="N85" s="24">
        <f t="shared" si="37"/>
        <v>50083.333333333336</v>
      </c>
      <c r="O85" s="24">
        <f t="shared" si="37"/>
        <v>50083.333333333336</v>
      </c>
      <c r="P85" s="24">
        <f t="shared" si="37"/>
        <v>50083.333333333336</v>
      </c>
      <c r="Q85" s="24">
        <f t="shared" si="37"/>
        <v>50083.333333333336</v>
      </c>
      <c r="R85" s="24">
        <f t="shared" si="37"/>
        <v>50083.333333333336</v>
      </c>
      <c r="S85" s="24">
        <f t="shared" si="37"/>
        <v>50083.333333333336</v>
      </c>
      <c r="T85" s="24">
        <f t="shared" si="37"/>
        <v>50083.333333333336</v>
      </c>
      <c r="U85" s="24">
        <f t="shared" si="37"/>
        <v>50083.333333333336</v>
      </c>
      <c r="V85" s="24">
        <f t="shared" si="37"/>
        <v>50083.333333333336</v>
      </c>
    </row>
    <row r="86" spans="1:22">
      <c r="A86" s="5">
        <f t="shared" si="34"/>
        <v>62</v>
      </c>
      <c r="B86" t="s">
        <v>224</v>
      </c>
      <c r="D86" s="95">
        <v>13462</v>
      </c>
      <c r="E86" s="18">
        <f t="shared" si="33"/>
        <v>-4346.5605025186633</v>
      </c>
      <c r="F86" s="87">
        <f>Index!C21/1000</f>
        <v>9115.4394974813367</v>
      </c>
      <c r="G86" s="19"/>
      <c r="H86" s="19"/>
      <c r="J86" s="3">
        <f t="shared" si="35"/>
        <v>9115.4394974813367</v>
      </c>
      <c r="K86" s="24">
        <f>Index!D21</f>
        <v>476199.68386459321</v>
      </c>
      <c r="L86" s="24">
        <f>Index!E21</f>
        <v>404495.11450195283</v>
      </c>
      <c r="M86" s="24">
        <f>Index!F21</f>
        <v>398162.37753295864</v>
      </c>
      <c r="N86" s="24">
        <f>Index!G21</f>
        <v>306960.70821762038</v>
      </c>
      <c r="O86" s="24">
        <f>Index!H21</f>
        <v>641461.8742847431</v>
      </c>
      <c r="P86" s="24">
        <f>Index!I21</f>
        <v>658958.04369449487</v>
      </c>
      <c r="Q86" s="24">
        <f>Index!J21</f>
        <v>971886.28998756304</v>
      </c>
      <c r="R86" s="24">
        <f>Index!K21</f>
        <v>1125148.5997009273</v>
      </c>
      <c r="S86" s="24">
        <f>Index!L21</f>
        <v>1028831.2728881829</v>
      </c>
      <c r="T86" s="24">
        <f>Index!M21</f>
        <v>958390.52547454741</v>
      </c>
      <c r="U86" s="24">
        <f>Index!N21</f>
        <v>989151.97477340617</v>
      </c>
      <c r="V86" s="24">
        <f>Index!O21</f>
        <v>1155793.0325603476</v>
      </c>
    </row>
    <row r="87" spans="1:22">
      <c r="A87" s="5">
        <f t="shared" si="34"/>
        <v>63</v>
      </c>
      <c r="B87" t="s">
        <v>230</v>
      </c>
      <c r="D87" s="95">
        <v>0</v>
      </c>
      <c r="E87" s="18">
        <f t="shared" si="33"/>
        <v>421</v>
      </c>
      <c r="F87" s="87">
        <v>421</v>
      </c>
      <c r="G87" s="19"/>
      <c r="H87" s="19"/>
      <c r="J87" s="3">
        <f t="shared" si="35"/>
        <v>420.90651173591721</v>
      </c>
      <c r="K87" s="137">
        <v>57890.402984618959</v>
      </c>
      <c r="L87" s="137">
        <v>57323.624420166081</v>
      </c>
      <c r="M87" s="137">
        <v>78334.593582154077</v>
      </c>
      <c r="N87" s="137">
        <v>76699.641418457075</v>
      </c>
      <c r="O87" s="137">
        <v>17789.608335495002</v>
      </c>
      <c r="P87" s="137">
        <v>23186.312007903995</v>
      </c>
      <c r="Q87" s="137">
        <v>20554.434204101995</v>
      </c>
      <c r="R87" s="137">
        <v>19334.635353088997</v>
      </c>
      <c r="S87" s="137">
        <v>17967.793655394984</v>
      </c>
      <c r="T87" s="137">
        <v>18159.862518310008</v>
      </c>
      <c r="U87" s="137">
        <v>17629.239082336993</v>
      </c>
      <c r="V87" s="137">
        <v>16036.364173889013</v>
      </c>
    </row>
    <row r="88" spans="1:22">
      <c r="A88" s="5">
        <f t="shared" si="34"/>
        <v>64</v>
      </c>
      <c r="B88" s="16" t="s">
        <v>218</v>
      </c>
      <c r="C88" s="16"/>
      <c r="D88" s="88">
        <v>1823</v>
      </c>
      <c r="E88" s="38">
        <f t="shared" si="33"/>
        <v>-1823</v>
      </c>
      <c r="F88" s="38">
        <v>0</v>
      </c>
      <c r="G88" s="19"/>
      <c r="H88" s="19"/>
      <c r="J88" s="3">
        <f t="shared" si="35"/>
        <v>0</v>
      </c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</row>
    <row r="89" spans="1:22">
      <c r="A89" s="5">
        <f>A88+1</f>
        <v>65</v>
      </c>
      <c r="B89" t="s">
        <v>17</v>
      </c>
      <c r="D89" s="18">
        <f>SUM(D79:D88)</f>
        <v>118816</v>
      </c>
      <c r="E89" s="18">
        <f>F89-D89</f>
        <v>-64712.159747458252</v>
      </c>
      <c r="F89" s="18">
        <f>SUM(F79:F88)</f>
        <v>54103.840252541748</v>
      </c>
      <c r="G89" s="18"/>
      <c r="H89" s="38">
        <v>0</v>
      </c>
      <c r="I89" s="18"/>
      <c r="J89" s="3">
        <f t="shared" si="35"/>
        <v>54103.85545052302</v>
      </c>
      <c r="K89" s="24">
        <f t="shared" ref="K89:V89" si="38">SUM(K79:K88)</f>
        <v>5410854.4629368149</v>
      </c>
      <c r="L89" s="24">
        <f t="shared" si="38"/>
        <v>3688134.4481197563</v>
      </c>
      <c r="M89" s="24">
        <f t="shared" si="38"/>
        <v>4363040.8280996103</v>
      </c>
      <c r="N89" s="24">
        <f t="shared" si="38"/>
        <v>6216671.5854771864</v>
      </c>
      <c r="O89" s="24">
        <f t="shared" si="38"/>
        <v>3992970.3629757706</v>
      </c>
      <c r="P89" s="24">
        <f t="shared" si="38"/>
        <v>3782255.5856629908</v>
      </c>
      <c r="Q89" s="24">
        <f t="shared" si="38"/>
        <v>5325599.3546544611</v>
      </c>
      <c r="R89" s="24">
        <f t="shared" si="38"/>
        <v>3215250.6369966031</v>
      </c>
      <c r="S89" s="24">
        <f t="shared" si="38"/>
        <v>4016772.059021709</v>
      </c>
      <c r="T89" s="24">
        <f t="shared" si="38"/>
        <v>3304258.8325477028</v>
      </c>
      <c r="U89" s="24">
        <f t="shared" si="38"/>
        <v>4468024.5895819021</v>
      </c>
      <c r="V89" s="24">
        <f t="shared" si="38"/>
        <v>6320022.7044485165</v>
      </c>
    </row>
    <row r="90" spans="1:22">
      <c r="A90" s="5"/>
      <c r="D90" s="18">
        <v>118816</v>
      </c>
      <c r="E90" s="18"/>
      <c r="F90" s="18"/>
      <c r="G90" s="18"/>
      <c r="H90" s="18">
        <v>62060.890920372694</v>
      </c>
      <c r="I90" s="18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>
      <c r="A91" s="5"/>
      <c r="B91" s="6" t="s">
        <v>18</v>
      </c>
      <c r="D91" s="18"/>
      <c r="E91" s="18" t="s">
        <v>9</v>
      </c>
      <c r="F91" s="18"/>
      <c r="G91" s="18"/>
      <c r="H91" s="18"/>
      <c r="I91" s="18"/>
      <c r="J91" s="3"/>
    </row>
    <row r="92" spans="1:22">
      <c r="A92" s="5">
        <f>A89+1</f>
        <v>66</v>
      </c>
      <c r="B92" t="s">
        <v>204</v>
      </c>
      <c r="D92" s="87">
        <v>5355</v>
      </c>
      <c r="E92" s="87">
        <f>F92-D92</f>
        <v>-5355</v>
      </c>
      <c r="F92" s="87">
        <v>0</v>
      </c>
      <c r="G92" s="87"/>
      <c r="H92" s="87"/>
      <c r="I92" s="18"/>
      <c r="J92" s="3"/>
      <c r="K92" s="24">
        <f>850000/12</f>
        <v>70833.333333333328</v>
      </c>
      <c r="L92" s="24">
        <f t="shared" ref="L92:V92" si="39">850000/12</f>
        <v>70833.333333333328</v>
      </c>
      <c r="M92" s="24">
        <f t="shared" si="39"/>
        <v>70833.333333333328</v>
      </c>
      <c r="N92" s="24">
        <f t="shared" si="39"/>
        <v>70833.333333333328</v>
      </c>
      <c r="O92" s="24">
        <f t="shared" si="39"/>
        <v>70833.333333333328</v>
      </c>
      <c r="P92" s="24">
        <f t="shared" si="39"/>
        <v>70833.333333333328</v>
      </c>
      <c r="Q92" s="24">
        <f t="shared" si="39"/>
        <v>70833.333333333328</v>
      </c>
      <c r="R92" s="24">
        <f t="shared" si="39"/>
        <v>70833.333333333328</v>
      </c>
      <c r="S92" s="24">
        <f t="shared" si="39"/>
        <v>70833.333333333328</v>
      </c>
      <c r="T92" s="24">
        <f t="shared" si="39"/>
        <v>70833.333333333328</v>
      </c>
      <c r="U92" s="24">
        <f t="shared" si="39"/>
        <v>70833.333333333328</v>
      </c>
      <c r="V92" s="24">
        <f t="shared" si="39"/>
        <v>70833.333333333328</v>
      </c>
    </row>
    <row r="93" spans="1:22">
      <c r="A93" s="5">
        <f>A92+1</f>
        <v>67</v>
      </c>
      <c r="B93" t="s">
        <v>220</v>
      </c>
      <c r="D93" s="87">
        <v>0</v>
      </c>
      <c r="E93" s="87">
        <f>F93-D93</f>
        <v>0</v>
      </c>
      <c r="F93" s="87">
        <v>0</v>
      </c>
      <c r="G93" s="87"/>
      <c r="H93" s="87"/>
      <c r="I93" s="18"/>
      <c r="J93" s="3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</row>
    <row r="94" spans="1:22">
      <c r="A94" s="5">
        <f t="shared" ref="A94:A95" si="40">A93+1</f>
        <v>68</v>
      </c>
      <c r="B94" s="16" t="s">
        <v>95</v>
      </c>
      <c r="C94" s="16"/>
      <c r="D94" s="87">
        <v>79528</v>
      </c>
      <c r="E94" s="38">
        <f>F94-D94</f>
        <v>-79528</v>
      </c>
      <c r="F94" s="18">
        <v>0</v>
      </c>
      <c r="G94" s="18"/>
      <c r="H94" s="18">
        <v>48</v>
      </c>
      <c r="I94" s="18"/>
      <c r="J94" s="3"/>
    </row>
    <row r="95" spans="1:22">
      <c r="A95" s="5">
        <f t="shared" si="40"/>
        <v>69</v>
      </c>
      <c r="B95" t="s">
        <v>19</v>
      </c>
      <c r="D95" s="103">
        <f>SUM(D92:D94)</f>
        <v>84883</v>
      </c>
      <c r="E95" s="18">
        <f>F95-D95</f>
        <v>-84883</v>
      </c>
      <c r="F95" s="20">
        <f>SUM(F92:F94)</f>
        <v>0</v>
      </c>
      <c r="G95" s="18"/>
      <c r="H95" s="18">
        <v>0</v>
      </c>
      <c r="I95" s="18"/>
      <c r="J95" s="3"/>
    </row>
    <row r="96" spans="1:22" ht="7.5" customHeight="1">
      <c r="A96" s="5" t="s">
        <v>9</v>
      </c>
      <c r="D96" s="18"/>
      <c r="E96" s="18"/>
      <c r="F96" s="18"/>
      <c r="G96" s="18"/>
      <c r="H96" s="38">
        <v>0</v>
      </c>
      <c r="I96" s="18"/>
      <c r="J96" s="3"/>
    </row>
    <row r="97" spans="1:22">
      <c r="A97" s="5"/>
      <c r="B97" s="43" t="s">
        <v>27</v>
      </c>
      <c r="D97" s="18"/>
      <c r="E97" s="18"/>
      <c r="F97" s="18" t="s">
        <v>9</v>
      </c>
      <c r="G97" s="18"/>
      <c r="H97" s="18">
        <v>48</v>
      </c>
      <c r="I97" s="18"/>
      <c r="J97" s="3"/>
    </row>
    <row r="98" spans="1:22">
      <c r="A98" s="5">
        <f>A95+1</f>
        <v>70</v>
      </c>
      <c r="B98" t="s">
        <v>25</v>
      </c>
      <c r="D98" s="87">
        <v>357</v>
      </c>
      <c r="E98" s="87">
        <f>F98-D98</f>
        <v>109</v>
      </c>
      <c r="F98" s="87">
        <v>466</v>
      </c>
      <c r="G98" s="87"/>
      <c r="H98" s="87"/>
      <c r="I98" s="18"/>
      <c r="J98" s="3">
        <f t="shared" ref="J98" si="41">SUM(K98:V98)/1000</f>
        <v>465.99999999999994</v>
      </c>
      <c r="K98" s="55">
        <f>$F98*1000/12</f>
        <v>38833.333333333336</v>
      </c>
      <c r="L98" s="55">
        <f t="shared" ref="L98:V98" si="42">$F98*1000/12</f>
        <v>38833.333333333336</v>
      </c>
      <c r="M98" s="55">
        <f t="shared" si="42"/>
        <v>38833.333333333336</v>
      </c>
      <c r="N98" s="55">
        <f t="shared" si="42"/>
        <v>38833.333333333336</v>
      </c>
      <c r="O98" s="55">
        <f t="shared" si="42"/>
        <v>38833.333333333336</v>
      </c>
      <c r="P98" s="55">
        <f t="shared" si="42"/>
        <v>38833.333333333336</v>
      </c>
      <c r="Q98" s="55">
        <f t="shared" si="42"/>
        <v>38833.333333333336</v>
      </c>
      <c r="R98" s="55">
        <f t="shared" si="42"/>
        <v>38833.333333333336</v>
      </c>
      <c r="S98" s="55">
        <f t="shared" si="42"/>
        <v>38833.333333333336</v>
      </c>
      <c r="T98" s="55">
        <f t="shared" si="42"/>
        <v>38833.333333333336</v>
      </c>
      <c r="U98" s="55">
        <f t="shared" si="42"/>
        <v>38833.333333333336</v>
      </c>
      <c r="V98" s="55">
        <f t="shared" si="42"/>
        <v>38833.333333333336</v>
      </c>
    </row>
    <row r="99" spans="1:22" ht="6.75" customHeight="1">
      <c r="A99" s="5"/>
      <c r="D99" s="87"/>
      <c r="E99" s="18"/>
      <c r="F99" s="87"/>
      <c r="G99" s="18"/>
      <c r="H99" s="18" t="s">
        <v>9</v>
      </c>
      <c r="I99" s="18"/>
      <c r="J99" s="3"/>
    </row>
    <row r="100" spans="1:22" ht="6" customHeight="1">
      <c r="A100" s="5"/>
      <c r="D100" s="18"/>
      <c r="E100" s="18"/>
      <c r="F100" s="18"/>
      <c r="G100" s="18"/>
      <c r="H100" s="18"/>
      <c r="I100" s="18"/>
      <c r="J100" s="3"/>
    </row>
    <row r="101" spans="1:22">
      <c r="A101" s="5">
        <f>A98+1</f>
        <v>71</v>
      </c>
      <c r="B101" s="40" t="s">
        <v>20</v>
      </c>
      <c r="C101" s="34"/>
      <c r="D101" s="41">
        <f>D89+D95+D98</f>
        <v>204056</v>
      </c>
      <c r="E101" s="41">
        <f>F101-D101</f>
        <v>-149486.15974745824</v>
      </c>
      <c r="F101" s="42">
        <f>F89+F95+F98</f>
        <v>54569.840252541748</v>
      </c>
      <c r="G101" s="18"/>
      <c r="H101" s="18">
        <v>24</v>
      </c>
      <c r="I101" s="18"/>
      <c r="J101" s="3"/>
    </row>
    <row r="102" spans="1:22" ht="7.5" customHeight="1">
      <c r="A102" s="5"/>
      <c r="D102" s="18"/>
      <c r="E102" s="18"/>
      <c r="F102" s="18"/>
      <c r="G102" s="18"/>
      <c r="H102" s="18"/>
      <c r="I102" s="18"/>
      <c r="J102" s="3"/>
    </row>
    <row r="103" spans="1:22">
      <c r="A103" s="5">
        <f>A101+1</f>
        <v>72</v>
      </c>
      <c r="B103" s="40" t="s">
        <v>139</v>
      </c>
      <c r="C103" s="34"/>
      <c r="D103" s="41">
        <f>D76-D101</f>
        <v>134524</v>
      </c>
      <c r="E103" s="41">
        <f>F103-D103</f>
        <v>40087.634659622912</v>
      </c>
      <c r="F103" s="42">
        <f>F76-F101</f>
        <v>174611.63465962291</v>
      </c>
      <c r="G103" s="18"/>
      <c r="H103" s="41">
        <v>62497.890920372694</v>
      </c>
      <c r="I103" s="18"/>
      <c r="J103" s="3"/>
    </row>
    <row r="104" spans="1:22" ht="6" customHeight="1">
      <c r="A104" s="5"/>
      <c r="D104" s="18"/>
      <c r="E104" s="18"/>
      <c r="F104" s="18"/>
      <c r="G104" s="18"/>
      <c r="H104" s="18"/>
      <c r="I104" s="18"/>
      <c r="J104" s="3"/>
    </row>
    <row r="105" spans="1:22" ht="12.75" customHeight="1">
      <c r="A105" s="5"/>
      <c r="B105" s="2"/>
      <c r="D105" s="18"/>
      <c r="E105" s="143">
        <f>F103/D103-1</f>
        <v>0.29799615428936788</v>
      </c>
      <c r="G105" s="18"/>
      <c r="H105" s="18"/>
      <c r="I105" s="18"/>
      <c r="J105" s="3"/>
    </row>
    <row r="106" spans="1:22" ht="9" customHeight="1">
      <c r="A106" s="5"/>
      <c r="B106" s="105"/>
      <c r="D106" s="18"/>
      <c r="F106"/>
      <c r="G106" s="18"/>
      <c r="H106" s="18"/>
      <c r="I106" s="18"/>
      <c r="J106" s="3"/>
    </row>
    <row r="107" spans="1:22" ht="12.75" customHeight="1">
      <c r="A107" s="5"/>
      <c r="B107" s="2"/>
      <c r="D107" s="3"/>
      <c r="F107" s="3">
        <v>9300991</v>
      </c>
      <c r="J107" s="3"/>
    </row>
    <row r="108" spans="1:22">
      <c r="J108" s="3"/>
    </row>
    <row r="109" spans="1:22">
      <c r="F109" s="145">
        <f>F103*1000/F107</f>
        <v>18.773444105001598</v>
      </c>
      <c r="I109" s="19" t="s">
        <v>226</v>
      </c>
      <c r="J109" s="24">
        <f>SUM(K109:V109)</f>
        <v>156232422.69526678</v>
      </c>
      <c r="K109" s="24">
        <f t="shared" ref="K109:V109" si="43">K27+K42+K56-K89</f>
        <v>18093164.941983361</v>
      </c>
      <c r="L109" s="24">
        <f t="shared" si="43"/>
        <v>16978561.251562111</v>
      </c>
      <c r="M109" s="24">
        <f t="shared" si="43"/>
        <v>15019759.673858935</v>
      </c>
      <c r="N109" s="24">
        <f t="shared" si="43"/>
        <v>10168484.09385263</v>
      </c>
      <c r="O109" s="24">
        <f t="shared" si="43"/>
        <v>6188482.415642431</v>
      </c>
      <c r="P109" s="24">
        <f t="shared" si="43"/>
        <v>6107590.3236124478</v>
      </c>
      <c r="Q109" s="24">
        <f t="shared" si="43"/>
        <v>9914386.1359491907</v>
      </c>
      <c r="R109" s="24">
        <f t="shared" si="43"/>
        <v>14669208.01759213</v>
      </c>
      <c r="S109" s="24">
        <f t="shared" si="43"/>
        <v>12503789.055973809</v>
      </c>
      <c r="T109" s="24">
        <f t="shared" si="43"/>
        <v>13391986.062135275</v>
      </c>
      <c r="U109" s="24">
        <f t="shared" si="43"/>
        <v>16302989.781909369</v>
      </c>
      <c r="V109" s="24">
        <f t="shared" si="43"/>
        <v>16894020.941195056</v>
      </c>
    </row>
    <row r="110" spans="1:22">
      <c r="J110" s="3"/>
    </row>
    <row r="111" spans="1:22">
      <c r="I111" s="19" t="s">
        <v>227</v>
      </c>
      <c r="J111" s="24">
        <f>SUM(K111:V111)</f>
        <v>174610750.43526676</v>
      </c>
      <c r="K111" s="24">
        <f t="shared" ref="K111:V111" si="44">K109+K35+K71+K74-K98</f>
        <v>19561189.655316696</v>
      </c>
      <c r="L111" s="24">
        <f t="shared" si="44"/>
        <v>18678201.034895446</v>
      </c>
      <c r="M111" s="24">
        <f t="shared" si="44"/>
        <v>16557654.567192268</v>
      </c>
      <c r="N111" s="24">
        <f t="shared" si="44"/>
        <v>11673431.887185963</v>
      </c>
      <c r="O111" s="24">
        <f t="shared" si="44"/>
        <v>7663791.3589757644</v>
      </c>
      <c r="P111" s="24">
        <f t="shared" si="44"/>
        <v>7580064.6469457811</v>
      </c>
      <c r="Q111" s="24">
        <f t="shared" si="44"/>
        <v>11448503.869282523</v>
      </c>
      <c r="R111" s="24">
        <f t="shared" si="44"/>
        <v>16193576.390925463</v>
      </c>
      <c r="S111" s="24">
        <f t="shared" si="44"/>
        <v>14152396.499307143</v>
      </c>
      <c r="T111" s="24">
        <f t="shared" si="44"/>
        <v>14880013.685468609</v>
      </c>
      <c r="U111" s="24">
        <f t="shared" si="44"/>
        <v>17800604.945242703</v>
      </c>
      <c r="V111" s="24">
        <f t="shared" si="44"/>
        <v>18421321.894528389</v>
      </c>
    </row>
    <row r="112" spans="1:22">
      <c r="J112" s="3"/>
    </row>
    <row r="113" spans="10:10">
      <c r="J113" s="3"/>
    </row>
    <row r="114" spans="10:10">
      <c r="J114" s="3"/>
    </row>
    <row r="115" spans="10:10">
      <c r="J115" s="3"/>
    </row>
    <row r="116" spans="10:10">
      <c r="J116" s="3"/>
    </row>
    <row r="117" spans="10:10">
      <c r="J117" s="3"/>
    </row>
    <row r="118" spans="10:10">
      <c r="J118" s="3"/>
    </row>
    <row r="119" spans="10:10">
      <c r="J119" s="3"/>
    </row>
    <row r="120" spans="10:10">
      <c r="J120" s="3"/>
    </row>
    <row r="121" spans="10:10">
      <c r="J121" s="3"/>
    </row>
    <row r="122" spans="10:10">
      <c r="J122" s="3"/>
    </row>
    <row r="123" spans="10:10">
      <c r="J123" s="3"/>
    </row>
    <row r="124" spans="10:10">
      <c r="J124" s="3"/>
    </row>
    <row r="125" spans="10:10">
      <c r="J125" s="3"/>
    </row>
    <row r="126" spans="10:10">
      <c r="J126" s="3"/>
    </row>
    <row r="127" spans="10:10">
      <c r="J127" s="3"/>
    </row>
    <row r="128" spans="10:10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</sheetData>
  <phoneticPr fontId="6" type="noConversion"/>
  <pageMargins left="0.75" right="0.75" top="1" bottom="1" header="0.5" footer="0.5"/>
  <pageSetup scale="80" orientation="portrait" verticalDpi="4294967292" r:id="rId1"/>
  <headerFooter alignWithMargins="0">
    <oddHeader>&amp;R&amp;12Exh. WGJ-2</oddHeader>
    <oddFooter>&amp;C&amp;12Page &amp;P of &amp;N</oddFooter>
  </headerFooter>
  <rowBreaks count="1" manualBreakCount="1">
    <brk id="5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56"/>
  <sheetViews>
    <sheetView topLeftCell="A5" zoomScaleNormal="100" workbookViewId="0">
      <pane xSplit="6945" ySplit="1590" topLeftCell="K1" activePane="bottomLeft"/>
      <selection activeCell="A7" sqref="A7"/>
      <selection pane="topRight" activeCell="D7" sqref="D7:O7"/>
      <selection pane="bottomLeft" activeCell="A4" sqref="A4"/>
      <selection pane="bottomRight" activeCell="D33" sqref="D33:O33"/>
    </sheetView>
  </sheetViews>
  <sheetFormatPr defaultColWidth="11.42578125" defaultRowHeight="12.75"/>
  <cols>
    <col min="1" max="1" width="46.28515625" customWidth="1"/>
    <col min="2" max="2" width="2" hidden="1" customWidth="1"/>
    <col min="3" max="15" width="13.7109375" customWidth="1"/>
  </cols>
  <sheetData>
    <row r="1" spans="1:16" ht="18">
      <c r="A1" s="86" t="s">
        <v>31</v>
      </c>
    </row>
    <row r="2" spans="1:16" ht="18">
      <c r="A2" s="86" t="s">
        <v>116</v>
      </c>
    </row>
    <row r="3" spans="1:16" ht="18">
      <c r="A3" s="86" t="s">
        <v>242</v>
      </c>
      <c r="I3" s="13"/>
    </row>
    <row r="4" spans="1:16" ht="18">
      <c r="A4" s="86"/>
      <c r="B4" s="53"/>
      <c r="I4" s="13"/>
    </row>
    <row r="6" spans="1:16">
      <c r="C6" s="36"/>
      <c r="D6" s="36">
        <v>744</v>
      </c>
      <c r="E6" s="36">
        <v>672</v>
      </c>
      <c r="F6" s="36">
        <v>743</v>
      </c>
      <c r="G6" s="36">
        <v>720</v>
      </c>
      <c r="H6" s="36">
        <v>744</v>
      </c>
      <c r="I6" s="36">
        <v>720</v>
      </c>
      <c r="J6" s="36">
        <v>744</v>
      </c>
      <c r="K6" s="36">
        <v>744</v>
      </c>
      <c r="L6" s="36">
        <v>720</v>
      </c>
      <c r="M6" s="36">
        <v>744</v>
      </c>
      <c r="N6" s="36">
        <v>721</v>
      </c>
      <c r="O6" s="36">
        <v>744</v>
      </c>
    </row>
    <row r="7" spans="1:16">
      <c r="C7" s="22" t="s">
        <v>32</v>
      </c>
      <c r="D7" s="128">
        <v>41274</v>
      </c>
      <c r="E7" s="128">
        <v>41305</v>
      </c>
      <c r="F7" s="128">
        <v>41333</v>
      </c>
      <c r="G7" s="128">
        <v>41364</v>
      </c>
      <c r="H7" s="128">
        <v>41394</v>
      </c>
      <c r="I7" s="128">
        <v>41425</v>
      </c>
      <c r="J7" s="128">
        <v>41455</v>
      </c>
      <c r="K7" s="128">
        <v>41486</v>
      </c>
      <c r="L7" s="128">
        <v>41517</v>
      </c>
      <c r="M7" s="128">
        <v>41547</v>
      </c>
      <c r="N7" s="128">
        <v>41578</v>
      </c>
      <c r="O7" s="128">
        <v>41608</v>
      </c>
    </row>
    <row r="8" spans="1:16">
      <c r="C8" s="49"/>
    </row>
    <row r="9" spans="1:16">
      <c r="A9" t="s">
        <v>106</v>
      </c>
      <c r="B9" s="5" t="s">
        <v>50</v>
      </c>
      <c r="C9" s="37">
        <f>SUM(D9:O9)</f>
        <v>-40098890.730285585</v>
      </c>
      <c r="D9" s="24">
        <f>Aurora!B33*1000</f>
        <v>-4924207.9269409096</v>
      </c>
      <c r="E9" s="24">
        <f>Aurora!C33*1000</f>
        <v>-3098277.3880004804</v>
      </c>
      <c r="F9" s="24">
        <f>Aurora!D33*1000</f>
        <v>-3427770.0698852502</v>
      </c>
      <c r="G9" s="24">
        <f>Aurora!E33*1000</f>
        <v>-4965029.5150756799</v>
      </c>
      <c r="H9" s="24">
        <f>Aurora!F33*1000</f>
        <v>-2074276.3118743801</v>
      </c>
      <c r="I9" s="24">
        <f>Aurora!G33*1000</f>
        <v>-2005337.1635437</v>
      </c>
      <c r="J9" s="24">
        <f>Aurora!H33*1000</f>
        <v>-4017292.6815032903</v>
      </c>
      <c r="K9" s="24">
        <f>Aurora!I33*1000</f>
        <v>-2153446.7987060496</v>
      </c>
      <c r="L9" s="24">
        <f>Aurora!J33*1000</f>
        <v>-2849883.7310791002</v>
      </c>
      <c r="M9" s="24">
        <f>Aurora!K33*1000</f>
        <v>-1871755.9707641602</v>
      </c>
      <c r="N9" s="24">
        <f>Aurora!L33*1000</f>
        <v>-3301713.7985229399</v>
      </c>
      <c r="O9" s="24">
        <f>Aurora!M33*1000</f>
        <v>-5409899.3743896401</v>
      </c>
      <c r="P9" s="24"/>
    </row>
    <row r="10" spans="1:16">
      <c r="A10" t="s">
        <v>107</v>
      </c>
      <c r="C10" s="25">
        <f>SUM(D10:O10)</f>
        <v>-1642207.1096435515</v>
      </c>
      <c r="D10" s="3">
        <f>Aurora!B29*1000</f>
        <v>-157451.11621093701</v>
      </c>
      <c r="E10" s="3">
        <f>Aurora!C29*1000</f>
        <v>-109026.662548828</v>
      </c>
      <c r="F10" s="3">
        <f>Aurora!D29*1000</f>
        <v>-139045.54672851501</v>
      </c>
      <c r="G10" s="3">
        <f>Aurora!E29*1000</f>
        <v>-258922.73515624998</v>
      </c>
      <c r="H10" s="3">
        <f>Aurora!F29*1000</f>
        <v>-141900.98554687499</v>
      </c>
      <c r="I10" s="3">
        <f>Aurora!G29*1000</f>
        <v>-140329.72226562499</v>
      </c>
      <c r="J10" s="3">
        <f>Aurora!H29*1000</f>
        <v>-148328.26708984299</v>
      </c>
      <c r="K10" s="3">
        <f>Aurora!I29*1000</f>
        <v>-68418.176074218703</v>
      </c>
      <c r="L10" s="3">
        <f>Aurora!J29*1000</f>
        <v>-100132.91015625</v>
      </c>
      <c r="M10" s="3">
        <f>Aurora!K29*1000</f>
        <v>-76916.937817382801</v>
      </c>
      <c r="N10" s="3">
        <f>Aurora!L29*1000</f>
        <v>-130145.89741210901</v>
      </c>
      <c r="O10" s="3">
        <f>Aurora!M29*1000</f>
        <v>-171588.152636718</v>
      </c>
    </row>
    <row r="11" spans="1:16" hidden="1">
      <c r="A11" t="s">
        <v>51</v>
      </c>
      <c r="C11" s="27">
        <f>C9/C10</f>
        <v>24.417681847077883</v>
      </c>
      <c r="D11" s="28">
        <f>D9/D10</f>
        <v>31.274519009086962</v>
      </c>
      <c r="E11" s="28">
        <f t="shared" ref="E11:O11" si="0">E9/E10</f>
        <v>28.417611945269858</v>
      </c>
      <c r="F11" s="28">
        <f t="shared" si="0"/>
        <v>24.652138457752521</v>
      </c>
      <c r="G11" s="28">
        <f t="shared" si="0"/>
        <v>19.175718625401799</v>
      </c>
      <c r="H11" s="28">
        <f t="shared" si="0"/>
        <v>14.617772412786888</v>
      </c>
      <c r="I11" s="28">
        <f t="shared" si="0"/>
        <v>14.290181232938455</v>
      </c>
      <c r="J11" s="28">
        <f t="shared" si="0"/>
        <v>27.083797042339885</v>
      </c>
      <c r="K11" s="28">
        <f t="shared" si="0"/>
        <v>31.474776474164297</v>
      </c>
      <c r="L11" s="28">
        <f t="shared" si="0"/>
        <v>28.461009738277529</v>
      </c>
      <c r="M11" s="28">
        <f t="shared" si="0"/>
        <v>24.334769738339137</v>
      </c>
      <c r="N11" s="28">
        <f t="shared" si="0"/>
        <v>25.369326764623334</v>
      </c>
      <c r="O11" s="28">
        <f t="shared" si="0"/>
        <v>31.528396869236882</v>
      </c>
    </row>
    <row r="12" spans="1:16">
      <c r="A12" t="s">
        <v>105</v>
      </c>
      <c r="C12" s="50">
        <f>C9/C10</f>
        <v>24.417681847077883</v>
      </c>
      <c r="D12" s="48">
        <f>D9/D10</f>
        <v>31.274519009086962</v>
      </c>
      <c r="E12" s="48">
        <f t="shared" ref="E12:O12" si="1">E9/E10</f>
        <v>28.417611945269858</v>
      </c>
      <c r="F12" s="48">
        <f t="shared" si="1"/>
        <v>24.652138457752521</v>
      </c>
      <c r="G12" s="48">
        <f t="shared" si="1"/>
        <v>19.175718625401799</v>
      </c>
      <c r="H12" s="48">
        <f t="shared" si="1"/>
        <v>14.617772412786888</v>
      </c>
      <c r="I12" s="48">
        <f t="shared" si="1"/>
        <v>14.290181232938455</v>
      </c>
      <c r="J12" s="48">
        <f t="shared" si="1"/>
        <v>27.083797042339885</v>
      </c>
      <c r="K12" s="48">
        <f t="shared" si="1"/>
        <v>31.474776474164297</v>
      </c>
      <c r="L12" s="48">
        <f t="shared" si="1"/>
        <v>28.461009738277529</v>
      </c>
      <c r="M12" s="48">
        <f t="shared" si="1"/>
        <v>24.334769738339137</v>
      </c>
      <c r="N12" s="48">
        <f t="shared" si="1"/>
        <v>25.369326764623334</v>
      </c>
      <c r="O12" s="48">
        <f t="shared" si="1"/>
        <v>31.528396869236882</v>
      </c>
    </row>
    <row r="13" spans="1:16">
      <c r="A13" t="s">
        <v>108</v>
      </c>
      <c r="B13" s="5" t="s">
        <v>50</v>
      </c>
      <c r="C13" s="37">
        <f>SUM(D13:O13)</f>
        <v>7501814.658526361</v>
      </c>
      <c r="D13" s="24">
        <f>Aurora!B32*1000</f>
        <v>248179.41999328299</v>
      </c>
      <c r="E13" s="24">
        <f>Aurora!C32*1000</f>
        <v>355812.189996242</v>
      </c>
      <c r="F13" s="24">
        <f>Aurora!D32*1000</f>
        <v>358439.52172994602</v>
      </c>
      <c r="G13" s="24">
        <f>Aurora!E32*1000</f>
        <v>39417.0303542166</v>
      </c>
      <c r="H13" s="24">
        <f>Aurora!F32*1000</f>
        <v>119958.53686034601</v>
      </c>
      <c r="I13" s="24">
        <f>Aurora!G32*1000</f>
        <v>349745.34623622801</v>
      </c>
      <c r="J13" s="24">
        <f>Aurora!H32*1000</f>
        <v>1008453.17882299</v>
      </c>
      <c r="K13" s="24">
        <f>Aurora!I32*1000</f>
        <v>1837510.8673095698</v>
      </c>
      <c r="L13" s="24">
        <f>Aurora!J32*1000</f>
        <v>1092127.9654026001</v>
      </c>
      <c r="M13" s="24">
        <f>Aurora!K32*1000</f>
        <v>1076749.3669032999</v>
      </c>
      <c r="N13" s="24">
        <f>Aurora!L32*1000</f>
        <v>554517.72952079703</v>
      </c>
      <c r="O13" s="24">
        <f>Aurora!M32*1000</f>
        <v>460903.50539684197</v>
      </c>
    </row>
    <row r="14" spans="1:16" s="3" customFormat="1">
      <c r="A14" s="3" t="s">
        <v>112</v>
      </c>
      <c r="C14" s="26">
        <f>SUM(D14:O14)</f>
        <v>331519.21761657542</v>
      </c>
      <c r="D14" s="3">
        <f>Aurora!B28*1000</f>
        <v>10833.4959742963</v>
      </c>
      <c r="E14" s="3">
        <f>Aurora!C28*1000</f>
        <v>15182.997126388498</v>
      </c>
      <c r="F14" s="3">
        <f>Aurora!D28*1000</f>
        <v>17569.259930801301</v>
      </c>
      <c r="G14" s="3">
        <f>Aurora!E28*1000</f>
        <v>2487.3756915807699</v>
      </c>
      <c r="H14" s="3">
        <f>Aurora!F28*1000</f>
        <v>8716.9308055877591</v>
      </c>
      <c r="I14" s="3">
        <f>Aurora!G28*1000</f>
        <v>17487.457623291</v>
      </c>
      <c r="J14" s="3">
        <f>Aurora!H28*1000</f>
        <v>50599.101085662791</v>
      </c>
      <c r="K14" s="3">
        <f>Aurora!I28*1000</f>
        <v>79748.704675292902</v>
      </c>
      <c r="L14" s="3">
        <f>Aurora!J28*1000</f>
        <v>43991.082873535102</v>
      </c>
      <c r="M14" s="3">
        <f>Aurora!K28*1000</f>
        <v>46227.662222289997</v>
      </c>
      <c r="N14" s="3">
        <f>Aurora!L28*1000</f>
        <v>21002.125204467698</v>
      </c>
      <c r="O14" s="3">
        <f>Aurora!M28*1000</f>
        <v>17673.0244033813</v>
      </c>
    </row>
    <row r="15" spans="1:16" hidden="1">
      <c r="A15" s="3" t="s">
        <v>52</v>
      </c>
      <c r="C15" s="27">
        <f>C13/C14</f>
        <v>22.628596654094185</v>
      </c>
      <c r="D15" s="28">
        <f>D13/D14</f>
        <v>22.908525611872371</v>
      </c>
      <c r="E15" s="28">
        <f t="shared" ref="E15:O15" si="2">E13/E14</f>
        <v>23.434911238824505</v>
      </c>
      <c r="F15" s="28">
        <f t="shared" si="2"/>
        <v>20.401515097488701</v>
      </c>
      <c r="G15" s="28">
        <f t="shared" si="2"/>
        <v>15.846834271008897</v>
      </c>
      <c r="H15" s="28">
        <f t="shared" si="2"/>
        <v>13.761556623054728</v>
      </c>
      <c r="I15" s="28">
        <f t="shared" si="2"/>
        <v>19.999782345171379</v>
      </c>
      <c r="J15" s="28">
        <f t="shared" si="2"/>
        <v>19.930258782971428</v>
      </c>
      <c r="K15" s="28">
        <f t="shared" si="2"/>
        <v>23.041262861776019</v>
      </c>
      <c r="L15" s="28">
        <f t="shared" si="2"/>
        <v>24.826121433342138</v>
      </c>
      <c r="M15" s="28">
        <f t="shared" si="2"/>
        <v>23.292317091996797</v>
      </c>
      <c r="N15" s="28">
        <f t="shared" si="2"/>
        <v>26.40293418510031</v>
      </c>
      <c r="O15" s="28">
        <f t="shared" si="2"/>
        <v>26.079492387769204</v>
      </c>
    </row>
    <row r="16" spans="1:16">
      <c r="A16" s="3" t="s">
        <v>110</v>
      </c>
      <c r="C16" s="50">
        <f>C13/C14</f>
        <v>22.628596654094185</v>
      </c>
      <c r="D16" s="48">
        <f>D13/D14</f>
        <v>22.908525611872371</v>
      </c>
      <c r="E16" s="48">
        <f t="shared" ref="E16:O16" si="3">E13/E14</f>
        <v>23.434911238824505</v>
      </c>
      <c r="F16" s="48">
        <f t="shared" si="3"/>
        <v>20.401515097488701</v>
      </c>
      <c r="G16" s="48">
        <f t="shared" si="3"/>
        <v>15.846834271008897</v>
      </c>
      <c r="H16" s="48">
        <f t="shared" si="3"/>
        <v>13.761556623054728</v>
      </c>
      <c r="I16" s="48"/>
      <c r="J16" s="48">
        <f t="shared" si="3"/>
        <v>19.930258782971428</v>
      </c>
      <c r="K16" s="48">
        <f t="shared" si="3"/>
        <v>23.041262861776019</v>
      </c>
      <c r="L16" s="48">
        <f t="shared" si="3"/>
        <v>24.826121433342138</v>
      </c>
      <c r="M16" s="48">
        <f t="shared" si="3"/>
        <v>23.292317091996797</v>
      </c>
      <c r="N16" s="48">
        <f t="shared" si="3"/>
        <v>26.40293418510031</v>
      </c>
      <c r="O16" s="48">
        <f t="shared" si="3"/>
        <v>26.079492387769204</v>
      </c>
    </row>
    <row r="17" spans="1:17">
      <c r="A17" t="s">
        <v>109</v>
      </c>
      <c r="C17" s="26">
        <f>C14+C10</f>
        <v>-1310687.8920269762</v>
      </c>
      <c r="D17" s="18">
        <f>D14+D10</f>
        <v>-146617.62023664071</v>
      </c>
      <c r="E17" s="18">
        <f>E14+E10</f>
        <v>-93843.665422439502</v>
      </c>
      <c r="F17" s="18">
        <f t="shared" ref="F17:O17" si="4">F14+F10</f>
        <v>-121476.28679771371</v>
      </c>
      <c r="G17" s="18">
        <f t="shared" si="4"/>
        <v>-256435.35946466922</v>
      </c>
      <c r="H17" s="18">
        <f t="shared" si="4"/>
        <v>-133184.05474128723</v>
      </c>
      <c r="I17" s="18">
        <f t="shared" si="4"/>
        <v>-122842.26464233399</v>
      </c>
      <c r="J17" s="18">
        <f t="shared" si="4"/>
        <v>-97729.16600418021</v>
      </c>
      <c r="K17" s="18">
        <f t="shared" si="4"/>
        <v>11330.528601074198</v>
      </c>
      <c r="L17" s="18">
        <f t="shared" si="4"/>
        <v>-56141.827282714898</v>
      </c>
      <c r="M17" s="18">
        <f t="shared" si="4"/>
        <v>-30689.275595092804</v>
      </c>
      <c r="N17" s="18">
        <f t="shared" si="4"/>
        <v>-109143.77220764132</v>
      </c>
      <c r="O17" s="18">
        <f t="shared" si="4"/>
        <v>-153915.1282333367</v>
      </c>
    </row>
    <row r="18" spans="1:17">
      <c r="A18" t="s">
        <v>111</v>
      </c>
      <c r="C18" s="113">
        <f>C17/8760</f>
        <v>-149.62190548253153</v>
      </c>
      <c r="D18" s="3">
        <f>D17/D6</f>
        <v>-197.06669386645257</v>
      </c>
      <c r="E18" s="3">
        <f t="shared" ref="E18:O18" si="5">E17/E6</f>
        <v>-139.64831164053498</v>
      </c>
      <c r="F18" s="3">
        <f t="shared" si="5"/>
        <v>-163.49432947202382</v>
      </c>
      <c r="G18" s="3">
        <f t="shared" si="5"/>
        <v>-356.16022147870723</v>
      </c>
      <c r="H18" s="3">
        <f t="shared" si="5"/>
        <v>-179.010826265171</v>
      </c>
      <c r="I18" s="3">
        <f t="shared" si="5"/>
        <v>-170.6142564476861</v>
      </c>
      <c r="J18" s="3">
        <f t="shared" si="5"/>
        <v>-131.35640591959705</v>
      </c>
      <c r="K18" s="3">
        <f t="shared" si="5"/>
        <v>15.229205108970696</v>
      </c>
      <c r="L18" s="3">
        <f t="shared" si="5"/>
        <v>-77.974760114881803</v>
      </c>
      <c r="M18" s="3">
        <f t="shared" si="5"/>
        <v>-41.249026337490328</v>
      </c>
      <c r="N18" s="3">
        <f t="shared" si="5"/>
        <v>-151.37832483722789</v>
      </c>
      <c r="O18" s="3">
        <f t="shared" si="5"/>
        <v>-206.87517235663535</v>
      </c>
    </row>
    <row r="19" spans="1:17">
      <c r="A19" t="s">
        <v>113</v>
      </c>
      <c r="C19" s="77">
        <f>(-C9+C13)/(-C10+C14)</f>
        <v>24.117176090410645</v>
      </c>
      <c r="D19" s="28">
        <f>(-D9+D13)/(-D10+D14)</f>
        <v>30.73594953079175</v>
      </c>
      <c r="E19" s="28">
        <f>(-E9+E13)/(-E10+E14)</f>
        <v>27.80854232294395</v>
      </c>
      <c r="F19" s="28">
        <f t="shared" ref="F19:O19" si="6">(-F9+F13)/(-F10+F14)</f>
        <v>24.175297804704549</v>
      </c>
      <c r="G19" s="28">
        <f t="shared" si="6"/>
        <v>19.144043545978342</v>
      </c>
      <c r="H19" s="28">
        <f t="shared" si="6"/>
        <v>14.56821938500312</v>
      </c>
      <c r="I19" s="28">
        <f t="shared" si="6"/>
        <v>14.922852578138949</v>
      </c>
      <c r="J19" s="28">
        <f t="shared" si="6"/>
        <v>25.264225362355688</v>
      </c>
      <c r="K19" s="28">
        <f t="shared" si="6"/>
        <v>26.935558377331738</v>
      </c>
      <c r="L19" s="28">
        <f t="shared" si="6"/>
        <v>27.351529843244293</v>
      </c>
      <c r="M19" s="28">
        <f t="shared" si="6"/>
        <v>23.943439961781163</v>
      </c>
      <c r="N19" s="28">
        <f t="shared" si="6"/>
        <v>25.512947250563737</v>
      </c>
      <c r="O19" s="28">
        <f t="shared" si="6"/>
        <v>31.019583475075915</v>
      </c>
    </row>
    <row r="20" spans="1:17">
      <c r="C20" s="2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7" s="3" customFormat="1">
      <c r="A21" s="3" t="s">
        <v>33</v>
      </c>
      <c r="C21" s="26">
        <f>SUM(D21:O21)</f>
        <v>1433702.5206542963</v>
      </c>
      <c r="D21" s="3">
        <f>Aurora!B6*1000</f>
        <v>144007.7144042968</v>
      </c>
      <c r="E21" s="3">
        <f>Aurora!C6*1000</f>
        <v>128117.64077148431</v>
      </c>
      <c r="F21" s="3">
        <f>Aurora!D6*1000</f>
        <v>136564.88876953119</v>
      </c>
      <c r="G21" s="3">
        <f>Aurora!E6*1000</f>
        <v>108489.52880859371</v>
      </c>
      <c r="H21" s="3">
        <f>Aurora!F6*1000</f>
        <v>58563.078186034996</v>
      </c>
      <c r="I21" s="3">
        <f>Aurora!G6*1000</f>
        <v>62757.626257324198</v>
      </c>
      <c r="J21" s="3">
        <f>Aurora!H6*1000</f>
        <v>117846.3086914062</v>
      </c>
      <c r="K21" s="3">
        <f>Aurora!I6*1000</f>
        <v>130595.86166992181</v>
      </c>
      <c r="L21" s="3">
        <f>Aurora!J6*1000</f>
        <v>136303.6450683593</v>
      </c>
      <c r="M21" s="3">
        <f>Aurora!K6*1000</f>
        <v>134560.51245117182</v>
      </c>
      <c r="N21" s="3">
        <f>Aurora!L6*1000</f>
        <v>132976.50166015621</v>
      </c>
      <c r="O21" s="3">
        <f>Aurora!M6*1000</f>
        <v>142919.21391601561</v>
      </c>
      <c r="P21" s="3">
        <f>C21/8784</f>
        <v>163.21750007448728</v>
      </c>
      <c r="Q21" s="112">
        <f>P21/230</f>
        <v>0.70964130467168385</v>
      </c>
    </row>
    <row r="22" spans="1:17">
      <c r="A22" s="3" t="s">
        <v>101</v>
      </c>
      <c r="C22" s="72">
        <f>C23/C21</f>
        <v>15.75019837838957</v>
      </c>
      <c r="D22" s="75">
        <f>D23/D21</f>
        <v>15.305409558419189</v>
      </c>
      <c r="E22" s="75">
        <f t="shared" ref="E22:O22" si="7">E23/E21</f>
        <v>15.949715672159368</v>
      </c>
      <c r="F22" s="75">
        <f t="shared" si="7"/>
        <v>15.628010251244897</v>
      </c>
      <c r="G22" s="75">
        <f t="shared" si="7"/>
        <v>17.156734446847707</v>
      </c>
      <c r="H22" s="75">
        <f t="shared" si="7"/>
        <v>22.111596329945719</v>
      </c>
      <c r="I22" s="75">
        <f t="shared" si="7"/>
        <v>21.187009019428899</v>
      </c>
      <c r="J22" s="75">
        <f t="shared" si="7"/>
        <v>15.553810873983819</v>
      </c>
      <c r="K22" s="75">
        <f t="shared" si="7"/>
        <v>14.819163025637515</v>
      </c>
      <c r="L22" s="75">
        <f t="shared" si="7"/>
        <v>14.535565687124496</v>
      </c>
      <c r="M22" s="75">
        <f t="shared" si="7"/>
        <v>14.651430641901088</v>
      </c>
      <c r="N22" s="75">
        <f t="shared" si="7"/>
        <v>14.684156634231831</v>
      </c>
      <c r="O22" s="75">
        <f t="shared" si="7"/>
        <v>14.272021723816328</v>
      </c>
    </row>
    <row r="23" spans="1:17">
      <c r="A23" t="s">
        <v>34</v>
      </c>
      <c r="C23" s="29">
        <f>SUM(D23:O23)</f>
        <v>22581099.115902334</v>
      </c>
      <c r="D23" s="30">
        <f>Aurora!B18*1000</f>
        <v>2204097.0485296249</v>
      </c>
      <c r="E23" s="30">
        <f>Aurora!C18*1000</f>
        <v>2043439.9428930273</v>
      </c>
      <c r="F23" s="30">
        <f>Aurora!D18*1000</f>
        <v>2134237.4816503525</v>
      </c>
      <c r="G23" s="30">
        <f>Aurora!E18*1000</f>
        <v>1861326.0360326765</v>
      </c>
      <c r="H23" s="30">
        <f>Aurora!F18*1000</f>
        <v>1294923.1446886556</v>
      </c>
      <c r="I23" s="30">
        <f>Aurora!G18*1000</f>
        <v>1329646.3935518756</v>
      </c>
      <c r="J23" s="30">
        <f>Aurora!H18*1000</f>
        <v>1832959.1975832477</v>
      </c>
      <c r="K23" s="30">
        <f>Aurora!I18*1000</f>
        <v>1935321.3645601769</v>
      </c>
      <c r="L23" s="30">
        <f>Aurora!J18*1000</f>
        <v>1981250.5862856396</v>
      </c>
      <c r="M23" s="30">
        <f>Aurora!K18*1000</f>
        <v>1971504.0153170116</v>
      </c>
      <c r="N23" s="30">
        <f>Aurora!L18*1000</f>
        <v>1952647.7790499229</v>
      </c>
      <c r="O23" s="30">
        <f>Aurora!M18*1000</f>
        <v>2039746.1257601276</v>
      </c>
    </row>
    <row r="24" spans="1:17">
      <c r="C24" s="27"/>
    </row>
    <row r="25" spans="1:17" s="3" customFormat="1">
      <c r="A25" s="3" t="s">
        <v>35</v>
      </c>
      <c r="C25" s="26">
        <f>SUM(D25:O25)</f>
        <v>307762.00485916075</v>
      </c>
      <c r="D25" s="3">
        <f>Aurora!B8*1000</f>
        <v>33447.944067382799</v>
      </c>
      <c r="E25" s="3">
        <f>Aurora!C8*1000</f>
        <v>30423.704223632802</v>
      </c>
      <c r="F25" s="3">
        <f>Aurora!D8*1000</f>
        <v>30715.920190429599</v>
      </c>
      <c r="G25" s="3">
        <f>Aurora!E8*1000</f>
        <v>30491.720495605405</v>
      </c>
      <c r="H25" s="3">
        <f>Aurora!F8*1000</f>
        <v>12123.045098876901</v>
      </c>
      <c r="I25" s="3">
        <f>Aurora!G8*1000</f>
        <v>577.44248733520499</v>
      </c>
      <c r="J25" s="3">
        <f>Aurora!H8*1000</f>
        <v>18854.662573242102</v>
      </c>
      <c r="K25" s="3">
        <f>Aurora!I8*1000</f>
        <v>26886.138769531201</v>
      </c>
      <c r="L25" s="3">
        <f>Aurora!J8*1000</f>
        <v>29666.308520507799</v>
      </c>
      <c r="M25" s="3">
        <f>Aurora!K8*1000</f>
        <v>30922.385888671801</v>
      </c>
      <c r="N25" s="3">
        <f>Aurora!L8*1000</f>
        <v>30547.473583984302</v>
      </c>
      <c r="O25" s="3">
        <f>Aurora!M8*1000</f>
        <v>33105.258959960898</v>
      </c>
      <c r="P25" s="3">
        <f>C25/8760</f>
        <v>35.132648956525202</v>
      </c>
    </row>
    <row r="26" spans="1:17">
      <c r="A26" s="3" t="s">
        <v>100</v>
      </c>
      <c r="C26" s="72">
        <f t="shared" ref="C26:O26" si="8">C27/C25</f>
        <v>19.754986510954399</v>
      </c>
      <c r="D26" s="75">
        <f>D27/D25</f>
        <v>20.062795647789581</v>
      </c>
      <c r="E26" s="75">
        <f t="shared" si="8"/>
        <v>20.062061855992745</v>
      </c>
      <c r="F26" s="75">
        <f t="shared" si="8"/>
        <v>20.065839758448782</v>
      </c>
      <c r="G26" s="75">
        <f t="shared" si="8"/>
        <v>20.085088852022594</v>
      </c>
      <c r="H26" s="75">
        <f t="shared" si="8"/>
        <v>19.680701049654299</v>
      </c>
      <c r="I26" s="75"/>
      <c r="J26" s="75">
        <f t="shared" si="8"/>
        <v>19.564551575381</v>
      </c>
      <c r="K26" s="75">
        <f t="shared" si="8"/>
        <v>19.528772644579899</v>
      </c>
      <c r="L26" s="75">
        <f t="shared" si="8"/>
        <v>19.524061220157289</v>
      </c>
      <c r="M26" s="75">
        <f t="shared" si="8"/>
        <v>19.524139191777966</v>
      </c>
      <c r="N26" s="75">
        <f t="shared" si="8"/>
        <v>19.524854945937072</v>
      </c>
      <c r="O26" s="75">
        <f t="shared" si="8"/>
        <v>19.5252241650083</v>
      </c>
    </row>
    <row r="27" spans="1:17">
      <c r="A27" t="s">
        <v>36</v>
      </c>
      <c r="C27" s="29">
        <f>SUM(D27:O27)</f>
        <v>6079834.2545770034</v>
      </c>
      <c r="D27" s="31">
        <f>Aurora!B20*1000</f>
        <v>671059.26666259696</v>
      </c>
      <c r="E27" s="31">
        <f>Aurora!C20*1000</f>
        <v>610362.23602294899</v>
      </c>
      <c r="F27" s="31">
        <f>Aurora!D20*1000</f>
        <v>616340.73257446196</v>
      </c>
      <c r="G27" s="31">
        <f>Aurora!E20*1000</f>
        <v>612428.91540527297</v>
      </c>
      <c r="H27" s="31">
        <f>Aurora!F20*1000</f>
        <v>238590.02640247301</v>
      </c>
      <c r="I27" s="31">
        <f>Aurora!G20*1000</f>
        <v>11354.3849490582</v>
      </c>
      <c r="J27" s="31">
        <f>Aurora!H20*1000</f>
        <v>368883.01835060096</v>
      </c>
      <c r="K27" s="31">
        <f>Aurora!I20*1000</f>
        <v>525053.29132079997</v>
      </c>
      <c r="L27" s="31">
        <f>Aurora!J20*1000</f>
        <v>579206.82373046805</v>
      </c>
      <c r="M27" s="31">
        <f>Aurora!K20*1000</f>
        <v>603732.96623229899</v>
      </c>
      <c r="N27" s="31">
        <f>Aurora!L20*1000</f>
        <v>596434.99069213797</v>
      </c>
      <c r="O27" s="31">
        <f>Aurora!M20*1000</f>
        <v>646387.60223388602</v>
      </c>
    </row>
    <row r="28" spans="1:17">
      <c r="C28" s="77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7">
      <c r="A29" t="s">
        <v>89</v>
      </c>
      <c r="C29" s="26">
        <f>SUM(D29:O29)</f>
        <v>1605835.0601371729</v>
      </c>
      <c r="D29" s="3">
        <f>Aurora!B7*1000</f>
        <v>190182.15732421799</v>
      </c>
      <c r="E29" s="3">
        <f>Aurora!C7*1000</f>
        <v>158114.12050781201</v>
      </c>
      <c r="F29" s="3">
        <f>Aurora!D7*1000</f>
        <v>152260.74757080001</v>
      </c>
      <c r="G29" s="3">
        <f>Aurora!E7*1000</f>
        <v>116767.781359863</v>
      </c>
      <c r="H29" s="3">
        <f>Aurora!F7*1000</f>
        <v>29685.570895385703</v>
      </c>
      <c r="I29" s="3">
        <f>Aurora!G7*1000</f>
        <v>33845.561287689197</v>
      </c>
      <c r="J29" s="3">
        <f>Aurora!H7*1000</f>
        <v>122876.536572265</v>
      </c>
      <c r="K29" s="3">
        <f>Aurora!I7*1000</f>
        <v>158419.38413085899</v>
      </c>
      <c r="L29" s="3">
        <f>Aurora!J7*1000</f>
        <v>156963.65087890599</v>
      </c>
      <c r="M29" s="3">
        <f>Aurora!K7*1000</f>
        <v>147779.51171875</v>
      </c>
      <c r="N29" s="3">
        <f>Aurora!L7*1000</f>
        <v>153868.49960937499</v>
      </c>
      <c r="O29" s="3">
        <f>Aurora!M7*1000</f>
        <v>185071.53828124999</v>
      </c>
      <c r="P29" s="3">
        <f>C29/8784</f>
        <v>182.81364527973281</v>
      </c>
    </row>
    <row r="30" spans="1:17">
      <c r="A30" t="s">
        <v>98</v>
      </c>
      <c r="C30" s="72">
        <f>C31/C29</f>
        <v>18.998778097665365</v>
      </c>
      <c r="D30" s="75">
        <f>D31/D29</f>
        <v>21.029718530941768</v>
      </c>
      <c r="E30" s="75">
        <f t="shared" ref="E30:O30" si="9">E31/E29</f>
        <v>20.577448584555349</v>
      </c>
      <c r="F30" s="75">
        <f t="shared" si="9"/>
        <v>20.171999701942894</v>
      </c>
      <c r="G30" s="75">
        <f t="shared" si="9"/>
        <v>16.180856377140184</v>
      </c>
      <c r="H30" s="75">
        <f t="shared" si="9"/>
        <v>17.142829599003573</v>
      </c>
      <c r="I30" s="75">
        <f t="shared" si="9"/>
        <v>17.372801103147168</v>
      </c>
      <c r="J30" s="75">
        <f t="shared" si="9"/>
        <v>17.784091197735727</v>
      </c>
      <c r="K30" s="75">
        <f t="shared" si="9"/>
        <v>17.840734228790204</v>
      </c>
      <c r="L30" s="75">
        <f t="shared" si="9"/>
        <v>17.674957397783018</v>
      </c>
      <c r="M30" s="75">
        <f t="shared" si="9"/>
        <v>17.964077950562167</v>
      </c>
      <c r="N30" s="75">
        <f t="shared" si="9"/>
        <v>19.27581274130246</v>
      </c>
      <c r="O30" s="75">
        <f t="shared" si="9"/>
        <v>20.487178534790036</v>
      </c>
    </row>
    <row r="31" spans="1:17">
      <c r="A31" t="s">
        <v>87</v>
      </c>
      <c r="C31" s="29">
        <f>SUM(D31:O31)</f>
        <v>30508903.968997266</v>
      </c>
      <c r="D31" s="24">
        <f>Aurora!B19*1000</f>
        <v>3999477.2381355898</v>
      </c>
      <c r="E31" s="24">
        <f>Aurora!C19*1000</f>
        <v>3253585.1852416899</v>
      </c>
      <c r="F31" s="24">
        <f>Aurora!D19*1000</f>
        <v>3071403.75461578</v>
      </c>
      <c r="G31" s="24">
        <f>Aurora!E19*1000</f>
        <v>1889402.69966125</v>
      </c>
      <c r="H31" s="24">
        <f>Aurora!F19*1000</f>
        <v>508894.68340873701</v>
      </c>
      <c r="I31" s="24">
        <f>Aurora!G19*1000</f>
        <v>587992.20447540202</v>
      </c>
      <c r="J31" s="24">
        <f>Aurora!H19*1000</f>
        <v>2185247.53246307</v>
      </c>
      <c r="K31" s="24">
        <f>Aurora!I19*1000</f>
        <v>2826318.1289672796</v>
      </c>
      <c r="L31" s="24">
        <f>Aurora!J19*1000</f>
        <v>2774325.8422851502</v>
      </c>
      <c r="M31" s="24">
        <f>Aurora!K19*1000</f>
        <v>2654722.6680116402</v>
      </c>
      <c r="N31" s="24">
        <f>Aurora!L19*1000</f>
        <v>2965940.385255483</v>
      </c>
      <c r="O31" s="24">
        <f>Aurora!M19*1000</f>
        <v>3791593.6464761975</v>
      </c>
    </row>
    <row r="32" spans="1:17"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7">
      <c r="A33" t="s">
        <v>165</v>
      </c>
      <c r="C33" s="26">
        <f>SUM(D33:O33)</f>
        <v>1522643.7854919415</v>
      </c>
      <c r="D33" s="3">
        <f>Aurora!B10*1000</f>
        <v>176479.26679687499</v>
      </c>
      <c r="E33" s="3">
        <f>Aurora!C10*1000</f>
        <v>150002.52187500001</v>
      </c>
      <c r="F33" s="3">
        <f>Aurora!D10*1000</f>
        <v>149816.45009765599</v>
      </c>
      <c r="G33" s="3">
        <f>Aurora!E10*1000</f>
        <v>123549.61802978499</v>
      </c>
      <c r="H33" s="3">
        <f>Aurora!F10*1000</f>
        <v>38700.149560546801</v>
      </c>
      <c r="I33" s="3">
        <f>Aurora!G10*1000</f>
        <v>34636.173126220703</v>
      </c>
      <c r="J33" s="3">
        <f>Aurora!H10*1000</f>
        <v>107925.77153320299</v>
      </c>
      <c r="K33" s="3">
        <f>Aurora!I10*1000</f>
        <v>136633.470019531</v>
      </c>
      <c r="L33" s="3">
        <f>Aurora!J10*1000</f>
        <v>141590.82402343699</v>
      </c>
      <c r="M33" s="3">
        <f>Aurora!K10*1000</f>
        <v>145136.97900390599</v>
      </c>
      <c r="N33" s="3">
        <f>Aurora!L10*1000</f>
        <v>145853.833984375</v>
      </c>
      <c r="O33" s="3">
        <f>Aurora!M10*1000</f>
        <v>172318.72744140599</v>
      </c>
      <c r="P33" s="3">
        <f>C33/8784</f>
        <v>173.34287175454708</v>
      </c>
    </row>
    <row r="34" spans="1:17">
      <c r="A34" t="s">
        <v>166</v>
      </c>
      <c r="C34" s="72">
        <f>C35/C33</f>
        <v>19.339149613262332</v>
      </c>
      <c r="D34" s="75">
        <f>D35/D33</f>
        <v>21.018509520222427</v>
      </c>
      <c r="E34" s="75">
        <f t="shared" ref="E34:O34" si="10">E35/E33</f>
        <v>20.892721362785487</v>
      </c>
      <c r="F34" s="75">
        <f t="shared" si="10"/>
        <v>20.527880085171351</v>
      </c>
      <c r="G34" s="75">
        <f t="shared" si="10"/>
        <v>16.514793084029179</v>
      </c>
      <c r="H34" s="75">
        <f t="shared" si="10"/>
        <v>18.241800823929715</v>
      </c>
      <c r="I34" s="75">
        <f t="shared" si="10"/>
        <v>18.476038068535818</v>
      </c>
      <c r="J34" s="75">
        <f t="shared" si="10"/>
        <v>18.797195075817449</v>
      </c>
      <c r="K34" s="75">
        <f t="shared" si="10"/>
        <v>18.69206368062062</v>
      </c>
      <c r="L34" s="75">
        <f t="shared" si="10"/>
        <v>18.038887714428178</v>
      </c>
      <c r="M34" s="75">
        <f t="shared" si="10"/>
        <v>18.153845521297029</v>
      </c>
      <c r="N34" s="75">
        <f t="shared" si="10"/>
        <v>19.4778441670313</v>
      </c>
      <c r="O34" s="75">
        <f t="shared" si="10"/>
        <v>20.480170592044995</v>
      </c>
    </row>
    <row r="35" spans="1:17">
      <c r="A35" t="s">
        <v>167</v>
      </c>
      <c r="C35" s="29">
        <f>SUM(D35:O35)</f>
        <v>29446635.975332774</v>
      </c>
      <c r="D35" s="24">
        <f>Aurora!B22*1000</f>
        <v>3709331.1492919903</v>
      </c>
      <c r="E35" s="24">
        <f>Aurora!C22*1000</f>
        <v>3133960.8932495099</v>
      </c>
      <c r="F35" s="24">
        <f>Aurora!D22*1000</f>
        <v>3075414.1223907401</v>
      </c>
      <c r="G35" s="24">
        <f>Aurora!E22*1000</f>
        <v>2040396.3773727401</v>
      </c>
      <c r="H35" s="24">
        <f>Aurora!F22*1000</f>
        <v>705960.42013978586</v>
      </c>
      <c r="I35" s="24">
        <f>Aurora!G22*1000</f>
        <v>639939.25322845101</v>
      </c>
      <c r="J35" s="24">
        <f>Aurora!H22*1000</f>
        <v>2028701.7812177222</v>
      </c>
      <c r="K35" s="24">
        <f>Aurora!I22*1000</f>
        <v>2553961.5225092419</v>
      </c>
      <c r="L35" s="24">
        <f>Aurora!J22*1000</f>
        <v>2554140.9759521396</v>
      </c>
      <c r="M35" s="24">
        <f>Aurora!K22*1000</f>
        <v>2634794.2962646396</v>
      </c>
      <c r="N35" s="24">
        <f>Aurora!L22*1000</f>
        <v>2840918.2495117104</v>
      </c>
      <c r="O35" s="24">
        <f>Aurora!M22*1000</f>
        <v>3529116.9342040997</v>
      </c>
    </row>
    <row r="36" spans="1:17"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7">
      <c r="A37" t="s">
        <v>54</v>
      </c>
      <c r="C37" s="26">
        <f>SUM(D37:O37)</f>
        <v>30698.262267971004</v>
      </c>
      <c r="D37" s="3">
        <f>Aurora!B5*1000</f>
        <v>3636.2414524078299</v>
      </c>
      <c r="E37" s="3">
        <f>Aurora!C5*1000</f>
        <v>2530.0256000518798</v>
      </c>
      <c r="F37" s="3">
        <f>Aurora!D5*1000</f>
        <v>1310.28455924987</v>
      </c>
      <c r="G37" s="3">
        <f>Aurora!E5*1000</f>
        <v>1067.3721725463799</v>
      </c>
      <c r="H37" s="3">
        <f>Aurora!F5*1000</f>
        <v>892.76076421737605</v>
      </c>
      <c r="I37" s="3">
        <f>Aurora!G5*1000</f>
        <v>1313.86147727966</v>
      </c>
      <c r="J37" s="3">
        <f>Aurora!H5*1000</f>
        <v>3623.0047424316399</v>
      </c>
      <c r="K37" s="3">
        <f>Aurora!I5*1000</f>
        <v>5293.2692108154297</v>
      </c>
      <c r="L37" s="3">
        <f>Aurora!J5*1000</f>
        <v>3614.2646896362298</v>
      </c>
      <c r="M37" s="3">
        <f>Aurora!K5*1000</f>
        <v>2038.9749298095699</v>
      </c>
      <c r="N37" s="3">
        <f>Aurora!L5*1000</f>
        <v>2044.1910919189397</v>
      </c>
      <c r="O37" s="3">
        <f>Aurora!M5*1000</f>
        <v>3334.0115776061994</v>
      </c>
      <c r="P37" s="3">
        <f>C37/8760</f>
        <v>3.5043678388094754</v>
      </c>
      <c r="Q37" s="84">
        <f>SUM(P37:P49)</f>
        <v>28.458404584967873</v>
      </c>
    </row>
    <row r="38" spans="1:17">
      <c r="A38" t="s">
        <v>99</v>
      </c>
      <c r="C38" s="72">
        <f>C39/C37</f>
        <v>24.94868408626019</v>
      </c>
      <c r="D38" s="75">
        <f>IF(D37&gt;0,D39/D37,"")</f>
        <v>27.616025719959634</v>
      </c>
      <c r="E38" s="75">
        <f t="shared" ref="E38:O38" si="11">IF(E37&gt;0,E39/E37,"")</f>
        <v>27.537275802621075</v>
      </c>
      <c r="F38" s="75">
        <f t="shared" si="11"/>
        <v>26.921930517333923</v>
      </c>
      <c r="G38" s="75">
        <f t="shared" si="11"/>
        <v>21.394017564633806</v>
      </c>
      <c r="H38" s="75">
        <f t="shared" si="11"/>
        <v>22.659562417757027</v>
      </c>
      <c r="I38" s="75">
        <f t="shared" si="11"/>
        <v>23.330869941361851</v>
      </c>
      <c r="J38" s="75">
        <f t="shared" si="11"/>
        <v>23.685313736684165</v>
      </c>
      <c r="K38" s="75">
        <f t="shared" si="11"/>
        <v>23.809558178591672</v>
      </c>
      <c r="L38" s="75">
        <f t="shared" si="11"/>
        <v>23.479507725048421</v>
      </c>
      <c r="M38" s="75">
        <f t="shared" si="11"/>
        <v>23.693970843285427</v>
      </c>
      <c r="N38" s="75">
        <f t="shared" si="11"/>
        <v>25.511894123205387</v>
      </c>
      <c r="O38" s="75">
        <f t="shared" si="11"/>
        <v>26.884330327088882</v>
      </c>
    </row>
    <row r="39" spans="1:17">
      <c r="A39" t="s">
        <v>53</v>
      </c>
      <c r="C39" s="29">
        <f>SUM(D39:O39)</f>
        <v>765881.24732076982</v>
      </c>
      <c r="D39" s="24">
        <f>Aurora!B17*1000</f>
        <v>100418.53747367801</v>
      </c>
      <c r="E39" s="24">
        <f>Aurora!C17*1000</f>
        <v>69670.012736320496</v>
      </c>
      <c r="F39" s="24">
        <f>Aurora!D17*1000</f>
        <v>35275.389862060503</v>
      </c>
      <c r="G39" s="24">
        <f>Aurora!E17*1000</f>
        <v>22835.3790074586</v>
      </c>
      <c r="H39" s="24">
        <f>Aurora!F17*1000</f>
        <v>20229.568260908098</v>
      </c>
      <c r="I39" s="24">
        <f>Aurora!G17*1000</f>
        <v>30653.531247377297</v>
      </c>
      <c r="J39" s="24">
        <f>Aurora!H17*1000</f>
        <v>85812.003993987993</v>
      </c>
      <c r="K39" s="24">
        <f>Aurora!I17*1000</f>
        <v>126030.40122985801</v>
      </c>
      <c r="L39" s="24">
        <f>Aurora!J17*1000</f>
        <v>84861.155700683594</v>
      </c>
      <c r="M39" s="24">
        <f>Aurora!K17*1000</f>
        <v>48311.412537097902</v>
      </c>
      <c r="N39" s="24">
        <f>Aurora!L17*1000</f>
        <v>52151.186704635598</v>
      </c>
      <c r="O39" s="24">
        <f>Aurora!M17*1000</f>
        <v>89632.668566703796</v>
      </c>
    </row>
    <row r="40" spans="1:17"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7">
      <c r="A41" t="s">
        <v>56</v>
      </c>
      <c r="C41" s="26">
        <f>SUM(D41:O41)</f>
        <v>22500.699003529513</v>
      </c>
      <c r="D41" s="3">
        <f>Aurora!B9*1000</f>
        <v>2655.2446922302215</v>
      </c>
      <c r="E41" s="3">
        <f>Aurora!C9*1000</f>
        <v>1889.2296974182079</v>
      </c>
      <c r="F41" s="3">
        <f>Aurora!D9*1000</f>
        <v>1055.3218043565714</v>
      </c>
      <c r="G41" s="3">
        <f>Aurora!E9*1000</f>
        <v>773.07543104886929</v>
      </c>
      <c r="H41" s="3">
        <f>Aurora!F9*1000</f>
        <v>424.56719427108698</v>
      </c>
      <c r="I41" s="3">
        <f>Aurora!G9*1000</f>
        <v>872.43030059337582</v>
      </c>
      <c r="J41" s="3">
        <f>Aurora!H9*1000</f>
        <v>2336.0867952942776</v>
      </c>
      <c r="K41" s="3">
        <f>Aurora!I9*1000</f>
        <v>3051.291698634619</v>
      </c>
      <c r="L41" s="3">
        <f>Aurora!J9*1000</f>
        <v>2626.683096456527</v>
      </c>
      <c r="M41" s="3">
        <f>Aurora!K9*1000</f>
        <v>2189.9541294753499</v>
      </c>
      <c r="N41" s="3">
        <f>Aurora!L9*1000</f>
        <v>2011.4503814518416</v>
      </c>
      <c r="O41" s="3">
        <f>Aurora!M9*1000</f>
        <v>2615.363782298562</v>
      </c>
      <c r="P41" s="3">
        <f>C41/8760</f>
        <v>2.5685729456083921</v>
      </c>
    </row>
    <row r="42" spans="1:17">
      <c r="A42" t="s">
        <v>102</v>
      </c>
      <c r="C42" s="72">
        <f>C43/C41</f>
        <v>24.265969841568012</v>
      </c>
      <c r="D42" s="75">
        <f t="shared" ref="D42:O42" si="12">IF(D41&gt;0,D43/D41,"")</f>
        <v>26.77194282422742</v>
      </c>
      <c r="E42" s="75">
        <f t="shared" si="12"/>
        <v>26.517740579396065</v>
      </c>
      <c r="F42" s="75">
        <f t="shared" si="12"/>
        <v>26.091588929367205</v>
      </c>
      <c r="G42" s="75">
        <f t="shared" si="12"/>
        <v>20.801185706584391</v>
      </c>
      <c r="H42" s="75">
        <f t="shared" si="12"/>
        <v>22.012931092784484</v>
      </c>
      <c r="I42" s="75">
        <f t="shared" si="12"/>
        <v>22.498701868614965</v>
      </c>
      <c r="J42" s="75">
        <f t="shared" si="12"/>
        <v>22.961595773273324</v>
      </c>
      <c r="K42" s="75">
        <f t="shared" si="12"/>
        <v>23.070836131342997</v>
      </c>
      <c r="L42" s="75">
        <f t="shared" si="12"/>
        <v>22.84423870485934</v>
      </c>
      <c r="M42" s="75">
        <f t="shared" si="12"/>
        <v>22.988171273441434</v>
      </c>
      <c r="N42" s="75">
        <f t="shared" si="12"/>
        <v>24.728128085158406</v>
      </c>
      <c r="O42" s="75">
        <f t="shared" si="12"/>
        <v>26.039798161125479</v>
      </c>
    </row>
    <row r="43" spans="1:17">
      <c r="A43" t="s">
        <v>55</v>
      </c>
      <c r="C43" s="29">
        <f>SUM(D43:O43)</f>
        <v>546001.28343384655</v>
      </c>
      <c r="D43" s="24">
        <f>Aurora!B21*1000</f>
        <v>71086.059084720822</v>
      </c>
      <c r="E43" s="24">
        <f>Aurora!C21*1000</f>
        <v>50098.103011026964</v>
      </c>
      <c r="F43" s="24">
        <f>Aurora!D21*1000</f>
        <v>27535.022707469743</v>
      </c>
      <c r="G43" s="24">
        <f>Aurora!E21*1000</f>
        <v>16080.885606445307</v>
      </c>
      <c r="H43" s="24">
        <f>Aurora!F21*1000</f>
        <v>9345.9683917462808</v>
      </c>
      <c r="I43" s="24">
        <f>Aurora!G21*1000</f>
        <v>19628.5492341965</v>
      </c>
      <c r="J43" s="24">
        <f>Aurora!H21*1000</f>
        <v>53640.280684828707</v>
      </c>
      <c r="K43" s="24">
        <f>Aurora!I21*1000</f>
        <v>70395.850768126518</v>
      </c>
      <c r="L43" s="24">
        <f>Aurora!J21*1000</f>
        <v>60004.575657471971</v>
      </c>
      <c r="M43" s="24">
        <f>Aurora!K21*1000</f>
        <v>50343.040609359683</v>
      </c>
      <c r="N43" s="24">
        <f>Aurora!L21*1000</f>
        <v>49739.402669481875</v>
      </c>
      <c r="O43" s="24">
        <f>Aurora!M21*1000</f>
        <v>68103.545008972273</v>
      </c>
    </row>
    <row r="44" spans="1:17"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7">
      <c r="A45" t="s">
        <v>37</v>
      </c>
      <c r="C45" s="26">
        <f>SUM(D45:O45)</f>
        <v>161236.14147415129</v>
      </c>
      <c r="D45" s="3">
        <f>Aurora!B12*1000</f>
        <v>18408.209832382192</v>
      </c>
      <c r="E45" s="3">
        <f>Aurora!C12*1000</f>
        <v>9930.7487144470106</v>
      </c>
      <c r="F45" s="3">
        <f>Aurora!D12*1000</f>
        <v>1013.8227363586409</v>
      </c>
      <c r="G45" s="3">
        <f>Aurora!E12*1000</f>
        <v>506.19760513305602</v>
      </c>
      <c r="H45" s="3">
        <f>Aurora!F12*1000</f>
        <v>576.84272117614603</v>
      </c>
      <c r="I45" s="3">
        <f>Aurora!G12*1000</f>
        <v>5592.5647300720102</v>
      </c>
      <c r="J45" s="3">
        <f>Aurora!H12*1000</f>
        <v>23796.409634399301</v>
      </c>
      <c r="K45" s="3">
        <f>Aurora!I12*1000</f>
        <v>33725.213598632799</v>
      </c>
      <c r="L45" s="3">
        <f>Aurora!J12*1000</f>
        <v>23038.9036010741</v>
      </c>
      <c r="M45" s="3">
        <f>Aurora!K12*1000</f>
        <v>14229.6830581665</v>
      </c>
      <c r="N45" s="3">
        <f>Aurora!L12*1000</f>
        <v>11763.932579803461</v>
      </c>
      <c r="O45" s="3">
        <f>Aurora!M12*1000</f>
        <v>18653.612662506101</v>
      </c>
      <c r="P45" s="3">
        <f>C45/8760</f>
        <v>18.405952223076632</v>
      </c>
    </row>
    <row r="46" spans="1:17">
      <c r="A46" t="s">
        <v>96</v>
      </c>
      <c r="C46" s="72">
        <f>C47/C45</f>
        <v>35.391193446140718</v>
      </c>
      <c r="D46" s="75">
        <f t="shared" ref="D46:O46" si="13">IF(D45&gt;0,D47/D45,"")</f>
        <v>35.162762549255966</v>
      </c>
      <c r="E46" s="75">
        <f t="shared" si="13"/>
        <v>34.722598532386911</v>
      </c>
      <c r="F46" s="75">
        <f t="shared" si="13"/>
        <v>34.442129981818773</v>
      </c>
      <c r="G46" s="75">
        <f t="shared" si="13"/>
        <v>27.193179011884013</v>
      </c>
      <c r="H46" s="75">
        <f t="shared" si="13"/>
        <v>42.148891808105475</v>
      </c>
      <c r="I46" s="75">
        <f t="shared" si="13"/>
        <v>40.866263193768916</v>
      </c>
      <c r="J46" s="75">
        <f t="shared" si="13"/>
        <v>39.681518547718554</v>
      </c>
      <c r="K46" s="75">
        <f t="shared" si="13"/>
        <v>39.446975916893123</v>
      </c>
      <c r="L46" s="75">
        <f t="shared" si="13"/>
        <v>29.927118426360504</v>
      </c>
      <c r="M46" s="75">
        <f t="shared" si="13"/>
        <v>30.127031081522272</v>
      </c>
      <c r="N46" s="75">
        <f t="shared" si="13"/>
        <v>32.470097561673853</v>
      </c>
      <c r="O46" s="75">
        <f t="shared" si="13"/>
        <v>34.196765796396065</v>
      </c>
    </row>
    <row r="47" spans="1:17">
      <c r="A47" t="s">
        <v>38</v>
      </c>
      <c r="C47" s="29">
        <f>SUM(D47:O47)</f>
        <v>5706339.4734210009</v>
      </c>
      <c r="D47" s="24">
        <f>Aurora!B24*1000</f>
        <v>647283.51129293395</v>
      </c>
      <c r="E47" s="24">
        <f>Aurora!C24*1000</f>
        <v>344821.400737761</v>
      </c>
      <c r="F47" s="24">
        <f>Aurora!D24*1000</f>
        <v>34918.214464187498</v>
      </c>
      <c r="G47" s="24">
        <f>Aurora!E24*1000</f>
        <v>13765.12209177017</v>
      </c>
      <c r="H47" s="24">
        <f>Aurora!F24*1000</f>
        <v>24313.281445146531</v>
      </c>
      <c r="I47" s="24">
        <f>Aurora!G24*1000</f>
        <v>228547.222187312</v>
      </c>
      <c r="J47" s="24">
        <f>Aurora!H24*1000</f>
        <v>944277.67027652427</v>
      </c>
      <c r="K47" s="24">
        <f>Aurora!I24*1000</f>
        <v>1330357.6886173445</v>
      </c>
      <c r="L47" s="24">
        <f>Aurora!J24*1000</f>
        <v>689487.99648284807</v>
      </c>
      <c r="M47" s="24">
        <f>Aurora!K24*1000</f>
        <v>428698.10377359303</v>
      </c>
      <c r="N47" s="24">
        <f>Aurora!L24*1000</f>
        <v>381976.03857517196</v>
      </c>
      <c r="O47" s="24">
        <f>Aurora!M24*1000</f>
        <v>637893.2234764091</v>
      </c>
    </row>
    <row r="48" spans="1:17">
      <c r="C48" s="37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6">
      <c r="A49" t="s">
        <v>42</v>
      </c>
      <c r="C49" s="26">
        <f>SUM(D49:O49)</f>
        <v>34860.521418666773</v>
      </c>
      <c r="D49" s="3">
        <f>Aurora!B11*1000</f>
        <v>2960.4218143463004</v>
      </c>
      <c r="E49" s="3">
        <f>Aurora!C11*1000</f>
        <v>992.94033870696899</v>
      </c>
      <c r="F49" s="3">
        <f>Aurora!D11*1000</f>
        <v>156.413826560974</v>
      </c>
      <c r="G49" s="3">
        <f>Aurora!E11*1000</f>
        <v>51.953263092040999</v>
      </c>
      <c r="H49" s="3">
        <f>Aurora!F11*1000</f>
        <v>70.527241134643404</v>
      </c>
      <c r="I49" s="3">
        <f>Aurora!G11*1000</f>
        <v>1084.5835437774649</v>
      </c>
      <c r="J49" s="3">
        <f>Aurora!H11*1000</f>
        <v>5889.5721273422205</v>
      </c>
      <c r="K49" s="3">
        <f>Aurora!I11*1000</f>
        <v>8165.6613578796296</v>
      </c>
      <c r="L49" s="3">
        <f>Aurora!J11*1000</f>
        <v>5187.9172661781195</v>
      </c>
      <c r="M49" s="3">
        <f>Aurora!K11*1000</f>
        <v>3866.2996276855401</v>
      </c>
      <c r="N49" s="3">
        <f>Aurora!L11*1000</f>
        <v>3174.3966510772598</v>
      </c>
      <c r="O49" s="3">
        <f>Aurora!M11*1000</f>
        <v>3259.8343608856098</v>
      </c>
      <c r="P49" s="3">
        <f>C49/8760</f>
        <v>3.9795115774733758</v>
      </c>
    </row>
    <row r="50" spans="1:16">
      <c r="A50" t="s">
        <v>97</v>
      </c>
      <c r="C50" s="72">
        <f>C51/C49</f>
        <v>35.350095286369772</v>
      </c>
      <c r="D50" s="75">
        <f t="shared" ref="D50:O50" si="14">IF(D49&gt;0,D51/D49,"")</f>
        <v>39.78144694936482</v>
      </c>
      <c r="E50" s="75">
        <f t="shared" si="14"/>
        <v>39.241247303307212</v>
      </c>
      <c r="F50" s="75">
        <f t="shared" si="14"/>
        <v>38.804924082266147</v>
      </c>
      <c r="G50" s="75">
        <f t="shared" si="14"/>
        <v>30.865777025917218</v>
      </c>
      <c r="H50" s="75">
        <f t="shared" si="14"/>
        <v>33.148225954265953</v>
      </c>
      <c r="I50" s="75">
        <f t="shared" si="14"/>
        <v>33.621672722622648</v>
      </c>
      <c r="J50" s="75">
        <f t="shared" si="14"/>
        <v>34.038507416555206</v>
      </c>
      <c r="K50" s="75">
        <f t="shared" si="14"/>
        <v>34.198607284516108</v>
      </c>
      <c r="L50" s="75">
        <f t="shared" si="14"/>
        <v>33.854913771093351</v>
      </c>
      <c r="M50" s="75">
        <f t="shared" si="14"/>
        <v>34.011959700496263</v>
      </c>
      <c r="N50" s="75">
        <f t="shared" si="14"/>
        <v>36.582900718790171</v>
      </c>
      <c r="O50" s="75">
        <f t="shared" si="14"/>
        <v>38.689099480471413</v>
      </c>
    </row>
    <row r="51" spans="1:16">
      <c r="A51" t="s">
        <v>43</v>
      </c>
      <c r="C51" s="29">
        <f>SUM(D51:O51)</f>
        <v>1232322.7538824046</v>
      </c>
      <c r="D51" s="24">
        <f>Aurora!B23*1000</f>
        <v>117769.8633551597</v>
      </c>
      <c r="E51" s="24">
        <f>Aurora!C23*1000</f>
        <v>38964.217388629797</v>
      </c>
      <c r="F51" s="24">
        <f>Aurora!D23*1000</f>
        <v>6069.6266651153401</v>
      </c>
      <c r="G51" s="24">
        <f>Aurora!E23*1000</f>
        <v>1603.5778343677521</v>
      </c>
      <c r="H51" s="24">
        <f>Aurora!F23*1000</f>
        <v>2337.85292506216</v>
      </c>
      <c r="I51" s="24">
        <f>Aurora!G23*1000</f>
        <v>36465.512949228199</v>
      </c>
      <c r="J51" s="24">
        <f>Aurora!H23*1000</f>
        <v>200472.24453687499</v>
      </c>
      <c r="K51" s="24">
        <f>Aurora!I23*1000</f>
        <v>279254.245996474</v>
      </c>
      <c r="L51" s="24">
        <f>Aurora!J23*1000</f>
        <v>175636.4916980266</v>
      </c>
      <c r="M51" s="24">
        <f>Aurora!K23*1000</f>
        <v>131500.42712688429</v>
      </c>
      <c r="N51" s="24">
        <f>Aurora!L23*1000</f>
        <v>116128.63752841941</v>
      </c>
      <c r="O51" s="24">
        <f>Aurora!M23*1000</f>
        <v>126120.05587816231</v>
      </c>
    </row>
    <row r="52" spans="1:16"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6">
      <c r="A53" t="s">
        <v>39</v>
      </c>
      <c r="C53" s="51">
        <f>SUM(D53:O53)</f>
        <v>96867018.072867393</v>
      </c>
      <c r="D53" s="31">
        <f t="shared" ref="D53:J53" si="15">D23+D27+D31+D35+D39+D43+D47+D51</f>
        <v>11520522.673826296</v>
      </c>
      <c r="E53" s="31">
        <f t="shared" si="15"/>
        <v>9544901.9912809152</v>
      </c>
      <c r="F53" s="31">
        <f t="shared" si="15"/>
        <v>9001194.3449301682</v>
      </c>
      <c r="G53" s="31">
        <f t="shared" si="15"/>
        <v>6457838.9930119812</v>
      </c>
      <c r="H53" s="31">
        <f t="shared" si="15"/>
        <v>2804594.9456625143</v>
      </c>
      <c r="I53" s="31">
        <f t="shared" si="15"/>
        <v>2884227.0518229012</v>
      </c>
      <c r="J53" s="31">
        <f t="shared" si="15"/>
        <v>7699993.7291068565</v>
      </c>
      <c r="K53" s="31">
        <f>K23+K27+K31+K35+K39+K43+K47+K51</f>
        <v>9646692.4939693008</v>
      </c>
      <c r="L53" s="31">
        <f>L23+L27+L31+L35+L39+L43+L47+L51</f>
        <v>8898914.4477924258</v>
      </c>
      <c r="M53" s="31">
        <f>M23+M27+M31+M35+M39+M43+M47+M51</f>
        <v>8523606.9298725259</v>
      </c>
      <c r="N53" s="31">
        <f>N23+N27+N31+N35+N39+N43+N47+N51</f>
        <v>8955936.6699869633</v>
      </c>
      <c r="O53" s="31">
        <f>O23+O27+O31+O35+O39+O43+O47+O51</f>
        <v>10928593.80160456</v>
      </c>
    </row>
    <row r="54" spans="1:16">
      <c r="C54" s="24"/>
      <c r="D54" s="24"/>
      <c r="E54" s="24"/>
      <c r="F54" s="24"/>
      <c r="G54" s="24"/>
      <c r="H54" s="24"/>
      <c r="I54" s="24"/>
    </row>
    <row r="55" spans="1:16" s="11" customFormat="1">
      <c r="A55" s="33" t="s">
        <v>88</v>
      </c>
      <c r="B55" s="34"/>
      <c r="C55" s="70">
        <f>C53+C13+C9</f>
        <v>64269942.00110817</v>
      </c>
    </row>
    <row r="56" spans="1:16" s="11" customFormat="1">
      <c r="A56" s="8"/>
      <c r="C56" s="35"/>
      <c r="D56" s="35"/>
      <c r="E56" s="35"/>
      <c r="F56" s="35"/>
      <c r="G56" s="35"/>
      <c r="H56" s="35"/>
      <c r="I56" s="35"/>
    </row>
  </sheetData>
  <phoneticPr fontId="6" type="noConversion"/>
  <pageMargins left="0.75" right="0.75" top="1" bottom="1" header="0.5" footer="0.5"/>
  <pageSetup scale="55" orientation="landscape" r:id="rId1"/>
  <headerFooter alignWithMargins="0">
    <oddHeader>&amp;R&amp;12Exh. WGJ-4</oddHeader>
    <oddFooter>&amp;C&amp;12Page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44"/>
  <sheetViews>
    <sheetView tabSelected="1" zoomScaleNormal="100" workbookViewId="0">
      <selection activeCell="D37" sqref="D37"/>
    </sheetView>
  </sheetViews>
  <sheetFormatPr defaultColWidth="9.140625" defaultRowHeight="12.75"/>
  <cols>
    <col min="1" max="1" width="32.5703125" style="114" customWidth="1"/>
    <col min="2" max="2" width="13.140625" style="114" customWidth="1"/>
    <col min="3" max="14" width="11.7109375" style="114" customWidth="1"/>
    <col min="15" max="16384" width="9.140625" style="114"/>
  </cols>
  <sheetData>
    <row r="1" spans="1:17" ht="15.75">
      <c r="A1" s="133" t="s">
        <v>154</v>
      </c>
      <c r="P1" s="148">
        <v>0.6573</v>
      </c>
      <c r="Q1" s="114" t="s">
        <v>239</v>
      </c>
    </row>
    <row r="2" spans="1:17" ht="15.75">
      <c r="A2" s="133" t="s">
        <v>236</v>
      </c>
    </row>
    <row r="3" spans="1:17" ht="15.75">
      <c r="A3" s="133" t="s">
        <v>172</v>
      </c>
    </row>
    <row r="4" spans="1:17" s="134" customFormat="1" ht="15.75">
      <c r="A4" s="133" t="s">
        <v>237</v>
      </c>
    </row>
    <row r="5" spans="1:17" ht="15.75">
      <c r="A5" s="133"/>
    </row>
    <row r="6" spans="1:17">
      <c r="A6" s="115" t="s">
        <v>183</v>
      </c>
    </row>
    <row r="7" spans="1:17">
      <c r="A7" s="115"/>
    </row>
    <row r="8" spans="1:17">
      <c r="B8" s="135" t="s">
        <v>32</v>
      </c>
      <c r="C8" s="136" t="s">
        <v>189</v>
      </c>
      <c r="D8" s="136" t="s">
        <v>190</v>
      </c>
      <c r="E8" s="136" t="s">
        <v>191</v>
      </c>
      <c r="F8" s="136" t="s">
        <v>192</v>
      </c>
      <c r="G8" s="136" t="s">
        <v>79</v>
      </c>
      <c r="H8" s="136" t="s">
        <v>193</v>
      </c>
      <c r="I8" s="136" t="s">
        <v>194</v>
      </c>
      <c r="J8" s="136" t="s">
        <v>195</v>
      </c>
      <c r="K8" s="136" t="s">
        <v>196</v>
      </c>
      <c r="L8" s="136" t="s">
        <v>197</v>
      </c>
      <c r="M8" s="136" t="s">
        <v>198</v>
      </c>
      <c r="N8" s="136" t="s">
        <v>199</v>
      </c>
    </row>
    <row r="10" spans="1:17">
      <c r="A10" s="114" t="s">
        <v>143</v>
      </c>
      <c r="B10" s="137">
        <f>SUM(C10:N10)</f>
        <v>111395054.07292235</v>
      </c>
      <c r="C10" s="137">
        <f>'WGJ-2'!K27</f>
        <v>11810646.23109388</v>
      </c>
      <c r="D10" s="137">
        <f>'WGJ-2'!L27</f>
        <v>10948943.208400952</v>
      </c>
      <c r="E10" s="137">
        <f>'WGJ-2'!M27</f>
        <v>10208755.657028379</v>
      </c>
      <c r="F10" s="137">
        <f>'WGJ-2'!N27</f>
        <v>9754466.1863178331</v>
      </c>
      <c r="G10" s="137">
        <f>'WGJ-2'!O27</f>
        <v>7204007.3329556882</v>
      </c>
      <c r="H10" s="137">
        <f>'WGJ-2'!P27</f>
        <v>6832768.3574525369</v>
      </c>
      <c r="I10" s="137">
        <f>'WGJ-2'!Q27</f>
        <v>7367141.2614967925</v>
      </c>
      <c r="J10" s="137">
        <f>'WGJ-2'!R27</f>
        <v>8064915.6606194321</v>
      </c>
      <c r="K10" s="137">
        <f>'WGJ-2'!S27</f>
        <v>7448796.1672030892</v>
      </c>
      <c r="L10" s="137">
        <f>'WGJ-2'!T27</f>
        <v>7999787.4648104515</v>
      </c>
      <c r="M10" s="137">
        <f>'WGJ-2'!U27</f>
        <v>11642227.201504309</v>
      </c>
      <c r="N10" s="137">
        <f>'WGJ-2'!V27</f>
        <v>12112599.344039015</v>
      </c>
    </row>
    <row r="11" spans="1:17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  <row r="12" spans="1:17">
      <c r="A12" s="114" t="s">
        <v>142</v>
      </c>
      <c r="B12" s="137">
        <f>SUM(C12:N12)</f>
        <v>28873933.370479342</v>
      </c>
      <c r="C12" s="137">
        <f>'WGJ-2'!K42</f>
        <v>2892906.3151922221</v>
      </c>
      <c r="D12" s="137">
        <f>'WGJ-2'!L42</f>
        <v>2671552.1789159765</v>
      </c>
      <c r="E12" s="137">
        <f>'WGJ-2'!M42</f>
        <v>2768328.2142248144</v>
      </c>
      <c r="F12" s="137">
        <f>'WGJ-2'!N42</f>
        <v>2491504.9514379497</v>
      </c>
      <c r="G12" s="137">
        <f>'WGJ-2'!O42</f>
        <v>1551263.1710911286</v>
      </c>
      <c r="H12" s="137">
        <f>'WGJ-2'!P42</f>
        <v>1358750.7785009337</v>
      </c>
      <c r="I12" s="137">
        <f>'WGJ-2'!Q42</f>
        <v>2219592.2159338486</v>
      </c>
      <c r="J12" s="137">
        <f>'WGJ-2'!R42</f>
        <v>2478124.6558809769</v>
      </c>
      <c r="K12" s="137">
        <f>'WGJ-2'!S42</f>
        <v>2578207.4100161078</v>
      </c>
      <c r="L12" s="137">
        <f>'WGJ-2'!T42</f>
        <v>2592986.981549311</v>
      </c>
      <c r="M12" s="137">
        <f>'WGJ-2'!U42</f>
        <v>2566832.7697420609</v>
      </c>
      <c r="N12" s="137">
        <f>'WGJ-2'!V42</f>
        <v>2703883.7279940136</v>
      </c>
    </row>
    <row r="13" spans="1:17"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7">
      <c r="A14" s="114" t="s">
        <v>182</v>
      </c>
      <c r="B14" s="137">
        <f>SUM(C14:N14)</f>
        <v>70067290.702388063</v>
      </c>
      <c r="C14" s="137">
        <f>'WGJ-2'!K56</f>
        <v>8800466.8586340714</v>
      </c>
      <c r="D14" s="137">
        <f>'WGJ-2'!L56</f>
        <v>7046200.3123649387</v>
      </c>
      <c r="E14" s="137">
        <f>'WGJ-2'!M56</f>
        <v>6405716.6307053538</v>
      </c>
      <c r="F14" s="137">
        <f>'WGJ-2'!N56</f>
        <v>4139184.5415740325</v>
      </c>
      <c r="G14" s="137">
        <f>'WGJ-2'!O56</f>
        <v>1426182.2745713859</v>
      </c>
      <c r="H14" s="137">
        <f>'WGJ-2'!P56</f>
        <v>1698326.7733219671</v>
      </c>
      <c r="I14" s="137">
        <f>'WGJ-2'!Q56</f>
        <v>5653252.0131730093</v>
      </c>
      <c r="J14" s="137">
        <f>'WGJ-2'!R56</f>
        <v>7341418.3380883252</v>
      </c>
      <c r="K14" s="137">
        <f>'WGJ-2'!S56</f>
        <v>6493557.5377763212</v>
      </c>
      <c r="L14" s="137">
        <f>'WGJ-2'!T56</f>
        <v>6103470.4483232154</v>
      </c>
      <c r="M14" s="137">
        <f>'WGJ-2'!U56</f>
        <v>6561954.4002449028</v>
      </c>
      <c r="N14" s="137">
        <f>'WGJ-2'!V56</f>
        <v>8397560.5736105442</v>
      </c>
    </row>
    <row r="15" spans="1:17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7">
      <c r="A16" s="138" t="s">
        <v>141</v>
      </c>
      <c r="B16" s="139">
        <f>SUM(C16:N16)</f>
        <v>54103855.450523019</v>
      </c>
      <c r="C16" s="139">
        <f>'WGJ-2'!K89</f>
        <v>5410854.4629368149</v>
      </c>
      <c r="D16" s="139">
        <f>'WGJ-2'!L89</f>
        <v>3688134.4481197563</v>
      </c>
      <c r="E16" s="139">
        <f>'WGJ-2'!M89</f>
        <v>4363040.8280996103</v>
      </c>
      <c r="F16" s="139">
        <f>'WGJ-2'!N89</f>
        <v>6216671.5854771864</v>
      </c>
      <c r="G16" s="139">
        <f>'WGJ-2'!O89</f>
        <v>3992970.3629757706</v>
      </c>
      <c r="H16" s="139">
        <f>'WGJ-2'!P89</f>
        <v>3782255.5856629908</v>
      </c>
      <c r="I16" s="139">
        <f>'WGJ-2'!Q89</f>
        <v>5325599.3546544611</v>
      </c>
      <c r="J16" s="139">
        <f>'WGJ-2'!R89</f>
        <v>3215250.6369966031</v>
      </c>
      <c r="K16" s="139">
        <f>'WGJ-2'!S89</f>
        <v>4016772.059021709</v>
      </c>
      <c r="L16" s="139">
        <f>'WGJ-2'!T89</f>
        <v>3304258.8325477028</v>
      </c>
      <c r="M16" s="139">
        <f>'WGJ-2'!U89</f>
        <v>4468024.5895819021</v>
      </c>
      <c r="N16" s="139">
        <f>'WGJ-2'!V89</f>
        <v>6320022.7044485165</v>
      </c>
    </row>
    <row r="17" spans="1:14" ht="12.75" customHeight="1"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</row>
    <row r="18" spans="1:14">
      <c r="A18" s="132" t="s">
        <v>138</v>
      </c>
      <c r="B18" s="137">
        <f>SUM(C18:N18)</f>
        <v>156232422.69526678</v>
      </c>
      <c r="C18" s="137">
        <f>SUM(C10:C14)-C16</f>
        <v>18093164.941983361</v>
      </c>
      <c r="D18" s="137">
        <f t="shared" ref="D18:N18" si="0">SUM(D10:D14)-D16</f>
        <v>16978561.251562111</v>
      </c>
      <c r="E18" s="137">
        <f t="shared" si="0"/>
        <v>15019759.673858935</v>
      </c>
      <c r="F18" s="137">
        <f t="shared" si="0"/>
        <v>10168484.09385263</v>
      </c>
      <c r="G18" s="137">
        <f t="shared" si="0"/>
        <v>6188482.415642431</v>
      </c>
      <c r="H18" s="137">
        <f t="shared" si="0"/>
        <v>6107590.3236124478</v>
      </c>
      <c r="I18" s="137">
        <f t="shared" si="0"/>
        <v>9914386.1359491907</v>
      </c>
      <c r="J18" s="137">
        <f t="shared" si="0"/>
        <v>14669208.01759213</v>
      </c>
      <c r="K18" s="137">
        <f t="shared" si="0"/>
        <v>12503789.055973809</v>
      </c>
      <c r="L18" s="137">
        <f t="shared" si="0"/>
        <v>13391986.062135275</v>
      </c>
      <c r="M18" s="137">
        <f t="shared" si="0"/>
        <v>16302989.781909369</v>
      </c>
      <c r="N18" s="137">
        <f t="shared" si="0"/>
        <v>16894020.941195056</v>
      </c>
    </row>
    <row r="19" spans="1:14" ht="12.75" customHeight="1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ht="12.75" customHeight="1">
      <c r="A20" s="132" t="s">
        <v>173</v>
      </c>
      <c r="B20" s="137">
        <f>SUM(C20:N20)</f>
        <v>17404327.740000002</v>
      </c>
      <c r="C20" s="137">
        <f>'WGJ-2'!K71</f>
        <v>1386858.0466666669</v>
      </c>
      <c r="D20" s="137">
        <f>'WGJ-2'!L71</f>
        <v>1618473.1166666667</v>
      </c>
      <c r="E20" s="137">
        <f>'WGJ-2'!M71</f>
        <v>1456728.2266666668</v>
      </c>
      <c r="F20" s="137">
        <f>'WGJ-2'!N71</f>
        <v>1423781.1266666667</v>
      </c>
      <c r="G20" s="137">
        <f>'WGJ-2'!O71</f>
        <v>1394142.2766666666</v>
      </c>
      <c r="H20" s="137">
        <f>'WGJ-2'!P71</f>
        <v>1391307.6566666667</v>
      </c>
      <c r="I20" s="137">
        <f>'WGJ-2'!Q71</f>
        <v>1452951.0666666667</v>
      </c>
      <c r="J20" s="137">
        <f>'WGJ-2'!R71</f>
        <v>1443201.7066666668</v>
      </c>
      <c r="K20" s="137">
        <f>'WGJ-2'!S71</f>
        <v>1567440.7766666668</v>
      </c>
      <c r="L20" s="137">
        <f>'WGJ-2'!T71</f>
        <v>1406860.9566666668</v>
      </c>
      <c r="M20" s="137">
        <f>'WGJ-2'!U71</f>
        <v>1416448.4966666666</v>
      </c>
      <c r="N20" s="137">
        <f>'WGJ-2'!V71</f>
        <v>1446134.2866666666</v>
      </c>
    </row>
    <row r="21" spans="1:14" ht="12.75" customHeight="1">
      <c r="A21" s="132"/>
    </row>
    <row r="22" spans="1:14" ht="12.75" customHeight="1">
      <c r="A22" s="132" t="s">
        <v>216</v>
      </c>
      <c r="B22" s="118">
        <f>SUM(C22:N22)</f>
        <v>15149484.81844</v>
      </c>
      <c r="C22" s="118">
        <v>1062694.2482666669</v>
      </c>
      <c r="D22" s="118">
        <v>1178480.7084499998</v>
      </c>
      <c r="E22" s="118">
        <v>1177115.4001833333</v>
      </c>
      <c r="F22" s="118">
        <v>1141305.3691499997</v>
      </c>
      <c r="G22" s="118">
        <v>1253487.5186833334</v>
      </c>
      <c r="H22" s="118">
        <v>1398528.6951333333</v>
      </c>
      <c r="I22" s="118">
        <v>1450378.4177833332</v>
      </c>
      <c r="J22" s="118">
        <v>1346818.8555833334</v>
      </c>
      <c r="K22" s="118">
        <v>1372212.6791666667</v>
      </c>
      <c r="L22" s="118">
        <v>1319316.3295499999</v>
      </c>
      <c r="M22" s="118">
        <v>1257650.3352066665</v>
      </c>
      <c r="N22" s="118">
        <v>1191496.2612833332</v>
      </c>
    </row>
    <row r="23" spans="1:14" ht="12.75" customHeight="1">
      <c r="A23" s="132"/>
      <c r="B23" s="118"/>
    </row>
    <row r="24" spans="1:14" ht="12.75" customHeight="1">
      <c r="A24" s="132" t="s">
        <v>179</v>
      </c>
      <c r="B24" s="118">
        <f>SUM(C24:N24)</f>
        <v>411000</v>
      </c>
      <c r="C24" s="137">
        <f>'WGJ-2'!K30</f>
        <v>34250</v>
      </c>
      <c r="D24" s="137">
        <f>'WGJ-2'!L30</f>
        <v>34250</v>
      </c>
      <c r="E24" s="137">
        <f>'WGJ-2'!M30</f>
        <v>34250</v>
      </c>
      <c r="F24" s="137">
        <f>'WGJ-2'!N30</f>
        <v>34250</v>
      </c>
      <c r="G24" s="137">
        <f>'WGJ-2'!O30</f>
        <v>34250</v>
      </c>
      <c r="H24" s="137">
        <f>'WGJ-2'!P30</f>
        <v>34250</v>
      </c>
      <c r="I24" s="137">
        <f>'WGJ-2'!Q30</f>
        <v>34250</v>
      </c>
      <c r="J24" s="137">
        <f>'WGJ-2'!R30</f>
        <v>34250</v>
      </c>
      <c r="K24" s="137">
        <f>'WGJ-2'!S30</f>
        <v>34250</v>
      </c>
      <c r="L24" s="137">
        <f>'WGJ-2'!T30</f>
        <v>34250</v>
      </c>
      <c r="M24" s="137">
        <f>'WGJ-2'!U30</f>
        <v>34250</v>
      </c>
      <c r="N24" s="137">
        <f>'WGJ-2'!V30</f>
        <v>34250</v>
      </c>
    </row>
    <row r="25" spans="1:14" ht="12.75" customHeight="1">
      <c r="A25" s="132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</row>
    <row r="26" spans="1:14" ht="12.75" customHeight="1">
      <c r="A26" s="132" t="s">
        <v>234</v>
      </c>
      <c r="B26" s="118">
        <f>SUM(C26:N26)</f>
        <v>158898265.61682674</v>
      </c>
      <c r="C26" s="137">
        <f>C18+C20-C22+C24</f>
        <v>18451578.740383361</v>
      </c>
      <c r="D26" s="137">
        <f t="shared" ref="D26:N26" si="1">D18+D20-D22+D24</f>
        <v>17452803.659778778</v>
      </c>
      <c r="E26" s="137">
        <f t="shared" si="1"/>
        <v>15333622.500342268</v>
      </c>
      <c r="F26" s="137">
        <f t="shared" si="1"/>
        <v>10485209.851369297</v>
      </c>
      <c r="G26" s="137">
        <f t="shared" si="1"/>
        <v>6363387.1736257635</v>
      </c>
      <c r="H26" s="137">
        <f t="shared" si="1"/>
        <v>6134619.285145781</v>
      </c>
      <c r="I26" s="137">
        <f t="shared" si="1"/>
        <v>9951208.7848325241</v>
      </c>
      <c r="J26" s="137">
        <f t="shared" si="1"/>
        <v>14799840.868675463</v>
      </c>
      <c r="K26" s="137">
        <f t="shared" si="1"/>
        <v>12733267.153473809</v>
      </c>
      <c r="L26" s="137">
        <f t="shared" si="1"/>
        <v>13513780.689251943</v>
      </c>
      <c r="M26" s="137">
        <f t="shared" si="1"/>
        <v>16496037.943369368</v>
      </c>
      <c r="N26" s="137">
        <f t="shared" si="1"/>
        <v>17182908.966578387</v>
      </c>
    </row>
    <row r="27" spans="1:14" ht="12.75" customHeight="1">
      <c r="A27" s="132"/>
      <c r="B27" s="118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ht="12.75" customHeight="1">
      <c r="A28" s="132" t="s">
        <v>235</v>
      </c>
      <c r="B28" s="118">
        <f>SUM(C28:N28)</f>
        <v>104443829.98994023</v>
      </c>
      <c r="C28" s="137">
        <f>C26*$P$1</f>
        <v>12128222.706053983</v>
      </c>
      <c r="D28" s="137">
        <f t="shared" ref="D28:N28" si="2">D26*$P$1</f>
        <v>11471727.845572591</v>
      </c>
      <c r="E28" s="137">
        <f t="shared" si="2"/>
        <v>10078790.069474973</v>
      </c>
      <c r="F28" s="137">
        <f t="shared" si="2"/>
        <v>6891928.4353050394</v>
      </c>
      <c r="G28" s="137">
        <f t="shared" si="2"/>
        <v>4182654.3892242145</v>
      </c>
      <c r="H28" s="137">
        <f t="shared" si="2"/>
        <v>4032285.2561263219</v>
      </c>
      <c r="I28" s="137">
        <f t="shared" si="2"/>
        <v>6540929.5342704179</v>
      </c>
      <c r="J28" s="137">
        <f t="shared" si="2"/>
        <v>9727935.4029803816</v>
      </c>
      <c r="K28" s="137">
        <f t="shared" si="2"/>
        <v>8369576.4999783346</v>
      </c>
      <c r="L28" s="137">
        <f t="shared" si="2"/>
        <v>8882608.0470453016</v>
      </c>
      <c r="M28" s="137">
        <f t="shared" si="2"/>
        <v>10842845.740176685</v>
      </c>
      <c r="N28" s="137">
        <f t="shared" si="2"/>
        <v>11294326.063731974</v>
      </c>
    </row>
    <row r="29" spans="1:14" ht="12.75" customHeight="1">
      <c r="A29" s="132"/>
      <c r="B29" s="118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</row>
    <row r="30" spans="1:14" ht="12.75" customHeight="1">
      <c r="A30" s="132"/>
      <c r="B30" s="118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2" spans="1:14">
      <c r="A32" s="115" t="s">
        <v>212</v>
      </c>
    </row>
    <row r="34" spans="1:14">
      <c r="B34" s="135" t="s">
        <v>32</v>
      </c>
      <c r="C34" s="136" t="str">
        <f>C8</f>
        <v>January</v>
      </c>
      <c r="D34" s="136" t="str">
        <f t="shared" ref="D34:N34" si="3">D8</f>
        <v>February</v>
      </c>
      <c r="E34" s="136" t="str">
        <f t="shared" si="3"/>
        <v>March</v>
      </c>
      <c r="F34" s="136" t="str">
        <f t="shared" si="3"/>
        <v>April</v>
      </c>
      <c r="G34" s="136" t="str">
        <f t="shared" si="3"/>
        <v>May</v>
      </c>
      <c r="H34" s="136" t="str">
        <f t="shared" si="3"/>
        <v>June</v>
      </c>
      <c r="I34" s="136" t="str">
        <f t="shared" si="3"/>
        <v>July</v>
      </c>
      <c r="J34" s="136" t="str">
        <f t="shared" si="3"/>
        <v>August</v>
      </c>
      <c r="K34" s="136" t="str">
        <f t="shared" si="3"/>
        <v>September</v>
      </c>
      <c r="L34" s="136" t="str">
        <f t="shared" si="3"/>
        <v>October</v>
      </c>
      <c r="M34" s="136" t="str">
        <f t="shared" si="3"/>
        <v>November</v>
      </c>
      <c r="N34" s="136" t="str">
        <f t="shared" si="3"/>
        <v>December</v>
      </c>
    </row>
    <row r="36" spans="1:14">
      <c r="A36" s="132" t="s">
        <v>217</v>
      </c>
      <c r="B36" s="131">
        <f>SUM(C36:N36)</f>
        <v>5658613.7115700003</v>
      </c>
      <c r="C36" s="131">
        <v>556116.92447170999</v>
      </c>
      <c r="D36" s="131">
        <v>486363.48175740999</v>
      </c>
      <c r="E36" s="131">
        <v>477534.76960842998</v>
      </c>
      <c r="F36" s="131">
        <v>431246.45749966998</v>
      </c>
      <c r="G36" s="131">
        <v>432472.92578266002</v>
      </c>
      <c r="H36" s="131">
        <v>424693.28031320003</v>
      </c>
      <c r="I36" s="131">
        <v>490670.11033027002</v>
      </c>
      <c r="J36" s="131">
        <v>464617.26732496999</v>
      </c>
      <c r="K36" s="131">
        <v>435934.05795225</v>
      </c>
      <c r="L36" s="131">
        <v>436958.67946841998</v>
      </c>
      <c r="M36" s="131">
        <v>468856.06605859002</v>
      </c>
      <c r="N36" s="131">
        <v>553149.69100242003</v>
      </c>
    </row>
    <row r="38" spans="1:14">
      <c r="A38" s="132" t="s">
        <v>240</v>
      </c>
      <c r="B38" s="140">
        <f>B28/B36</f>
        <v>18.457494240397963</v>
      </c>
      <c r="C38" s="141" t="s">
        <v>180</v>
      </c>
    </row>
    <row r="43" spans="1:14">
      <c r="A43" s="114" t="s">
        <v>238</v>
      </c>
    </row>
    <row r="44" spans="1:14">
      <c r="A44" s="114" t="s">
        <v>241</v>
      </c>
    </row>
  </sheetData>
  <phoneticPr fontId="6" type="noConversion"/>
  <pageMargins left="0.75" right="0.75" top="1" bottom="1" header="0.5" footer="0.5"/>
  <pageSetup scale="66" orientation="landscape" r:id="rId1"/>
  <headerFooter alignWithMargins="0">
    <oddHeader>&amp;R&amp;12Exh. WGJ-5</oddHeader>
    <oddFooter>&amp;C&amp;12Page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36"/>
  <sheetViews>
    <sheetView workbookViewId="0">
      <pane xSplit="4470" ySplit="825" topLeftCell="A17" activePane="bottomRight"/>
      <selection activeCell="B2" sqref="B2"/>
      <selection pane="topRight" activeCell="K1" sqref="K1"/>
      <selection pane="bottomLeft" activeCell="A26" sqref="A26:XFD26"/>
      <selection pane="bottomRight" activeCell="B28" sqref="B28:M29"/>
    </sheetView>
  </sheetViews>
  <sheetFormatPr defaultColWidth="9.140625" defaultRowHeight="12.75"/>
  <cols>
    <col min="1" max="1" width="20.140625" style="59" customWidth="1"/>
    <col min="2" max="13" width="9.140625" style="59"/>
    <col min="14" max="14" width="10.28515625" style="61" customWidth="1"/>
    <col min="15" max="15" width="9.28515625" style="59" customWidth="1"/>
    <col min="16" max="16384" width="9.140625" style="59"/>
  </cols>
  <sheetData>
    <row r="1" spans="1:16" ht="16.5" thickBot="1">
      <c r="A1" s="56" t="s">
        <v>62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  <c r="O1" s="57"/>
    </row>
    <row r="2" spans="1:16">
      <c r="A2" s="60"/>
      <c r="B2" s="69" t="s">
        <v>75</v>
      </c>
      <c r="C2" s="69" t="s">
        <v>76</v>
      </c>
      <c r="D2" s="69" t="s">
        <v>77</v>
      </c>
      <c r="E2" s="69" t="s">
        <v>78</v>
      </c>
      <c r="F2" s="69" t="s">
        <v>79</v>
      </c>
      <c r="G2" s="69" t="s">
        <v>80</v>
      </c>
      <c r="H2" s="69" t="s">
        <v>81</v>
      </c>
      <c r="I2" s="69" t="s">
        <v>82</v>
      </c>
      <c r="J2" s="69" t="s">
        <v>83</v>
      </c>
      <c r="K2" s="69" t="s">
        <v>84</v>
      </c>
      <c r="L2" s="69" t="s">
        <v>85</v>
      </c>
      <c r="M2" s="69" t="s">
        <v>86</v>
      </c>
    </row>
    <row r="3" spans="1:16">
      <c r="B3" s="62">
        <v>1</v>
      </c>
      <c r="C3" s="62">
        <v>2</v>
      </c>
      <c r="D3" s="62">
        <v>3</v>
      </c>
      <c r="E3" s="62">
        <v>4</v>
      </c>
      <c r="F3" s="62">
        <v>5</v>
      </c>
      <c r="G3" s="62">
        <v>6</v>
      </c>
      <c r="H3" s="62">
        <v>7</v>
      </c>
      <c r="I3" s="62">
        <v>8</v>
      </c>
      <c r="J3" s="62">
        <v>9</v>
      </c>
      <c r="K3" s="62">
        <v>10</v>
      </c>
      <c r="L3" s="62">
        <v>11</v>
      </c>
      <c r="M3" s="62">
        <v>12</v>
      </c>
      <c r="N3" s="63" t="s">
        <v>63</v>
      </c>
    </row>
    <row r="4" spans="1:16">
      <c r="A4" s="73" t="s">
        <v>64</v>
      </c>
      <c r="N4" s="74" t="s">
        <v>90</v>
      </c>
    </row>
    <row r="5" spans="1:16">
      <c r="A5" s="64" t="s">
        <v>65</v>
      </c>
      <c r="B5" s="65">
        <v>3.6362414524078299</v>
      </c>
      <c r="C5" s="65">
        <v>2.5300256000518799</v>
      </c>
      <c r="D5" s="65">
        <v>1.31028455924987</v>
      </c>
      <c r="E5" s="65">
        <v>1.0673721725463798</v>
      </c>
      <c r="F5" s="65">
        <v>0.89276076421737605</v>
      </c>
      <c r="G5" s="65">
        <v>1.31386147727966</v>
      </c>
      <c r="H5" s="65">
        <v>3.6230047424316401</v>
      </c>
      <c r="I5" s="65">
        <v>5.2932692108154296</v>
      </c>
      <c r="J5" s="65">
        <v>3.6142646896362298</v>
      </c>
      <c r="K5" s="65">
        <v>2.0389749298095698</v>
      </c>
      <c r="L5" s="65">
        <v>2.0441910919189397</v>
      </c>
      <c r="M5" s="65">
        <v>3.3340115776061992</v>
      </c>
      <c r="N5" s="61">
        <f>SUM(B5:M5)</f>
        <v>30.698262267971003</v>
      </c>
      <c r="O5" s="59">
        <f>N5/8760*1000</f>
        <v>3.5043678388094754</v>
      </c>
    </row>
    <row r="6" spans="1:16">
      <c r="A6" s="64" t="s">
        <v>23</v>
      </c>
      <c r="B6" s="65">
        <v>144.00771440429679</v>
      </c>
      <c r="C6" s="65">
        <v>128.1176407714843</v>
      </c>
      <c r="D6" s="65">
        <v>136.56488876953119</v>
      </c>
      <c r="E6" s="65">
        <v>108.4895288085937</v>
      </c>
      <c r="F6" s="65">
        <v>58.563078186034993</v>
      </c>
      <c r="G6" s="65">
        <v>62.757626257324198</v>
      </c>
      <c r="H6" s="65">
        <v>117.84630869140621</v>
      </c>
      <c r="I6" s="65">
        <v>130.59586166992182</v>
      </c>
      <c r="J6" s="65">
        <v>136.30364506835929</v>
      </c>
      <c r="K6" s="65">
        <v>134.5605124511718</v>
      </c>
      <c r="L6" s="65">
        <v>132.9765016601562</v>
      </c>
      <c r="M6" s="65">
        <v>142.91921391601562</v>
      </c>
      <c r="N6" s="61">
        <f t="shared" ref="N6:N12" si="0">SUM(B6:M6)</f>
        <v>1433.7025206542962</v>
      </c>
      <c r="O6" s="59">
        <f t="shared" ref="O6:O13" si="1">N6/8760*1000</f>
        <v>163.66467130756806</v>
      </c>
    </row>
    <row r="7" spans="1:16">
      <c r="A7" s="64" t="s">
        <v>66</v>
      </c>
      <c r="B7" s="65">
        <v>190.182157324218</v>
      </c>
      <c r="C7" s="65">
        <v>158.114120507812</v>
      </c>
      <c r="D7" s="65">
        <v>152.26074757080002</v>
      </c>
      <c r="E7" s="65">
        <v>116.76778135986301</v>
      </c>
      <c r="F7" s="65">
        <v>29.685570895385702</v>
      </c>
      <c r="G7" s="65">
        <v>33.8455612876892</v>
      </c>
      <c r="H7" s="65">
        <v>122.876536572265</v>
      </c>
      <c r="I7" s="65">
        <v>158.41938413085899</v>
      </c>
      <c r="J7" s="65">
        <v>156.96365087890598</v>
      </c>
      <c r="K7" s="65">
        <v>147.77951171875</v>
      </c>
      <c r="L7" s="65">
        <v>153.86849960937499</v>
      </c>
      <c r="M7" s="65">
        <v>185.07153828124999</v>
      </c>
      <c r="N7" s="61">
        <f t="shared" si="0"/>
        <v>1605.8350601371728</v>
      </c>
      <c r="O7" s="59">
        <f t="shared" si="1"/>
        <v>183.31450458186904</v>
      </c>
      <c r="P7" s="59">
        <f>SUM(B7:M7)</f>
        <v>1605.8350601371728</v>
      </c>
    </row>
    <row r="8" spans="1:16">
      <c r="A8" s="64" t="s">
        <v>21</v>
      </c>
      <c r="B8" s="65">
        <v>33.447944067382799</v>
      </c>
      <c r="C8" s="65">
        <v>30.4237042236328</v>
      </c>
      <c r="D8" s="65">
        <v>30.7159201904296</v>
      </c>
      <c r="E8" s="65">
        <v>30.491720495605406</v>
      </c>
      <c r="F8" s="65">
        <v>12.123045098876901</v>
      </c>
      <c r="G8" s="65">
        <v>0.57744248733520498</v>
      </c>
      <c r="H8" s="65">
        <v>18.854662573242102</v>
      </c>
      <c r="I8" s="65">
        <v>26.8861387695312</v>
      </c>
      <c r="J8" s="65">
        <v>29.666308520507798</v>
      </c>
      <c r="K8" s="65">
        <v>30.922385888671801</v>
      </c>
      <c r="L8" s="65">
        <v>30.547473583984303</v>
      </c>
      <c r="M8" s="65">
        <v>33.105258959960899</v>
      </c>
      <c r="N8" s="61">
        <f t="shared" si="0"/>
        <v>307.76200485916092</v>
      </c>
      <c r="O8" s="59">
        <f t="shared" si="1"/>
        <v>35.132648956525223</v>
      </c>
    </row>
    <row r="9" spans="1:16">
      <c r="A9" s="64" t="s">
        <v>67</v>
      </c>
      <c r="B9" s="65">
        <v>2.6552446922302213</v>
      </c>
      <c r="C9" s="65">
        <v>1.8892296974182079</v>
      </c>
      <c r="D9" s="65">
        <v>1.0553218043565715</v>
      </c>
      <c r="E9" s="65">
        <v>0.77307543104886933</v>
      </c>
      <c r="F9" s="65">
        <v>0.42456719427108697</v>
      </c>
      <c r="G9" s="65">
        <v>0.87243030059337578</v>
      </c>
      <c r="H9" s="65">
        <v>2.3360867952942774</v>
      </c>
      <c r="I9" s="65">
        <v>3.051291698634619</v>
      </c>
      <c r="J9" s="65">
        <v>2.6266830964565271</v>
      </c>
      <c r="K9" s="65">
        <v>2.1899541294753497</v>
      </c>
      <c r="L9" s="65">
        <v>2.0114503814518416</v>
      </c>
      <c r="M9" s="65">
        <v>2.6153637822985618</v>
      </c>
      <c r="N9" s="61">
        <f t="shared" si="0"/>
        <v>22.500699003529508</v>
      </c>
      <c r="O9" s="59">
        <f t="shared" si="1"/>
        <v>2.5685729456083912</v>
      </c>
    </row>
    <row r="10" spans="1:16">
      <c r="A10" s="64" t="s">
        <v>164</v>
      </c>
      <c r="B10" s="65">
        <v>176.47926679687498</v>
      </c>
      <c r="C10" s="65">
        <v>150.00252187500001</v>
      </c>
      <c r="D10" s="65">
        <v>149.816450097656</v>
      </c>
      <c r="E10" s="65">
        <v>123.54961802978499</v>
      </c>
      <c r="F10" s="65">
        <v>38.700149560546798</v>
      </c>
      <c r="G10" s="65">
        <v>34.636173126220704</v>
      </c>
      <c r="H10" s="65">
        <v>107.92577153320299</v>
      </c>
      <c r="I10" s="65">
        <v>136.63347001953099</v>
      </c>
      <c r="J10" s="65">
        <v>141.59082402343699</v>
      </c>
      <c r="K10" s="65">
        <v>145.13697900390599</v>
      </c>
      <c r="L10" s="65">
        <v>145.853833984375</v>
      </c>
      <c r="M10" s="65">
        <v>172.318727441406</v>
      </c>
    </row>
    <row r="11" spans="1:16">
      <c r="A11" s="64" t="s">
        <v>68</v>
      </c>
      <c r="B11" s="65">
        <v>2.9604218143463004</v>
      </c>
      <c r="C11" s="65">
        <v>0.99294033870696896</v>
      </c>
      <c r="D11" s="65">
        <v>0.156413826560974</v>
      </c>
      <c r="E11" s="65">
        <v>5.1953263092040999E-2</v>
      </c>
      <c r="F11" s="65">
        <v>7.0527241134643398E-2</v>
      </c>
      <c r="G11" s="65">
        <v>1.0845835437774649</v>
      </c>
      <c r="H11" s="65">
        <v>5.8895721273422206</v>
      </c>
      <c r="I11" s="65">
        <v>8.16566135787963</v>
      </c>
      <c r="J11" s="65">
        <v>5.1879172661781192</v>
      </c>
      <c r="K11" s="65">
        <v>3.8662996276855401</v>
      </c>
      <c r="L11" s="65">
        <v>3.1743966510772599</v>
      </c>
      <c r="M11" s="65">
        <v>3.25983436088561</v>
      </c>
      <c r="N11" s="61">
        <f t="shared" si="0"/>
        <v>34.860521418666771</v>
      </c>
      <c r="O11" s="59">
        <f t="shared" si="1"/>
        <v>3.9795115774733754</v>
      </c>
    </row>
    <row r="12" spans="1:16">
      <c r="A12" s="64" t="s">
        <v>69</v>
      </c>
      <c r="B12" s="65">
        <v>18.408209832382191</v>
      </c>
      <c r="C12" s="65">
        <v>9.9307487144470112</v>
      </c>
      <c r="D12" s="65">
        <v>1.013822736358641</v>
      </c>
      <c r="E12" s="65">
        <v>0.50619760513305601</v>
      </c>
      <c r="F12" s="65">
        <v>0.57684272117614599</v>
      </c>
      <c r="G12" s="65">
        <v>5.5925647300720103</v>
      </c>
      <c r="H12" s="65">
        <v>23.7964096343993</v>
      </c>
      <c r="I12" s="65">
        <v>33.725213598632799</v>
      </c>
      <c r="J12" s="65">
        <v>23.0389036010741</v>
      </c>
      <c r="K12" s="65">
        <v>14.229683058166501</v>
      </c>
      <c r="L12" s="65">
        <v>11.763932579803461</v>
      </c>
      <c r="M12" s="65">
        <v>18.653612662506102</v>
      </c>
      <c r="N12" s="61">
        <f t="shared" si="0"/>
        <v>161.23614147415131</v>
      </c>
      <c r="O12" s="59">
        <f t="shared" si="1"/>
        <v>18.405952223076632</v>
      </c>
    </row>
    <row r="13" spans="1:16">
      <c r="A13" s="64" t="s">
        <v>221</v>
      </c>
      <c r="B13" s="66">
        <v>-1.9340625E-2</v>
      </c>
      <c r="C13" s="66">
        <v>-1.9293749999999998E-2</v>
      </c>
      <c r="D13" s="66">
        <v>-2.1434374999999999E-2</v>
      </c>
      <c r="E13" s="66">
        <v>-2.1628125000000002E-2</v>
      </c>
      <c r="F13" s="66">
        <v>-1.9846875E-2</v>
      </c>
      <c r="G13" s="66">
        <v>-1.6562500000000001E-2</v>
      </c>
      <c r="H13" s="66">
        <v>-1.9324999999999998E-2</v>
      </c>
      <c r="I13" s="66">
        <v>-2.2096875000000002E-2</v>
      </c>
      <c r="J13" s="66">
        <v>-2.1825000000000001E-2</v>
      </c>
      <c r="K13" s="66">
        <v>-2.2421875000000001E-2</v>
      </c>
      <c r="L13" s="66">
        <v>-2.1618749999999999E-2</v>
      </c>
      <c r="M13" s="66">
        <v>-2.2762499999999998E-2</v>
      </c>
      <c r="N13" s="67">
        <f>SUM(N5:N12)</f>
        <v>3596.5952098149487</v>
      </c>
      <c r="O13" s="59">
        <f t="shared" si="1"/>
        <v>410.57022943093023</v>
      </c>
    </row>
    <row r="14" spans="1:16">
      <c r="A14" s="64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7"/>
    </row>
    <row r="15" spans="1:16">
      <c r="A15" s="64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7" t="e">
        <f>SUM(#REF!)</f>
        <v>#REF!</v>
      </c>
    </row>
    <row r="16" spans="1:16">
      <c r="A16" s="73" t="s">
        <v>70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</row>
    <row r="17" spans="1:15">
      <c r="A17" s="64" t="s">
        <v>65</v>
      </c>
      <c r="B17" s="65">
        <v>100.418537473678</v>
      </c>
      <c r="C17" s="65">
        <v>69.670012736320501</v>
      </c>
      <c r="D17" s="65">
        <v>35.2753898620605</v>
      </c>
      <c r="E17" s="65">
        <v>22.835379007458599</v>
      </c>
      <c r="F17" s="65">
        <v>20.229568260908099</v>
      </c>
      <c r="G17" s="65">
        <v>30.653531247377298</v>
      </c>
      <c r="H17" s="65">
        <v>85.812003993988</v>
      </c>
      <c r="I17" s="65">
        <v>126.030401229858</v>
      </c>
      <c r="J17" s="65">
        <v>84.861155700683597</v>
      </c>
      <c r="K17" s="65">
        <v>48.311412537097901</v>
      </c>
      <c r="L17" s="65">
        <v>52.151186704635599</v>
      </c>
      <c r="M17" s="65">
        <v>89.632668566703799</v>
      </c>
      <c r="N17" s="66">
        <f>SUM(B17:M17)</f>
        <v>765.88124732077006</v>
      </c>
    </row>
    <row r="18" spans="1:15">
      <c r="A18" s="64" t="s">
        <v>23</v>
      </c>
      <c r="B18" s="65">
        <v>2204.0970485296248</v>
      </c>
      <c r="C18" s="65">
        <v>2043.4399428930274</v>
      </c>
      <c r="D18" s="65">
        <v>2134.2374816503525</v>
      </c>
      <c r="E18" s="65">
        <v>1861.3260360326765</v>
      </c>
      <c r="F18" s="65">
        <v>1294.9231446886556</v>
      </c>
      <c r="G18" s="65">
        <v>1329.6463935518757</v>
      </c>
      <c r="H18" s="65">
        <v>1832.9591975832477</v>
      </c>
      <c r="I18" s="65">
        <v>1935.3213645601768</v>
      </c>
      <c r="J18" s="65">
        <v>1981.2505862856397</v>
      </c>
      <c r="K18" s="65">
        <v>1971.5040153170116</v>
      </c>
      <c r="L18" s="65">
        <v>1952.647779049923</v>
      </c>
      <c r="M18" s="65">
        <v>2039.7461257601276</v>
      </c>
      <c r="N18" s="66">
        <f t="shared" ref="N18:N24" si="2">SUM(B18:M18)</f>
        <v>22581.09911590234</v>
      </c>
    </row>
    <row r="19" spans="1:15">
      <c r="A19" s="64" t="s">
        <v>66</v>
      </c>
      <c r="B19" s="65">
        <v>3999.4772381355897</v>
      </c>
      <c r="C19" s="65">
        <v>3253.5851852416899</v>
      </c>
      <c r="D19" s="65">
        <v>3071.4037546157801</v>
      </c>
      <c r="E19" s="65">
        <v>1889.4026996612499</v>
      </c>
      <c r="F19" s="65">
        <v>508.89468340873702</v>
      </c>
      <c r="G19" s="65">
        <v>587.99220447540199</v>
      </c>
      <c r="H19" s="65">
        <v>2185.24753246307</v>
      </c>
      <c r="I19" s="65">
        <v>2826.3181289672798</v>
      </c>
      <c r="J19" s="65">
        <v>2774.32584228515</v>
      </c>
      <c r="K19" s="65">
        <v>2654.7226680116401</v>
      </c>
      <c r="L19" s="65">
        <v>2965.9403852554829</v>
      </c>
      <c r="M19" s="65">
        <v>3791.5936464761976</v>
      </c>
      <c r="N19" s="66">
        <f t="shared" si="2"/>
        <v>30508.903968997271</v>
      </c>
      <c r="O19" s="59">
        <f>N19/8760*1000</f>
        <v>3482.7515946343915</v>
      </c>
    </row>
    <row r="20" spans="1:15">
      <c r="A20" s="64" t="s">
        <v>21</v>
      </c>
      <c r="B20" s="65">
        <v>671.059266662597</v>
      </c>
      <c r="C20" s="65">
        <v>610.36223602294899</v>
      </c>
      <c r="D20" s="65">
        <v>616.34073257446198</v>
      </c>
      <c r="E20" s="65">
        <v>612.42891540527296</v>
      </c>
      <c r="F20" s="65">
        <v>238.590026402473</v>
      </c>
      <c r="G20" s="65">
        <v>11.354384949058201</v>
      </c>
      <c r="H20" s="65">
        <v>368.88301835060099</v>
      </c>
      <c r="I20" s="65">
        <v>525.05329132079999</v>
      </c>
      <c r="J20" s="65">
        <v>579.20682373046805</v>
      </c>
      <c r="K20" s="65">
        <v>603.73296623229896</v>
      </c>
      <c r="L20" s="65">
        <v>596.43499069213794</v>
      </c>
      <c r="M20" s="65">
        <v>646.38760223388601</v>
      </c>
      <c r="N20" s="66">
        <f t="shared" si="2"/>
        <v>6079.8342545770047</v>
      </c>
      <c r="O20" s="59">
        <f>N20/8760*1000</f>
        <v>694.04500623025172</v>
      </c>
    </row>
    <row r="21" spans="1:15">
      <c r="A21" s="64" t="s">
        <v>67</v>
      </c>
      <c r="B21" s="65">
        <v>71.086059084720816</v>
      </c>
      <c r="C21" s="65">
        <v>50.098103011026964</v>
      </c>
      <c r="D21" s="65">
        <v>27.535022707469743</v>
      </c>
      <c r="E21" s="65">
        <v>16.080885606445307</v>
      </c>
      <c r="F21" s="65">
        <v>9.3459683917462808</v>
      </c>
      <c r="G21" s="65">
        <v>19.628549234196502</v>
      </c>
      <c r="H21" s="65">
        <v>53.64028068482871</v>
      </c>
      <c r="I21" s="65">
        <v>70.395850768126522</v>
      </c>
      <c r="J21" s="65">
        <v>60.004575657471968</v>
      </c>
      <c r="K21" s="65">
        <v>50.343040609359683</v>
      </c>
      <c r="L21" s="65">
        <v>49.739402669481876</v>
      </c>
      <c r="M21" s="65">
        <v>68.103545008972276</v>
      </c>
      <c r="N21" s="66">
        <f t="shared" si="2"/>
        <v>546.00128343384665</v>
      </c>
      <c r="O21" s="59">
        <f>N21/8760*1000</f>
        <v>62.328913634000763</v>
      </c>
    </row>
    <row r="22" spans="1:15">
      <c r="A22" s="64" t="s">
        <v>164</v>
      </c>
      <c r="B22" s="65">
        <v>3709.3311492919902</v>
      </c>
      <c r="C22" s="65">
        <v>3133.9608932495098</v>
      </c>
      <c r="D22" s="65">
        <v>3075.41412239074</v>
      </c>
      <c r="E22" s="65">
        <v>2040.3963773727401</v>
      </c>
      <c r="F22" s="65">
        <v>705.96042013978581</v>
      </c>
      <c r="G22" s="65">
        <v>639.93925322845098</v>
      </c>
      <c r="H22" s="65">
        <v>2028.7017812177223</v>
      </c>
      <c r="I22" s="65">
        <v>2553.9615225092421</v>
      </c>
      <c r="J22" s="65">
        <v>2554.1409759521398</v>
      </c>
      <c r="K22" s="65">
        <v>2634.7942962646398</v>
      </c>
      <c r="L22" s="65">
        <v>2840.9182495117102</v>
      </c>
      <c r="M22" s="65">
        <v>3529.1169342040998</v>
      </c>
      <c r="N22" s="66"/>
    </row>
    <row r="23" spans="1:15">
      <c r="A23" s="64" t="s">
        <v>68</v>
      </c>
      <c r="B23" s="65">
        <v>117.7698633551597</v>
      </c>
      <c r="C23" s="65">
        <v>38.964217388629798</v>
      </c>
      <c r="D23" s="65">
        <v>6.0696266651153401</v>
      </c>
      <c r="E23" s="65">
        <v>1.603577834367752</v>
      </c>
      <c r="F23" s="65">
        <v>2.33785292506216</v>
      </c>
      <c r="G23" s="65">
        <v>36.465512949228199</v>
      </c>
      <c r="H23" s="65">
        <v>200.472244536875</v>
      </c>
      <c r="I23" s="65">
        <v>279.25424599647397</v>
      </c>
      <c r="J23" s="65">
        <v>175.63649169802659</v>
      </c>
      <c r="K23" s="65">
        <v>131.50042712688429</v>
      </c>
      <c r="L23" s="65">
        <v>116.1286375284194</v>
      </c>
      <c r="M23" s="65">
        <v>126.1200558781623</v>
      </c>
      <c r="N23" s="66">
        <f t="shared" si="2"/>
        <v>1232.3227538824044</v>
      </c>
    </row>
    <row r="24" spans="1:15">
      <c r="A24" s="64" t="s">
        <v>69</v>
      </c>
      <c r="B24" s="65">
        <v>647.28351129293401</v>
      </c>
      <c r="C24" s="65">
        <v>344.821400737761</v>
      </c>
      <c r="D24" s="65">
        <v>34.9182144641875</v>
      </c>
      <c r="E24" s="65">
        <v>13.76512209177017</v>
      </c>
      <c r="F24" s="65">
        <v>24.313281445146529</v>
      </c>
      <c r="G24" s="65">
        <v>228.547222187312</v>
      </c>
      <c r="H24" s="65">
        <v>944.2776702765243</v>
      </c>
      <c r="I24" s="65">
        <v>1330.3576886173446</v>
      </c>
      <c r="J24" s="65">
        <v>689.48799648284808</v>
      </c>
      <c r="K24" s="65">
        <v>428.698103773593</v>
      </c>
      <c r="L24" s="65">
        <v>381.97603857517197</v>
      </c>
      <c r="M24" s="65">
        <v>637.89322347640905</v>
      </c>
      <c r="N24" s="66">
        <f t="shared" si="2"/>
        <v>5706.3394734210015</v>
      </c>
    </row>
    <row r="25" spans="1:15">
      <c r="A25" s="64" t="s">
        <v>221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7">
        <f>SUM(N17:N24)</f>
        <v>67420.382097534632</v>
      </c>
    </row>
    <row r="26" spans="1:15">
      <c r="A26" s="64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5">
      <c r="A27" s="73" t="s">
        <v>71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5">
      <c r="A28" s="64" t="s">
        <v>72</v>
      </c>
      <c r="B28" s="66">
        <v>10.8334959742963</v>
      </c>
      <c r="C28" s="59">
        <v>15.182997126388498</v>
      </c>
      <c r="D28" s="59">
        <v>17.569259930801302</v>
      </c>
      <c r="E28" s="59">
        <v>2.4873756915807697</v>
      </c>
      <c r="F28" s="65">
        <v>8.7169308055877597</v>
      </c>
      <c r="G28" s="65">
        <v>17.487457623291</v>
      </c>
      <c r="H28" s="65">
        <v>50.599101085662788</v>
      </c>
      <c r="I28" s="65">
        <v>79.748704675292899</v>
      </c>
      <c r="J28" s="65">
        <v>43.991082873535099</v>
      </c>
      <c r="K28" s="65">
        <v>46.22766222229</v>
      </c>
      <c r="L28" s="65">
        <v>21.002125204467699</v>
      </c>
      <c r="M28" s="65">
        <v>17.673024403381298</v>
      </c>
      <c r="N28" s="66">
        <f>SUM(B28:M28)</f>
        <v>331.51921761657542</v>
      </c>
    </row>
    <row r="29" spans="1:15">
      <c r="A29" s="64" t="s">
        <v>73</v>
      </c>
      <c r="B29" s="66">
        <v>-157.45111621093702</v>
      </c>
      <c r="C29" s="65">
        <v>-109.026662548828</v>
      </c>
      <c r="D29" s="59">
        <v>-139.04554672851501</v>
      </c>
      <c r="E29" s="59">
        <v>-258.92273515624998</v>
      </c>
      <c r="F29" s="65">
        <v>-141.90098554687498</v>
      </c>
      <c r="G29" s="65">
        <v>-140.32972226562498</v>
      </c>
      <c r="H29" s="65">
        <v>-148.328267089843</v>
      </c>
      <c r="I29" s="65">
        <v>-68.418176074218707</v>
      </c>
      <c r="J29" s="65">
        <v>-100.13291015625001</v>
      </c>
      <c r="K29" s="65">
        <v>-76.916937817382802</v>
      </c>
      <c r="L29" s="65">
        <v>-130.14589741210901</v>
      </c>
      <c r="M29" s="65">
        <v>-171.58815263671801</v>
      </c>
      <c r="N29" s="66">
        <f>SUM(B29:M29)</f>
        <v>-1642.2071096435516</v>
      </c>
    </row>
    <row r="30" spans="1:15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7">
        <f>SUM(B28:B29)</f>
        <v>-146.6176202366407</v>
      </c>
      <c r="O30" s="59">
        <f>N30/8.76</f>
        <v>-16.737171259890491</v>
      </c>
    </row>
    <row r="31" spans="1:15">
      <c r="A31" s="73" t="s">
        <v>74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</row>
    <row r="32" spans="1:15">
      <c r="A32" s="64" t="s">
        <v>72</v>
      </c>
      <c r="B32" s="61">
        <v>248.17941999328301</v>
      </c>
      <c r="C32" s="59">
        <v>355.81218999624201</v>
      </c>
      <c r="D32" s="59">
        <v>358.43952172994602</v>
      </c>
      <c r="E32" s="59">
        <v>39.4170303542166</v>
      </c>
      <c r="F32" s="65">
        <v>119.958536860346</v>
      </c>
      <c r="G32" s="65">
        <v>349.74534623622799</v>
      </c>
      <c r="H32" s="65">
        <v>1008.45317882299</v>
      </c>
      <c r="I32" s="65">
        <v>1837.5108673095699</v>
      </c>
      <c r="J32" s="65">
        <v>1092.1279654026</v>
      </c>
      <c r="K32" s="65">
        <v>1076.7493669032999</v>
      </c>
      <c r="L32" s="65">
        <v>554.51772952079705</v>
      </c>
      <c r="M32" s="65">
        <v>460.90350539684198</v>
      </c>
      <c r="N32" s="66">
        <f>SUM(B32:M32)</f>
        <v>7501.8146585263603</v>
      </c>
    </row>
    <row r="33" spans="1:14">
      <c r="A33" s="64" t="s">
        <v>73</v>
      </c>
      <c r="B33" s="61">
        <v>-4924.2079269409096</v>
      </c>
      <c r="C33" s="59">
        <v>-3098.2773880004802</v>
      </c>
      <c r="D33" s="59">
        <v>-3427.77006988525</v>
      </c>
      <c r="E33" s="59">
        <v>-4965.0295150756801</v>
      </c>
      <c r="F33" s="65">
        <v>-2074.2763118743801</v>
      </c>
      <c r="G33" s="65">
        <v>-2005.3371635436999</v>
      </c>
      <c r="H33" s="65">
        <v>-4017.2926815032902</v>
      </c>
      <c r="I33" s="65">
        <v>-2153.4467987060498</v>
      </c>
      <c r="J33" s="65">
        <v>-2849.8837310791</v>
      </c>
      <c r="K33" s="65">
        <v>-1871.7559707641601</v>
      </c>
      <c r="L33" s="65">
        <v>-3301.7137985229401</v>
      </c>
      <c r="M33" s="65">
        <v>-5409.8993743896399</v>
      </c>
      <c r="N33" s="66">
        <f>SUM(B33:M33)</f>
        <v>-40098.890730285581</v>
      </c>
    </row>
    <row r="34" spans="1:14">
      <c r="N34" s="67">
        <f>SUM(N32:N33)</f>
        <v>-32597.07607175922</v>
      </c>
    </row>
    <row r="36" spans="1:14">
      <c r="M36" s="68" t="s">
        <v>91</v>
      </c>
      <c r="N36" s="67">
        <f>N25+N34</f>
        <v>34823.306025775411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2017-05-26T07:00:00+00:00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7C1606A-7D4B-45B1-8213-89DC5A166B72}"/>
</file>

<file path=customXml/itemProps2.xml><?xml version="1.0" encoding="utf-8"?>
<ds:datastoreItem xmlns:ds="http://schemas.openxmlformats.org/officeDocument/2006/customXml" ds:itemID="{112AC8C3-F01F-4D93-945F-6DD54C0EA5E5}"/>
</file>

<file path=customXml/itemProps3.xml><?xml version="1.0" encoding="utf-8"?>
<ds:datastoreItem xmlns:ds="http://schemas.openxmlformats.org/officeDocument/2006/customXml" ds:itemID="{3CD08320-DC1E-41C8-A217-820D41076700}"/>
</file>

<file path=customXml/itemProps4.xml><?xml version="1.0" encoding="utf-8"?>
<ds:datastoreItem xmlns:ds="http://schemas.openxmlformats.org/officeDocument/2006/customXml" ds:itemID="{2A4C9797-90C2-44A4-8FFF-CB3EA7496D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Index</vt:lpstr>
      <vt:lpstr>WGJ-2</vt:lpstr>
      <vt:lpstr>WGJ-4</vt:lpstr>
      <vt:lpstr>WGJ-5</vt:lpstr>
      <vt:lpstr>Aurora</vt:lpstr>
      <vt:lpstr>Index!Print_Area</vt:lpstr>
      <vt:lpstr>'WGJ-2'!Print_Area</vt:lpstr>
      <vt:lpstr>'WGJ-4'!Print_Area</vt:lpstr>
      <vt:lpstr>'WGJ-5'!Print_Area</vt:lpstr>
      <vt:lpstr>'WGJ-2'!Print_Titles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Pat Ehrbar</cp:lastModifiedBy>
  <cp:lastPrinted>2017-05-16T00:01:13Z</cp:lastPrinted>
  <dcterms:created xsi:type="dcterms:W3CDTF">1998-10-07T00:01:47Z</dcterms:created>
  <dcterms:modified xsi:type="dcterms:W3CDTF">2017-05-16T00:01:37Z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