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9120" tabRatio="602" activeTab="0"/>
  </bookViews>
  <sheets>
    <sheet name="Gain Calculation" sheetId="1" r:id="rId1"/>
    <sheet name="Sell RevReq" sheetId="2" r:id="rId2"/>
    <sheet name="Keep RevReq" sheetId="3" r:id="rId3"/>
    <sheet name="Inputs" sheetId="4" r:id="rId4"/>
    <sheet name="PPW PPE" sheetId="5" r:id="rId5"/>
    <sheet name="Tax" sheetId="6" r:id="rId6"/>
    <sheet name="Tax Depr" sheetId="7" r:id="rId7"/>
    <sheet name="Sales Tax" sheetId="8" r:id="rId8"/>
    <sheet name="Deferred Tax" sheetId="9" r:id="rId9"/>
    <sheet name="Book Depr" sheetId="10" r:id="rId10"/>
    <sheet name="O&amp;M and SO2" sheetId="11" r:id="rId11"/>
    <sheet name="Capex" sheetId="12" r:id="rId12"/>
    <sheet name="Transaction Cost" sheetId="13" r:id="rId13"/>
    <sheet name="Depletion" sheetId="14" r:id="rId14"/>
    <sheet name="Reclamation" sheetId="15" r:id="rId15"/>
    <sheet name="Capital Spares" sheetId="16" r:id="rId16"/>
    <sheet name="Recovery from NOB's" sheetId="17" r:id="rId17"/>
    <sheet name=" Fuel Cost" sheetId="18" r:id="rId18"/>
    <sheet name="System Net Power Costs" sheetId="19" r:id="rId19"/>
    <sheet name="Wholesale Transmission" sheetId="20" r:id="rId20"/>
    <sheet name="Deferred Box Cut" sheetId="21" r:id="rId21"/>
    <sheet name="CMCDefProj99" sheetId="22" r:id="rId22"/>
    <sheet name="Inventory Loss" sheetId="23" r:id="rId23"/>
    <sheet name="Trust Fund" sheetId="24" r:id="rId24"/>
  </sheets>
  <definedNames>
    <definedName name="Common_">'Inputs'!$E$75</definedName>
    <definedName name="DebtTarget">'Inputs'!$D$73</definedName>
    <definedName name="Disc_">'Inputs'!$G$8</definedName>
    <definedName name="Preferred_">'Inputs'!$E$74</definedName>
    <definedName name="_xlnm.Print_Area" localSheetId="17">' Fuel Cost'!$I$1:$AF$27</definedName>
    <definedName name="_xlnm.Print_Area" localSheetId="9">'Book Depr'!$J$1:$AO$294</definedName>
    <definedName name="_xlnm.Print_Area" localSheetId="11">'Capex'!$A$1:$J$54,'Capex'!$A$56:$F$85,'Capex'!$A$91:$AA$150</definedName>
    <definedName name="_xlnm.Print_Area" localSheetId="20">'Deferred Box Cut'!$I$1:$S$19</definedName>
    <definedName name="_xlnm.Print_Area" localSheetId="8">'Deferred Tax'!$I$5:$AN$68</definedName>
    <definedName name="_xlnm.Print_Area" localSheetId="13">'Depletion'!$L$1:$AM$35</definedName>
    <definedName name="_xlnm.Print_Area" localSheetId="0">'Gain Calculation'!$A$1:$H$129</definedName>
    <definedName name="_xlnm.Print_Area" localSheetId="3">'Inputs'!$J$1:$AG$78</definedName>
    <definedName name="_xlnm.Print_Area" localSheetId="2">'Keep RevReq'!$F$1:$AN$68</definedName>
    <definedName name="_xlnm.Print_Area" localSheetId="10">'O&amp;M and SO2'!$H$1:$AE$35,'O&amp;M and SO2'!$A$41:$J$80</definedName>
    <definedName name="_xlnm.Print_Area" localSheetId="14">'Reclamation'!$I$2:$AY$11</definedName>
    <definedName name="_xlnm.Print_Area" localSheetId="16">'Recovery from NOB''s'!$F$2:$AC$10</definedName>
    <definedName name="_xlnm.Print_Area" localSheetId="7">'Sales Tax'!$E$1:$AD$28</definedName>
    <definedName name="_xlnm.Print_Area" localSheetId="1">'Sell RevReq'!$A$1:$N$37</definedName>
    <definedName name="_xlnm.Print_Area" localSheetId="18">'System Net Power Costs'!$H$4:$AE$7</definedName>
    <definedName name="_xlnm.Print_Area" localSheetId="5">'Tax'!$A$1:$K$48</definedName>
    <definedName name="_xlnm.Print_Area" localSheetId="6">'Tax Depr'!$J$168:$AP$181</definedName>
    <definedName name="_xlnm.Print_Area" localSheetId="19">'Wholesale Transmission'!$F$1:$AD$14</definedName>
    <definedName name="_xlnm.Print_Titles" localSheetId="17">' Fuel Cost'!$A:$G</definedName>
    <definedName name="_xlnm.Print_Titles" localSheetId="9">'Book Depr'!$A:$I</definedName>
    <definedName name="_xlnm.Print_Titles" localSheetId="20">'Deferred Box Cut'!$A:$H</definedName>
    <definedName name="_xlnm.Print_Titles" localSheetId="8">'Deferred Tax'!$A:$F</definedName>
    <definedName name="_xlnm.Print_Titles" localSheetId="13">'Depletion'!$B:$H</definedName>
    <definedName name="_xlnm.Print_Titles" localSheetId="3">'Inputs'!$A:$I</definedName>
    <definedName name="_xlnm.Print_Titles" localSheetId="2">'Keep RevReq'!$A:$E,'Keep RevReq'!$2:$7</definedName>
    <definedName name="_xlnm.Print_Titles" localSheetId="10">'O&amp;M and SO2'!$A:$G</definedName>
    <definedName name="_xlnm.Print_Titles" localSheetId="14">'Reclamation'!$A:$H</definedName>
    <definedName name="_xlnm.Print_Titles" localSheetId="16">'Recovery from NOB''s'!$B:$E</definedName>
    <definedName name="_xlnm.Print_Titles" localSheetId="7">'Sales Tax'!$B:$D</definedName>
    <definedName name="_xlnm.Print_Titles" localSheetId="18">'System Net Power Costs'!$D:$G</definedName>
    <definedName name="_xlnm.Print_Titles" localSheetId="6">'Tax Depr'!$C:$I</definedName>
    <definedName name="_xlnm.Print_Titles" localSheetId="19">'Wholesale Transmission'!$A:$E</definedName>
    <definedName name="Rate">'Inputs'!$G$73</definedName>
    <definedName name="RateCommon">'Inputs'!$G$75</definedName>
    <definedName name="RatePreferred">'Inputs'!$G$74</definedName>
  </definedNames>
  <calcPr fullCalcOnLoad="1" iterate="1" iterateCount="100" iterateDelta="0.001"/>
</workbook>
</file>

<file path=xl/comments1.xml><?xml version="1.0" encoding="utf-8"?>
<comments xmlns="http://schemas.openxmlformats.org/spreadsheetml/2006/main">
  <authors>
    <author>PacifiCorp</author>
  </authors>
  <commentList>
    <comment ref="D98" authorId="0">
      <text>
        <r>
          <rPr>
            <b/>
            <sz val="8"/>
            <rFont val="Tahoma"/>
            <family val="0"/>
          </rPr>
          <t>PacifiCorp:</t>
        </r>
        <r>
          <rPr>
            <sz val="8"/>
            <rFont val="Tahoma"/>
            <family val="0"/>
          </rPr>
          <t xml:space="preserve">
from accounting worksheets
</t>
        </r>
      </text>
    </comment>
    <comment ref="D99" authorId="0">
      <text>
        <r>
          <rPr>
            <b/>
            <sz val="8"/>
            <rFont val="Tahoma"/>
            <family val="0"/>
          </rPr>
          <t>PacifiCorp:</t>
        </r>
        <r>
          <rPr>
            <sz val="8"/>
            <rFont val="Tahoma"/>
            <family val="0"/>
          </rPr>
          <t xml:space="preserve">
PacifiCorp:
from accounting worksheets</t>
        </r>
      </text>
    </comment>
    <comment ref="E98" authorId="0">
      <text>
        <r>
          <rPr>
            <b/>
            <sz val="8"/>
            <rFont val="Tahoma"/>
            <family val="0"/>
          </rPr>
          <t>PacifiCorp:</t>
        </r>
        <r>
          <rPr>
            <sz val="8"/>
            <rFont val="Tahoma"/>
            <family val="0"/>
          </rPr>
          <t xml:space="preserve">
from tax worksheets
</t>
        </r>
      </text>
    </comment>
    <comment ref="E99" authorId="0">
      <text>
        <r>
          <rPr>
            <b/>
            <sz val="8"/>
            <rFont val="Tahoma"/>
            <family val="0"/>
          </rPr>
          <t>PacifiCorp:</t>
        </r>
        <r>
          <rPr>
            <sz val="8"/>
            <rFont val="Tahoma"/>
            <family val="0"/>
          </rPr>
          <t xml:space="preserve">
from tax worksheets</t>
        </r>
      </text>
    </comment>
    <comment ref="E100" authorId="0">
      <text>
        <r>
          <rPr>
            <b/>
            <sz val="8"/>
            <rFont val="Tahoma"/>
            <family val="0"/>
          </rPr>
          <t>PacifiCorp:</t>
        </r>
        <r>
          <rPr>
            <sz val="8"/>
            <rFont val="Tahoma"/>
            <family val="0"/>
          </rPr>
          <t xml:space="preserve">
from tax worksheets</t>
        </r>
      </text>
    </comment>
    <comment ref="D100" authorId="0">
      <text>
        <r>
          <rPr>
            <b/>
            <sz val="8"/>
            <rFont val="Tahoma"/>
            <family val="0"/>
          </rPr>
          <t>PacifiCorp:</t>
        </r>
        <r>
          <rPr>
            <sz val="8"/>
            <rFont val="Tahoma"/>
            <family val="0"/>
          </rPr>
          <t xml:space="preserve">
Frm Backup detail
</t>
        </r>
      </text>
    </comment>
    <comment ref="G98" authorId="0">
      <text>
        <r>
          <rPr>
            <b/>
            <sz val="8"/>
            <rFont val="Tahoma"/>
            <family val="0"/>
          </rPr>
          <t>PacifiCorp:</t>
        </r>
        <r>
          <rPr>
            <sz val="8"/>
            <rFont val="Tahoma"/>
            <family val="0"/>
          </rPr>
          <t xml:space="preserve">
</t>
        </r>
      </text>
    </comment>
    <comment ref="G99" authorId="0">
      <text>
        <r>
          <rPr>
            <b/>
            <sz val="8"/>
            <rFont val="Tahoma"/>
            <family val="0"/>
          </rPr>
          <t>PacifiCorp:</t>
        </r>
        <r>
          <rPr>
            <sz val="8"/>
            <rFont val="Tahoma"/>
            <family val="0"/>
          </rPr>
          <t xml:space="preserve">
from tax worksheets</t>
        </r>
      </text>
    </comment>
    <comment ref="G100" authorId="0">
      <text>
        <r>
          <rPr>
            <b/>
            <sz val="8"/>
            <rFont val="Tahoma"/>
            <family val="0"/>
          </rPr>
          <t>PacifiCorp:</t>
        </r>
        <r>
          <rPr>
            <sz val="8"/>
            <rFont val="Tahoma"/>
            <family val="0"/>
          </rPr>
          <t xml:space="preserve">
from tax worksheets</t>
        </r>
      </text>
    </comment>
    <comment ref="H98" authorId="0">
      <text>
        <r>
          <rPr>
            <b/>
            <sz val="8"/>
            <rFont val="Tahoma"/>
            <family val="0"/>
          </rPr>
          <t>PacifiCorp:</t>
        </r>
        <r>
          <rPr>
            <sz val="8"/>
            <rFont val="Tahoma"/>
            <family val="0"/>
          </rPr>
          <t xml:space="preserve">
from tax worksheets</t>
        </r>
      </text>
    </comment>
    <comment ref="H99" authorId="0">
      <text>
        <r>
          <rPr>
            <b/>
            <sz val="8"/>
            <rFont val="Tahoma"/>
            <family val="0"/>
          </rPr>
          <t>PacifiCorp:</t>
        </r>
        <r>
          <rPr>
            <sz val="8"/>
            <rFont val="Tahoma"/>
            <family val="0"/>
          </rPr>
          <t xml:space="preserve">
from tax worksheets</t>
        </r>
      </text>
    </comment>
    <comment ref="H100" authorId="0">
      <text>
        <r>
          <rPr>
            <b/>
            <sz val="8"/>
            <rFont val="Tahoma"/>
            <family val="0"/>
          </rPr>
          <t>PacifiCorp:</t>
        </r>
        <r>
          <rPr>
            <sz val="8"/>
            <rFont val="Tahoma"/>
            <family val="0"/>
          </rPr>
          <t xml:space="preserve">
from tax worksheets</t>
        </r>
      </text>
    </comment>
    <comment ref="D13" authorId="0">
      <text>
        <r>
          <rPr>
            <b/>
            <sz val="8"/>
            <rFont val="Tahoma"/>
            <family val="0"/>
          </rPr>
          <t>PacifiCorp:</t>
        </r>
        <r>
          <rPr>
            <sz val="8"/>
            <rFont val="Tahoma"/>
            <family val="0"/>
          </rPr>
          <t xml:space="preserve">
per MRPS documentation from from David Curnow
This value is included in PPE ending balance.
Credit should be marked as non billable to NOB's since they will receive their share from sales proceeds</t>
        </r>
      </text>
    </comment>
    <comment ref="D39" authorId="0">
      <text>
        <r>
          <rPr>
            <b/>
            <sz val="8"/>
            <rFont val="Tahoma"/>
            <family val="0"/>
          </rPr>
          <t>PacifiCorp:</t>
        </r>
        <r>
          <rPr>
            <sz val="8"/>
            <rFont val="Tahoma"/>
            <family val="0"/>
          </rPr>
          <t xml:space="preserve">
cash not collected in sale price has been collected from the NOB's prior to sale.
</t>
        </r>
      </text>
    </comment>
    <comment ref="D14" authorId="0">
      <text>
        <r>
          <rPr>
            <b/>
            <sz val="8"/>
            <rFont val="Tahoma"/>
            <family val="0"/>
          </rPr>
          <t>PacifiCorp:</t>
        </r>
        <r>
          <rPr>
            <sz val="8"/>
            <rFont val="Tahoma"/>
            <family val="0"/>
          </rPr>
          <t xml:space="preserve">
Non billable to the NOB's since credit would duplicated the amount collected from sale.</t>
        </r>
      </text>
    </comment>
    <comment ref="D40" authorId="0">
      <text>
        <r>
          <rPr>
            <b/>
            <sz val="8"/>
            <rFont val="Tahoma"/>
            <family val="0"/>
          </rPr>
          <t>PacifiCorp:</t>
        </r>
        <r>
          <rPr>
            <sz val="8"/>
            <rFont val="Tahoma"/>
            <family val="0"/>
          </rPr>
          <t xml:space="preserve">
see mine BE</t>
        </r>
      </text>
    </comment>
    <comment ref="B28" authorId="0">
      <text>
        <r>
          <rPr>
            <b/>
            <sz val="8"/>
            <rFont val="Tahoma"/>
            <family val="0"/>
          </rPr>
          <t>PacifiCorp:</t>
        </r>
        <r>
          <rPr>
            <sz val="8"/>
            <rFont val="Tahoma"/>
            <family val="0"/>
          </rPr>
          <t xml:space="preserve">
net of mine piece
</t>
        </r>
      </text>
    </comment>
  </commentList>
</comments>
</file>

<file path=xl/comments10.xml><?xml version="1.0" encoding="utf-8"?>
<comments xmlns="http://schemas.openxmlformats.org/spreadsheetml/2006/main">
  <authors>
    <author>PacifiCorp</author>
  </authors>
  <commentList>
    <comment ref="K28" authorId="0">
      <text>
        <r>
          <rPr>
            <b/>
            <sz val="8"/>
            <rFont val="Tahoma"/>
            <family val="0"/>
          </rPr>
          <t>PacifiCorp:</t>
        </r>
        <r>
          <rPr>
            <sz val="8"/>
            <rFont val="Tahoma"/>
            <family val="0"/>
          </rPr>
          <t xml:space="preserve">
jim lacey data
</t>
        </r>
      </text>
    </comment>
    <comment ref="J167" authorId="0">
      <text>
        <r>
          <rPr>
            <b/>
            <sz val="8"/>
            <rFont val="Tahoma"/>
            <family val="0"/>
          </rPr>
          <t>PacifiCorp:</t>
        </r>
        <r>
          <rPr>
            <sz val="8"/>
            <rFont val="Tahoma"/>
            <family val="0"/>
          </rPr>
          <t xml:space="preserve">
less land and salvage
</t>
        </r>
      </text>
    </comment>
    <comment ref="J163" authorId="0">
      <text>
        <r>
          <rPr>
            <b/>
            <sz val="8"/>
            <rFont val="Tahoma"/>
            <family val="0"/>
          </rPr>
          <t>PacifiCorp:</t>
        </r>
        <r>
          <rPr>
            <sz val="8"/>
            <rFont val="Tahoma"/>
            <family val="0"/>
          </rPr>
          <t xml:space="preserve">
reg and non regulated investment are not equally split. So depreciation had to be changed to get 100% of the depr.
</t>
        </r>
      </text>
    </comment>
    <comment ref="H167" authorId="0">
      <text>
        <r>
          <rPr>
            <b/>
            <sz val="8"/>
            <rFont val="Tahoma"/>
            <family val="0"/>
          </rPr>
          <t>PacifiCorp:</t>
        </r>
        <r>
          <rPr>
            <sz val="8"/>
            <rFont val="Tahoma"/>
            <family val="0"/>
          </rPr>
          <t xml:space="preserve">
Catmull is information provider
</t>
        </r>
      </text>
    </comment>
    <comment ref="H155" authorId="0">
      <text>
        <r>
          <rPr>
            <b/>
            <sz val="8"/>
            <rFont val="Tahoma"/>
            <family val="0"/>
          </rPr>
          <t>PacifiCorp:</t>
        </r>
        <r>
          <rPr>
            <sz val="8"/>
            <rFont val="Tahoma"/>
            <family val="0"/>
          </rPr>
          <t xml:space="preserve">
Catmull is information provider
</t>
        </r>
      </text>
    </comment>
    <comment ref="J155" authorId="0">
      <text>
        <r>
          <rPr>
            <b/>
            <sz val="8"/>
            <rFont val="Tahoma"/>
            <family val="0"/>
          </rPr>
          <t>PacifiCorp:</t>
        </r>
        <r>
          <rPr>
            <sz val="8"/>
            <rFont val="Tahoma"/>
            <family val="0"/>
          </rPr>
          <t xml:space="preserve">
less land and salvage
</t>
        </r>
      </text>
    </comment>
    <comment ref="G146" authorId="0">
      <text>
        <r>
          <rPr>
            <b/>
            <sz val="8"/>
            <rFont val="Tahoma"/>
            <family val="0"/>
          </rPr>
          <t>PacifiCorp:</t>
        </r>
        <r>
          <rPr>
            <sz val="8"/>
            <rFont val="Tahoma"/>
            <family val="0"/>
          </rPr>
          <t xml:space="preserve">
this is Pacificorp portion of the non depreciable land value
</t>
        </r>
      </text>
    </comment>
  </commentList>
</comments>
</file>

<file path=xl/comments11.xml><?xml version="1.0" encoding="utf-8"?>
<comments xmlns="http://schemas.openxmlformats.org/spreadsheetml/2006/main">
  <authors>
    <author>PacifiCorp</author>
  </authors>
  <commentList>
    <comment ref="J20" authorId="0">
      <text>
        <r>
          <rPr>
            <b/>
            <sz val="8"/>
            <rFont val="Tahoma"/>
            <family val="0"/>
          </rPr>
          <t>PacifiCorp:</t>
        </r>
        <r>
          <rPr>
            <sz val="8"/>
            <rFont val="Tahoma"/>
            <family val="0"/>
          </rPr>
          <t xml:space="preserve">
based in 1997 dollars
</t>
        </r>
      </text>
    </comment>
  </commentList>
</comments>
</file>

<file path=xl/comments12.xml><?xml version="1.0" encoding="utf-8"?>
<comments xmlns="http://schemas.openxmlformats.org/spreadsheetml/2006/main">
  <authors>
    <author>PacifiCorp</author>
  </authors>
  <commentList>
    <comment ref="D45" authorId="0">
      <text>
        <r>
          <rPr>
            <b/>
            <sz val="8"/>
            <rFont val="Tahoma"/>
            <family val="0"/>
          </rPr>
          <t>PacifiCorp:</t>
        </r>
        <r>
          <rPr>
            <sz val="8"/>
            <rFont val="Tahoma"/>
            <family val="0"/>
          </rPr>
          <t xml:space="preserve">
used to balance from accounting
</t>
        </r>
      </text>
    </comment>
  </commentList>
</comments>
</file>

<file path=xl/comments18.xml><?xml version="1.0" encoding="utf-8"?>
<comments xmlns="http://schemas.openxmlformats.org/spreadsheetml/2006/main">
  <authors>
    <author>PacifiCorp</author>
  </authors>
  <commentList>
    <comment ref="H36" authorId="0">
      <text>
        <r>
          <rPr>
            <b/>
            <sz val="8"/>
            <rFont val="Tahoma"/>
            <family val="0"/>
          </rPr>
          <t>PacifiCorp:</t>
        </r>
        <r>
          <rPr>
            <sz val="8"/>
            <rFont val="Tahoma"/>
            <family val="0"/>
          </rPr>
          <t xml:space="preserve">
from DRI CPIW 25 year forecast</t>
        </r>
      </text>
    </comment>
    <comment ref="G39" authorId="0">
      <text>
        <r>
          <rPr>
            <b/>
            <sz val="8"/>
            <rFont val="Tahoma"/>
            <family val="0"/>
          </rPr>
          <t>PacifiCorp:</t>
        </r>
        <r>
          <rPr>
            <sz val="8"/>
            <rFont val="Tahoma"/>
            <family val="0"/>
          </rPr>
          <t xml:space="preserve">
from dat a recived from Paul wrigley
</t>
        </r>
      </text>
    </comment>
  </commentList>
</comments>
</file>

<file path=xl/comments3.xml><?xml version="1.0" encoding="utf-8"?>
<comments xmlns="http://schemas.openxmlformats.org/spreadsheetml/2006/main">
  <authors>
    <author>PacifiCorp</author>
  </authors>
  <commentList>
    <comment ref="F27" authorId="0">
      <text>
        <r>
          <rPr>
            <b/>
            <sz val="8"/>
            <rFont val="Tahoma"/>
            <family val="0"/>
          </rPr>
          <t>PacifiCorp:</t>
        </r>
        <r>
          <rPr>
            <sz val="8"/>
            <rFont val="Tahoma"/>
            <family val="0"/>
          </rPr>
          <t xml:space="preserve">
PPW portion per detail account 186.5 control # 1,2,29 see back up.
Only PPW portion included for Revenue Requirement</t>
        </r>
      </text>
    </comment>
    <comment ref="G26" authorId="0">
      <text>
        <r>
          <rPr>
            <b/>
            <sz val="8"/>
            <rFont val="Tahoma"/>
            <family val="0"/>
          </rPr>
          <t>PacifiCorp:</t>
        </r>
        <r>
          <rPr>
            <sz val="8"/>
            <rFont val="Tahoma"/>
            <family val="0"/>
          </rPr>
          <t xml:space="preserve">
variance is salvage and land</t>
        </r>
      </text>
    </comment>
  </commentList>
</comments>
</file>

<file path=xl/comments4.xml><?xml version="1.0" encoding="utf-8"?>
<comments xmlns="http://schemas.openxmlformats.org/spreadsheetml/2006/main">
  <authors>
    <author>PacifiCorp</author>
  </authors>
  <commentList>
    <comment ref="G28" authorId="0">
      <text>
        <r>
          <rPr>
            <b/>
            <sz val="8"/>
            <rFont val="Tahoma"/>
            <family val="0"/>
          </rPr>
          <t>PacifiCorp:</t>
        </r>
        <r>
          <rPr>
            <sz val="8"/>
            <rFont val="Tahoma"/>
            <family val="0"/>
          </rPr>
          <t xml:space="preserve">
e-mail david Curnow
</t>
        </r>
      </text>
    </comment>
    <comment ref="G29" authorId="0">
      <text>
        <r>
          <rPr>
            <b/>
            <sz val="8"/>
            <rFont val="Tahoma"/>
            <family val="0"/>
          </rPr>
          <t>PacifiCorp:</t>
        </r>
        <r>
          <rPr>
            <sz val="8"/>
            <rFont val="Tahoma"/>
            <family val="0"/>
          </rPr>
          <t xml:space="preserve">
e-mail david Curnow</t>
        </r>
      </text>
    </comment>
    <comment ref="G25" authorId="0">
      <text>
        <r>
          <rPr>
            <b/>
            <sz val="8"/>
            <rFont val="Tahoma"/>
            <family val="0"/>
          </rPr>
          <t>PacifiCorp:</t>
        </r>
        <r>
          <rPr>
            <sz val="8"/>
            <rFont val="Tahoma"/>
            <family val="0"/>
          </rPr>
          <t xml:space="preserve">
assumed to balance to gain calculation
</t>
        </r>
      </text>
    </comment>
    <comment ref="E73" authorId="0">
      <text>
        <r>
          <rPr>
            <b/>
            <sz val="8"/>
            <rFont val="Tahoma"/>
            <family val="0"/>
          </rPr>
          <t>PacifiCorp:</t>
        </r>
        <r>
          <rPr>
            <sz val="8"/>
            <rFont val="Tahoma"/>
            <family val="0"/>
          </rPr>
          <t xml:space="preserve">
From most resent filing
perissini exhibit 1 (Wyoming)
</t>
        </r>
      </text>
    </comment>
  </commentList>
</comments>
</file>

<file path=xl/comments9.xml><?xml version="1.0" encoding="utf-8"?>
<comments xmlns="http://schemas.openxmlformats.org/spreadsheetml/2006/main">
  <authors>
    <author>PacifiCorp</author>
  </authors>
  <commentList>
    <comment ref="J51" authorId="0">
      <text>
        <r>
          <rPr>
            <b/>
            <sz val="8"/>
            <rFont val="Tahoma"/>
            <family val="0"/>
          </rPr>
          <t>PacifiCorp:</t>
        </r>
        <r>
          <rPr>
            <sz val="8"/>
            <rFont val="Tahoma"/>
            <family val="0"/>
          </rPr>
          <t xml:space="preserve">
</t>
        </r>
      </text>
    </comment>
    <comment ref="G58" authorId="0">
      <text>
        <r>
          <rPr>
            <b/>
            <sz val="8"/>
            <rFont val="Tahoma"/>
            <family val="0"/>
          </rPr>
          <t>PacifiCorp:</t>
        </r>
        <r>
          <rPr>
            <sz val="8"/>
            <rFont val="Tahoma"/>
            <family val="0"/>
          </rPr>
          <t xml:space="preserve">
equals amount in tax page
</t>
        </r>
      </text>
    </comment>
  </commentList>
</comments>
</file>

<file path=xl/sharedStrings.xml><?xml version="1.0" encoding="utf-8"?>
<sst xmlns="http://schemas.openxmlformats.org/spreadsheetml/2006/main" count="1297" uniqueCount="889">
  <si>
    <t>Calculation of Regulatory Gain for Centralia Sale</t>
  </si>
  <si>
    <t>Non</t>
  </si>
  <si>
    <t>Provided</t>
  </si>
  <si>
    <t>Total</t>
  </si>
  <si>
    <t xml:space="preserve">or Flowed </t>
  </si>
  <si>
    <t>Centralia (PPW SHARE)</t>
  </si>
  <si>
    <t>Book</t>
  </si>
  <si>
    <t>Tax</t>
  </si>
  <si>
    <t>Difference</t>
  </si>
  <si>
    <t>Deferred</t>
  </si>
  <si>
    <t>Thru</t>
  </si>
  <si>
    <t>Sale Price</t>
  </si>
  <si>
    <t>less Reclamation Trust</t>
  </si>
  <si>
    <t>less mine BE payment to PacifiCorp</t>
  </si>
  <si>
    <t>Remaining cash allocated by ownership %</t>
  </si>
  <si>
    <t>PacifiCorp ownership %</t>
  </si>
  <si>
    <t>Cash To PacifiCorp for Plant/Transmission</t>
  </si>
  <si>
    <t>Cash To PacifiCorp for Mine</t>
  </si>
  <si>
    <r>
      <t xml:space="preserve">Reclamation trust fund cash in </t>
    </r>
    <r>
      <rPr>
        <b/>
        <sz val="10"/>
        <rFont val="Arial"/>
        <family val="2"/>
      </rPr>
      <t>Sale Price</t>
    </r>
  </si>
  <si>
    <t xml:space="preserve">Total cash allocated to PacifiCorp </t>
  </si>
  <si>
    <t>Cash to Trust Fund</t>
  </si>
  <si>
    <t>Less Transaction Cost (PPW Share)</t>
  </si>
  <si>
    <t>Basis:</t>
  </si>
  <si>
    <t>Sub Station-500 KV Transmission ending 1999</t>
  </si>
  <si>
    <t>Centralia Mining (Reg) ending 1999</t>
  </si>
  <si>
    <t>Centralia Mining (Non-Reg) ending 1999</t>
  </si>
  <si>
    <t>CMC Final Reclamation ending 1999</t>
  </si>
  <si>
    <t>Deferred Stripping box cut ending 1999</t>
  </si>
  <si>
    <t>Total Basis</t>
  </si>
  <si>
    <t>Gain</t>
  </si>
  <si>
    <t>Tax Rate</t>
  </si>
  <si>
    <t>Deferred Not Provided</t>
  </si>
  <si>
    <t>Total Tax on Books</t>
  </si>
  <si>
    <t>Total Tax Due (Current)</t>
  </si>
  <si>
    <t>Net sales Price</t>
  </si>
  <si>
    <t>Book Basis</t>
  </si>
  <si>
    <t>Plant</t>
  </si>
  <si>
    <t>Mine</t>
  </si>
  <si>
    <t>Transmission Substation</t>
  </si>
  <si>
    <t>Deferred Tax 12-31-99</t>
  </si>
  <si>
    <t>Reclamation</t>
  </si>
  <si>
    <t>Plant-Deferred Tax on Reclamation</t>
  </si>
  <si>
    <t>Plant-Accrued Mine Reclamation</t>
  </si>
  <si>
    <t>Stripping</t>
  </si>
  <si>
    <r>
      <t>Mine</t>
    </r>
    <r>
      <rPr>
        <sz val="10"/>
        <rFont val="Arial"/>
        <family val="0"/>
      </rPr>
      <t>-Deferred Stripping</t>
    </r>
  </si>
  <si>
    <t>After Tax Book Gain (Loss)</t>
  </si>
  <si>
    <t xml:space="preserve">CENTRALIA Mine Only after tax book gain (loss) </t>
  </si>
  <si>
    <t>Cash remaining</t>
  </si>
  <si>
    <t>Centralia Mining (Reg)</t>
  </si>
  <si>
    <t>Centralia Mining (Non-Reg)</t>
  </si>
  <si>
    <t>Deferred Stripping box cut</t>
  </si>
  <si>
    <t>Cash</t>
  </si>
  <si>
    <t>Sale of Plant and Mine 1/1/2000</t>
  </si>
  <si>
    <t>RATE BASE</t>
  </si>
  <si>
    <t>End Balance</t>
  </si>
  <si>
    <t>Plant in Service @ 47.5%</t>
  </si>
  <si>
    <t>Deferred Box Cut</t>
  </si>
  <si>
    <t>Materials Inventory</t>
  </si>
  <si>
    <t>Accrued Reclamation</t>
  </si>
  <si>
    <t>Accum. Deferred Taxes</t>
  </si>
  <si>
    <t>Ending Rate Base</t>
  </si>
  <si>
    <t>Average Rate Base</t>
  </si>
  <si>
    <t>2000 - 2023</t>
  </si>
  <si>
    <t>ANNUAL REVENUE REQUIREMENT</t>
  </si>
  <si>
    <t>NOBs Payment</t>
  </si>
  <si>
    <t>Deferred Taxes</t>
  </si>
  <si>
    <t>37.90% Income Taxes</t>
  </si>
  <si>
    <t>Revenue Requirement</t>
  </si>
  <si>
    <t>Plant in Service</t>
  </si>
  <si>
    <t>Fuel Stock</t>
  </si>
  <si>
    <t>2000 - 2029</t>
  </si>
  <si>
    <t>Incremental Wholesale Trans Expense</t>
  </si>
  <si>
    <t>Plant Operating Cost -excluding Fuel</t>
  </si>
  <si>
    <t xml:space="preserve">Book Depreciation </t>
  </si>
  <si>
    <t>TOTAL REVENUE REQUIREMENT</t>
  </si>
  <si>
    <t>TOTAL REGULATED REVENUE REQUIREMENT</t>
  </si>
  <si>
    <t>Discount rate</t>
  </si>
  <si>
    <t>CWIP year end</t>
  </si>
  <si>
    <t>Transaction Cost (CMC Share)</t>
  </si>
  <si>
    <t>(dollars in thousands)</t>
  </si>
  <si>
    <r>
      <t>REGULATED</t>
    </r>
    <r>
      <rPr>
        <sz val="10"/>
        <rFont val="Arial"/>
        <family val="0"/>
      </rPr>
      <t xml:space="preserve"> CMC MINE</t>
    </r>
    <r>
      <rPr>
        <b/>
        <u val="single"/>
        <sz val="14"/>
        <rFont val="Times New Roman"/>
        <family val="1"/>
      </rPr>
      <t xml:space="preserve"> REVENUE REQUIREMENT</t>
    </r>
  </si>
  <si>
    <t>Accumulated Depreciation &amp; Depletion &amp; Removal</t>
  </si>
  <si>
    <t>Book Depletion</t>
  </si>
  <si>
    <r>
      <t xml:space="preserve">REGULATED CENTRALIA </t>
    </r>
    <r>
      <rPr>
        <sz val="10"/>
        <rFont val="Arial"/>
        <family val="0"/>
      </rPr>
      <t>PLANT</t>
    </r>
    <r>
      <rPr>
        <b/>
        <u val="single"/>
        <sz val="14"/>
        <rFont val="Times New Roman"/>
        <family val="1"/>
      </rPr>
      <t xml:space="preserve"> REVENUE REQUIREMENT</t>
    </r>
  </si>
  <si>
    <t>Preliminary Draft - Scenario #LSFOcmc - KEEP CASE</t>
  </si>
  <si>
    <t>Scrubber Type:  Limestone Forced Oxidation</t>
  </si>
  <si>
    <t>CMC Coal 4.0 MM TPY adj</t>
  </si>
  <si>
    <t>Includes Reductn in Coal Hndlng</t>
  </si>
  <si>
    <t>Shallow Lakes Reclamation</t>
  </si>
  <si>
    <t>Depreciation, depletion and deferred taxes</t>
  </si>
  <si>
    <t>Total Tax Depreciation</t>
  </si>
  <si>
    <t>Tax Reclamation Expenditures @ 47.5%</t>
  </si>
  <si>
    <t>Total Tax Timing Expenses</t>
  </si>
  <si>
    <t>Book Depreciation - existing and new assets</t>
  </si>
  <si>
    <t>Book Reclamation Accrual</t>
  </si>
  <si>
    <t>Total Book Timing Expenses</t>
  </si>
  <si>
    <t>Tax less Book Timing Differences</t>
  </si>
  <si>
    <t>Deferred Tax Expense</t>
  </si>
  <si>
    <t>Total Deferred Tax Expense</t>
  </si>
  <si>
    <t>Mine Capital Expenditures @ 47.5%</t>
  </si>
  <si>
    <t>Mine Tax Depletion @ 47.5%</t>
  </si>
  <si>
    <t>12/31/98 Net Book Investment  - Regulated</t>
  </si>
  <si>
    <t>12/31/98 - Total Book Net Investment</t>
  </si>
  <si>
    <t>Regulated portion of existing assests</t>
  </si>
  <si>
    <t>CENTRALIA PLANT</t>
  </si>
  <si>
    <t>Plant Capital Expenditures</t>
  </si>
  <si>
    <t>Tax Depreciation - new assets @ 47.5%</t>
  </si>
  <si>
    <t>Tax Depreciation - existing assets @ 51.49%</t>
  </si>
  <si>
    <t>Plant Operating Statistics</t>
  </si>
  <si>
    <t>Net MW (including incremental station use)</t>
  </si>
  <si>
    <t>Incremental Aux. Power (Station Use)</t>
  </si>
  <si>
    <t>Net MW Output after Incremental Station Use</t>
  </si>
  <si>
    <t>Net Plant Heat Rate (Btu/KWh)</t>
  </si>
  <si>
    <t>Average Annual Capacity Factor</t>
  </si>
  <si>
    <t>Total mmBTU Requirement</t>
  </si>
  <si>
    <t>MWh - Gross Generation</t>
  </si>
  <si>
    <t>Total MWh - Net Generation</t>
  </si>
  <si>
    <t xml:space="preserve">Net Plant Output Before New Aux. Loads (MW):  </t>
  </si>
  <si>
    <t xml:space="preserve">Incremental Auxiliary Power  in MW  </t>
  </si>
  <si>
    <t>PacifiCorp Share of Plant</t>
  </si>
  <si>
    <t xml:space="preserve">Net Plant Heat Rate (Btu/KWh):  </t>
  </si>
  <si>
    <t>Target</t>
  </si>
  <si>
    <t>Regulated</t>
  </si>
  <si>
    <t>Cost</t>
  </si>
  <si>
    <t>LT DEBT</t>
  </si>
  <si>
    <t>PREFERRED</t>
  </si>
  <si>
    <t>COMMON</t>
  </si>
  <si>
    <t>Rate of Return</t>
  </si>
  <si>
    <t>Discount Rate</t>
  </si>
  <si>
    <t>Gross up for income taxes</t>
  </si>
  <si>
    <t>Rate of Inflation</t>
  </si>
  <si>
    <t>12/31/98 BALANCE</t>
  </si>
  <si>
    <t>BALANCE THROUGH 12/31/99</t>
  </si>
  <si>
    <t>Ferc Accounts</t>
  </si>
  <si>
    <t>108 &amp; 111</t>
  </si>
  <si>
    <t>Property Amount</t>
  </si>
  <si>
    <t>Accum Deprec</t>
  </si>
  <si>
    <t>Net Book</t>
  </si>
  <si>
    <t>CWIP- Electric</t>
  </si>
  <si>
    <t xml:space="preserve">Locations: </t>
  </si>
  <si>
    <t>Centralia Plant</t>
  </si>
  <si>
    <t>Centralia Steam Plant</t>
  </si>
  <si>
    <t>Centralia Unit 1</t>
  </si>
  <si>
    <t>Centralia Unit 2</t>
  </si>
  <si>
    <t>Sub-Total</t>
  </si>
  <si>
    <t>Sub-Station - Transmission</t>
  </si>
  <si>
    <t>BPA Paul 500KV</t>
  </si>
  <si>
    <t>Centralia PLT-BPA Paul 500KVL1</t>
  </si>
  <si>
    <t>centralia PLT-BPA Paul 500KVL2</t>
  </si>
  <si>
    <t>Total Plant</t>
  </si>
  <si>
    <t>Sub-Station - Transmission -NOT SOLD</t>
  </si>
  <si>
    <t>Centralia Tap SW Sta 230KV</t>
  </si>
  <si>
    <t>Centralia PLT TAP-BPA 230KV</t>
  </si>
  <si>
    <t>Skookumchuck Dam - NOT SOLD</t>
  </si>
  <si>
    <t>Centralia Unit 3 Skookumchuck</t>
  </si>
  <si>
    <t>Total NOT SOLD</t>
  </si>
  <si>
    <t>Centralia Mine - Reg</t>
  </si>
  <si>
    <t>Centralia Coal Mine</t>
  </si>
  <si>
    <t>Centralia Mine - Non-Reg</t>
  </si>
  <si>
    <t>Centralia Coal Mine - Non-Rate Base</t>
  </si>
  <si>
    <t>Centralia Coal Mine (Dragline)</t>
  </si>
  <si>
    <t>Centralia Mine (WIDCO Purchase)</t>
  </si>
  <si>
    <t xml:space="preserve"> </t>
  </si>
  <si>
    <t>Total CMC - MINE</t>
  </si>
  <si>
    <t>TOTAL PLANT AND MINE</t>
  </si>
  <si>
    <t xml:space="preserve">Screen </t>
  </si>
  <si>
    <t>GAC</t>
  </si>
  <si>
    <t xml:space="preserve">Year </t>
  </si>
  <si>
    <t>Control</t>
  </si>
  <si>
    <t>Number</t>
  </si>
  <si>
    <t>Balance</t>
  </si>
  <si>
    <t>PPW</t>
  </si>
  <si>
    <t>Split</t>
  </si>
  <si>
    <t>NOB's</t>
  </si>
  <si>
    <t>Centralia Estimated Inventory Valuation: PacifiCorp Share</t>
  </si>
  <si>
    <t>Jun</t>
  </si>
  <si>
    <t>Jul</t>
  </si>
  <si>
    <t>Aug</t>
  </si>
  <si>
    <t>Sep</t>
  </si>
  <si>
    <t>Oct</t>
  </si>
  <si>
    <t>Nov</t>
  </si>
  <si>
    <t>Dec</t>
  </si>
  <si>
    <t>Calculation of Inventory Writeoff</t>
  </si>
  <si>
    <t>Beginning  Inventory</t>
  </si>
  <si>
    <t>Estimated Btu's (Pac Share)</t>
  </si>
  <si>
    <t>Tons</t>
  </si>
  <si>
    <t>Estimated Cost in Pile</t>
  </si>
  <si>
    <t>Dollars</t>
  </si>
  <si>
    <t>Sale Price of Pile</t>
  </si>
  <si>
    <t>MMBtu's</t>
  </si>
  <si>
    <t>Net Loss</t>
  </si>
  <si>
    <t>$/Ton</t>
  </si>
  <si>
    <t>Total Loss</t>
  </si>
  <si>
    <t>$/MMBtu</t>
  </si>
  <si>
    <t>Received</t>
  </si>
  <si>
    <t>CMC</t>
  </si>
  <si>
    <t>Btu/lb</t>
  </si>
  <si>
    <t>Spring Creek</t>
  </si>
  <si>
    <t>Subtotal</t>
  </si>
  <si>
    <t>Consumed</t>
  </si>
  <si>
    <t>Ending  Inventory</t>
  </si>
  <si>
    <t xml:space="preserve">Total Plant Inventory </t>
  </si>
  <si>
    <t>CMC Tons</t>
  </si>
  <si>
    <t>External Tons</t>
  </si>
  <si>
    <t>Total Tons</t>
  </si>
  <si>
    <t>CMC Btu/lb</t>
  </si>
  <si>
    <t>External Btu/lb</t>
  </si>
  <si>
    <t>Average Btu/lb</t>
  </si>
  <si>
    <t xml:space="preserve">Tons </t>
  </si>
  <si>
    <t>$</t>
  </si>
  <si>
    <t>Book Inventory</t>
  </si>
  <si>
    <t>Operating Inventory</t>
  </si>
  <si>
    <t>Aerial Survey</t>
  </si>
  <si>
    <t>Monthly Adj</t>
  </si>
  <si>
    <t>Plant Deliveries</t>
  </si>
  <si>
    <t>Cumulative Tons</t>
  </si>
  <si>
    <t>PacifiCorp Deliveries</t>
  </si>
  <si>
    <t>Actuals</t>
  </si>
  <si>
    <t>Jan</t>
  </si>
  <si>
    <t>Feb</t>
  </si>
  <si>
    <t>Mar</t>
  </si>
  <si>
    <t>Apr</t>
  </si>
  <si>
    <t>May</t>
  </si>
  <si>
    <t>Spring Creek Deliveries</t>
  </si>
  <si>
    <t>CMC Deliveries</t>
  </si>
  <si>
    <t>Expected Blend</t>
  </si>
  <si>
    <t>CMC/External</t>
  </si>
  <si>
    <t>CENTRALIA MINE DEFERRED BALANCES</t>
  </si>
  <si>
    <t>PROJECTION OF YEAR-END 1999</t>
  </si>
  <si>
    <t>FOR PACIFICORP AND NOBS</t>
  </si>
  <si>
    <t>CMC Kopiah</t>
  </si>
  <si>
    <t>Def Box Cut</t>
  </si>
  <si>
    <t>Def Stripping</t>
  </si>
  <si>
    <t>PAC Share @ 5/31/99</t>
  </si>
  <si>
    <t>June-Dec activity:</t>
  </si>
  <si>
    <t>*</t>
  </si>
  <si>
    <t>PAC Mine tons</t>
  </si>
  <si>
    <t>Kopiah tons-PAC</t>
  </si>
  <si>
    <t>Def Stripping Activity</t>
  </si>
  <si>
    <t>PAC projected balance 12/31/99</t>
  </si>
  <si>
    <t>NOBs Share @ 5/31/99</t>
  </si>
  <si>
    <t>Kopiah tons-NOBs</t>
  </si>
  <si>
    <t>NOBs projected balance 12/31/99</t>
  </si>
  <si>
    <t>Total projected Balance @ 12/31/99</t>
  </si>
  <si>
    <t>Based on "Option" coal distribution identified in the "1999 Centralia Coal Inventory and CMC Option Coal</t>
  </si>
  <si>
    <t>Consensus".</t>
  </si>
  <si>
    <t>DIRECT INPUT</t>
  </si>
  <si>
    <t>CONNECTED TO WORKSHEET</t>
  </si>
  <si>
    <t>FORMULA</t>
  </si>
  <si>
    <t>BLUE</t>
  </si>
  <si>
    <t>RED</t>
  </si>
  <si>
    <t>BLACK</t>
  </si>
  <si>
    <t>1999 Estimated Final Reclamation Fund Balances</t>
  </si>
  <si>
    <t>6/1-12/31</t>
  </si>
  <si>
    <t>Share of</t>
  </si>
  <si>
    <t>Net Fund</t>
  </si>
  <si>
    <t>Date</t>
  </si>
  <si>
    <t>Accruals</t>
  </si>
  <si>
    <t>Fnl. Rec Cost</t>
  </si>
  <si>
    <t>PacifiCorp</t>
  </si>
  <si>
    <t>Coal Buyers' Summary</t>
  </si>
  <si>
    <t>Non-Electing Buyers</t>
  </si>
  <si>
    <t>Puget</t>
  </si>
  <si>
    <t>PGE</t>
  </si>
  <si>
    <t>Snohomish</t>
  </si>
  <si>
    <t>Electing Buyers' Summary</t>
  </si>
  <si>
    <t>Avista</t>
  </si>
  <si>
    <t>Seattle</t>
  </si>
  <si>
    <t>Tacoma</t>
  </si>
  <si>
    <t>Grays Harbor</t>
  </si>
  <si>
    <t>PacifiCorp Electric Operations</t>
  </si>
  <si>
    <t>Sale of Centralia Assets</t>
  </si>
  <si>
    <t>As of 12/31/99</t>
  </si>
  <si>
    <t>(Increase) / Decrease Income</t>
  </si>
  <si>
    <t xml:space="preserve">Balance to </t>
  </si>
  <si>
    <t>California</t>
  </si>
  <si>
    <t>Acufile</t>
  </si>
  <si>
    <t>NonAcufile</t>
  </si>
  <si>
    <t>Current</t>
  </si>
  <si>
    <t>Skookumchuck Dam</t>
  </si>
  <si>
    <t>Sub Station</t>
  </si>
  <si>
    <t>Transaction Cost</t>
  </si>
  <si>
    <t>CMC Final Reclamation</t>
  </si>
  <si>
    <t>Deferred Stripping Box Cut</t>
  </si>
  <si>
    <t>Perm</t>
  </si>
  <si>
    <t>Debit to deferred taxes</t>
  </si>
  <si>
    <t>Perm Diff</t>
  </si>
  <si>
    <t>Flow - Thru</t>
  </si>
  <si>
    <t xml:space="preserve">Total Tax Due </t>
  </si>
  <si>
    <t>After Tax Book Gain</t>
  </si>
  <si>
    <t>Effective Tax Rate</t>
  </si>
  <si>
    <t>Per Jim Cottle - Tax Department</t>
  </si>
  <si>
    <t>Centralia Wholesale Value Evaluation</t>
  </si>
  <si>
    <t>BASE</t>
  </si>
  <si>
    <t>Incremental Wholesale Transactions Costs</t>
  </si>
  <si>
    <t>Escalation Rate:</t>
  </si>
  <si>
    <t>(millions of dollars)</t>
  </si>
  <si>
    <t>Item #</t>
  </si>
  <si>
    <t>100% Share</t>
  </si>
  <si>
    <t>Keep</t>
  </si>
  <si>
    <t>PV @ 9.0%</t>
  </si>
  <si>
    <t>Transmission</t>
  </si>
  <si>
    <t>Total Keep &amp; Add Scrubber</t>
  </si>
  <si>
    <t xml:space="preserve">Sell </t>
  </si>
  <si>
    <t>Total Sell</t>
  </si>
  <si>
    <t>Allocation %</t>
  </si>
  <si>
    <t>Gross Plant</t>
  </si>
  <si>
    <t>Net Plant</t>
  </si>
  <si>
    <t>Net/Gross</t>
  </si>
  <si>
    <t>To ratepayers</t>
  </si>
  <si>
    <t>Sales and use tax</t>
  </si>
  <si>
    <t>Depreciation</t>
  </si>
  <si>
    <t>$/ton</t>
  </si>
  <si>
    <t>Total Cost</t>
  </si>
  <si>
    <t>FUEL CASH COSTS--EXCLUDING CAPITAL @ 100%</t>
  </si>
  <si>
    <t>CMC Coal</t>
  </si>
  <si>
    <t>External Coal</t>
  </si>
  <si>
    <t>CMC Coal Costs -  @ 100% to PacifiCorp</t>
  </si>
  <si>
    <t>CMC Controllable Costs</t>
  </si>
  <si>
    <r>
      <t>mmBTU Requirement</t>
    </r>
    <r>
      <rPr>
        <sz val="10"/>
        <color indexed="12"/>
        <rFont val="Tms Rmn"/>
        <family val="0"/>
      </rPr>
      <t xml:space="preserve"> @ 47.5%</t>
    </r>
  </si>
  <si>
    <t>BTU / Lb.</t>
  </si>
  <si>
    <r>
      <t>Tons</t>
    </r>
    <r>
      <rPr>
        <sz val="10"/>
        <color indexed="12"/>
        <rFont val="Tms Rmn"/>
        <family val="0"/>
      </rPr>
      <t xml:space="preserve"> @ 47.5%</t>
    </r>
  </si>
  <si>
    <t>$ / Ton</t>
  </si>
  <si>
    <t>Total CMC Controllable Cost @ 47.5%</t>
  </si>
  <si>
    <t>Less coal Royalty Excemption</t>
  </si>
  <si>
    <t>Coal Royalty excemption</t>
  </si>
  <si>
    <t>Taxes-WSST - Total Mine</t>
  </si>
  <si>
    <t>non reg</t>
  </si>
  <si>
    <t>Sales Tax on External Coal</t>
  </si>
  <si>
    <t>mmBTU Requirement</t>
  </si>
  <si>
    <t xml:space="preserve">$ / mmBTU </t>
  </si>
  <si>
    <t>Total External Coal Cost</t>
  </si>
  <si>
    <t>escaleted at 3% 1999 cost in model</t>
  </si>
  <si>
    <t>Cost per mmbtu of external fuel</t>
  </si>
  <si>
    <t xml:space="preserve">External Coal Sales Tax Adj Rate:  </t>
  </si>
  <si>
    <t>CMC BTU / Lb.</t>
  </si>
  <si>
    <t>External BTU/Lb.</t>
  </si>
  <si>
    <t>Corporate Overheads</t>
  </si>
  <si>
    <t>Working Capital</t>
  </si>
  <si>
    <t>Operating Lease Payment</t>
  </si>
  <si>
    <t>less 1/2 Corp. OHD's</t>
  </si>
  <si>
    <t xml:space="preserve">SO2 </t>
  </si>
  <si>
    <t>Value of Allowances</t>
  </si>
  <si>
    <t>Number Needed (Excess) @ 47.5%</t>
  </si>
  <si>
    <t xml:space="preserve">   TOTAL Cost (Benefit) of SO2 ALLOWANCES</t>
  </si>
  <si>
    <t>SO2 allowance price</t>
  </si>
  <si>
    <t>EMISSIONS CALCULATIONS</t>
  </si>
  <si>
    <t>SO2 Emissions</t>
  </si>
  <si>
    <t>Total Tons of SO2 Emitted</t>
  </si>
  <si>
    <t>Annual SO2 Allowance Allocation</t>
  </si>
  <si>
    <t>SO2 Allowances Deficit (Benefit)</t>
  </si>
  <si>
    <t xml:space="preserve">Total Centralia Annual Tons of SO2 Allowed  </t>
  </si>
  <si>
    <t xml:space="preserve">SO2 Emissions in Tons/yr  </t>
  </si>
  <si>
    <t>OPERATING COSTS Excl. FUEL</t>
  </si>
  <si>
    <t>Plant &amp; Scrubber Incremental:</t>
  </si>
  <si>
    <t>Waste Disposal Costs @47.5%</t>
  </si>
  <si>
    <t>Reagent Costs @47.5%</t>
  </si>
  <si>
    <t>O&amp;M Costs @47.5%</t>
  </si>
  <si>
    <t>Plant Ongoing Property Taxes @47.5%</t>
  </si>
  <si>
    <t>Plant Emission Control Property Taxes @47.5%</t>
  </si>
  <si>
    <t>Plant Ongoing O&amp;M @47.5%</t>
  </si>
  <si>
    <t>Incremental Wholesale Transaction Costs @100%</t>
  </si>
  <si>
    <r>
      <t xml:space="preserve">Plant A&amp;G and Other O&amp;M </t>
    </r>
    <r>
      <rPr>
        <sz val="9"/>
        <rFont val="Tms Rmn"/>
        <family val="0"/>
      </rPr>
      <t>(incremental @ 100% level)</t>
    </r>
  </si>
  <si>
    <t>NOBs A&amp;G &amp; Other O&amp;M Payment @ 0%</t>
  </si>
  <si>
    <t>TOTAL OPERATING COSTS</t>
  </si>
  <si>
    <t>Net Waste Disposal/year</t>
  </si>
  <si>
    <t>1997 dollars</t>
  </si>
  <si>
    <t>Reagent, Steam, Makeup Water, non-fuel Nat Gas,</t>
  </si>
  <si>
    <t>Labor</t>
  </si>
  <si>
    <t>Maintenance</t>
  </si>
  <si>
    <t>Property Tax on Plant in service</t>
  </si>
  <si>
    <t>SO2 Data</t>
  </si>
  <si>
    <t xml:space="preserve">Plant Property Tax Statutory Rate:  </t>
  </si>
  <si>
    <t xml:space="preserve">CENTRALIA PLANT </t>
  </si>
  <si>
    <t>1999 5 YEAR CAPITAL PLAN</t>
  </si>
  <si>
    <t>Direct Project Cost ($000)</t>
  </si>
  <si>
    <t>100% DIRECT COST</t>
  </si>
  <si>
    <t>Project</t>
  </si>
  <si>
    <t>Overhaul</t>
  </si>
  <si>
    <t>Prior</t>
  </si>
  <si>
    <t>Future</t>
  </si>
  <si>
    <t>Description</t>
  </si>
  <si>
    <t>Related "x"</t>
  </si>
  <si>
    <t>Years</t>
  </si>
  <si>
    <t>Direct</t>
  </si>
  <si>
    <t>COMMON, REPLACE 10TH FLOOR ROOF</t>
  </si>
  <si>
    <t>COMMON, REPLACE CRAWLER 10</t>
  </si>
  <si>
    <t>COMMON, REPLACE MISC PUMPS, MOTORS, VALVES, ETC.</t>
  </si>
  <si>
    <t>UNIT #2, REPLACE COOLING TOWER FILL</t>
  </si>
  <si>
    <t>COMMON, EXTEND COAL UNLOADING FACILITY RAIL SPUR</t>
  </si>
  <si>
    <t>COMMON, REPLACE EQUIPMENT FOR YEAR 2000 COMPLIANCE</t>
  </si>
  <si>
    <t>COMMON, REPLACE FLYASH TRANSPORT SYSTEM CONTROLS</t>
  </si>
  <si>
    <t>COMMON, REPLACE ROOF ON TURB AND DEMIN ROOM</t>
  </si>
  <si>
    <t>COMMON, REPLACE JLG MANLIFT</t>
  </si>
  <si>
    <t>COMMON, REPLACE AUX BOILER CONTROLS</t>
  </si>
  <si>
    <t>UNIT #2, REPLACE DISSIMILAR METAL WELDS</t>
  </si>
  <si>
    <t>x</t>
  </si>
  <si>
    <t>UNIT #2, REPLACE PCB TR's</t>
  </si>
  <si>
    <t>COMMON, REPLACE DROTT MOBILE CRANE</t>
  </si>
  <si>
    <t>COMMON, REPLACE 930 LOADER</t>
  </si>
  <si>
    <t>UNIT #2, REPLACE HYDROGEN COOLERS</t>
  </si>
  <si>
    <t>UNIT #2, REPAIR STRUCTURAL STEEL AND THROAT TUBES</t>
  </si>
  <si>
    <t>UNIT #2, CRITICAL PIPING REPAIR (REPLACE HRH ELBOWS)</t>
  </si>
  <si>
    <t>COMMON, REPLACE CEMS, UNIT #1 &amp; UNIT #2</t>
  </si>
  <si>
    <t>UNIT #2, INSTALL MILL INERTING SYSTEM</t>
  </si>
  <si>
    <t>UNIT #2, REWIND GENERATOR (PHASE II INSTALLATION)</t>
  </si>
  <si>
    <t>UNIT #2, REPLACE GENERATOR ROTOR (PHASE I, PARTS)</t>
  </si>
  <si>
    <t>UNIT #2, REPLACE GENERATOR ROTOR (PHASE II, INSTALLATION)</t>
  </si>
  <si>
    <t>UNIT #2, REPLACE AIR PREHEATER BASKETS</t>
  </si>
  <si>
    <t>UNIT #2, REPLACE LODGE PRECIP AVC'S</t>
  </si>
  <si>
    <t>UNIT #2, REPLACE #21 AND #22 AUX TURBINE ALARMS</t>
  </si>
  <si>
    <t>UNIT #1, CRITICAL PIPING REPAIR (REPLACE HRH ELBOWS)</t>
  </si>
  <si>
    <t>UNIT #1, REPLACE PCB TR's</t>
  </si>
  <si>
    <t>UNIT #1, REPLACE HYDROGEN COOLERS</t>
  </si>
  <si>
    <t>UNIT #1, REWIND GENERATOR</t>
  </si>
  <si>
    <t>UNIT #1, INSTALL MILL INERTING SYSTEM</t>
  </si>
  <si>
    <t>UNIT #1, REPLACE LODGE PRECIP AVC'S</t>
  </si>
  <si>
    <t>COMMON, UPGRADE COAL RECLAIM AND GALLERY SYSTEMS</t>
  </si>
  <si>
    <t>UNIT #1, REPLACE #11 &amp; #12 AUX TURBINE ALARMS</t>
  </si>
  <si>
    <t>COMMON, REPLACE CAT 627 SCRAPER</t>
  </si>
  <si>
    <t>COMMON, REPLACE D8 CRAWLER</t>
  </si>
  <si>
    <t>UNIT #1, REPLACE COOLING TOWER FILL</t>
  </si>
  <si>
    <t>SUBTOTAL PLANT PROJECTS &gt;100K</t>
  </si>
  <si>
    <t>SUBTOTAL PLANT PROJECTS &lt;100K</t>
  </si>
  <si>
    <t>TOTAL PLANT CAPITAL PROJECTS</t>
  </si>
  <si>
    <t>Escalation Factor</t>
  </si>
  <si>
    <t>Escalated Capital Cost</t>
  </si>
  <si>
    <t>Capital Projects @ PacifiCorp 47.5% Share</t>
  </si>
  <si>
    <t>Centralia Capital Expenditures (100%)</t>
  </si>
  <si>
    <t>escalation rate</t>
  </si>
  <si>
    <t>Actual Direct Costs - 100%</t>
  </si>
  <si>
    <t>Actual</t>
  </si>
  <si>
    <t>Expenditures</t>
  </si>
  <si>
    <r>
      <t xml:space="preserve">nominal </t>
    </r>
    <r>
      <rPr>
        <sz val="10"/>
        <rFont val="Arial"/>
        <family val="2"/>
      </rPr>
      <t>$</t>
    </r>
  </si>
  <si>
    <t>esc. factor</t>
  </si>
  <si>
    <t>esc to 1999</t>
  </si>
  <si>
    <t>total all years</t>
  </si>
  <si>
    <t>8 year average in 1999$</t>
  </si>
  <si>
    <t>use for modeling after 2003</t>
  </si>
  <si>
    <t>PacifiCorp Share</t>
  </si>
  <si>
    <t>Plant Ongoing Property Taxes @100%</t>
  </si>
  <si>
    <t>Emission Control Capital</t>
  </si>
  <si>
    <t xml:space="preserve">PPW Incremental Cash A&amp;G &amp; Other O&amp;M </t>
  </si>
  <si>
    <t>Plant Coal Handling Savings @ $0.26/ton</t>
  </si>
  <si>
    <t>Centralia O&amp;M Expenditures (100%)</t>
  </si>
  <si>
    <t>From Actual Direct Costs - 100%</t>
  </si>
  <si>
    <t>5 year Plan O&amp;M Expense - 100% - Direct Costs - 1999$</t>
  </si>
  <si>
    <t>Excludes Scrubber O&amp;M</t>
  </si>
  <si>
    <t>1999$</t>
  </si>
  <si>
    <t>nominal $</t>
  </si>
  <si>
    <t>Share</t>
  </si>
  <si>
    <t>Plant closure severance cost</t>
  </si>
  <si>
    <t xml:space="preserve">NOB's Plant A&amp;G &amp; Other O&amp;M   </t>
  </si>
  <si>
    <t>Tax Depreciation Schedules</t>
  </si>
  <si>
    <t>12/31/2001 Plant Closure?</t>
  </si>
  <si>
    <t>1=yes, 0=no</t>
  </si>
  <si>
    <t>Plant Investment</t>
  </si>
  <si>
    <t xml:space="preserve">Total New Plant Capital </t>
  </si>
  <si>
    <t>20 Year Tax Depr. Rates</t>
  </si>
  <si>
    <t>Tax Depreciation</t>
  </si>
  <si>
    <t>Excluding Scrubbing</t>
  </si>
  <si>
    <t>Plant Total</t>
  </si>
  <si>
    <t>Mine Investment</t>
  </si>
  <si>
    <t>Mine Closure on 12/31/==&gt;</t>
  </si>
  <si>
    <t>0=2023;  1=2001</t>
  </si>
  <si>
    <t>7 Year Tax Depr. Rates</t>
  </si>
  <si>
    <t>Mine Total</t>
  </si>
  <si>
    <t>Plant Depreciation - new assets</t>
  </si>
  <si>
    <t>Plant Depreciation - existing assets</t>
  </si>
  <si>
    <t>Mine Depreciation - new assets</t>
  </si>
  <si>
    <t>Mine Depreciation - existing assets</t>
  </si>
  <si>
    <t xml:space="preserve">Tax Depletion </t>
  </si>
  <si>
    <t>All Emissions Control Capital</t>
  </si>
  <si>
    <t>Total Capital Costs By InService Year</t>
  </si>
  <si>
    <t>Capital Costs By InService Year</t>
  </si>
  <si>
    <t>Mine Capex 1999</t>
  </si>
  <si>
    <t>Tax Depreciation Existing assets</t>
  </si>
  <si>
    <r>
      <t>TAX</t>
    </r>
    <r>
      <rPr>
        <u val="single"/>
        <sz val="10"/>
        <rFont val="Times New Roman"/>
        <family val="1"/>
      </rPr>
      <t xml:space="preserve"> Depreciation Summary</t>
    </r>
  </si>
  <si>
    <t>100% Project Cost -Escalated</t>
  </si>
  <si>
    <t>NPV @</t>
  </si>
  <si>
    <t xml:space="preserve">Total </t>
  </si>
  <si>
    <t>Final Reclamation-Probable Case</t>
  </si>
  <si>
    <t>1999 $</t>
  </si>
  <si>
    <t>Escalated $</t>
  </si>
  <si>
    <t>Closure 12/31/2023</t>
  </si>
  <si>
    <t>Phase 3</t>
  </si>
  <si>
    <r>
      <t>PPW</t>
    </r>
    <r>
      <rPr>
        <sz val="10"/>
        <rFont val="Times New Roman"/>
        <family val="1"/>
      </rPr>
      <t xml:space="preserve"> 2023 Closure BOOK Reclamation Costs</t>
    </r>
  </si>
  <si>
    <t>1998 - 2025</t>
  </si>
  <si>
    <t>Plant New Assets Depreciation (Book) (excls AFUDC)</t>
  </si>
  <si>
    <t>Plant Existing Assets Depreciation (Book)</t>
  </si>
  <si>
    <t>Mining New and Existing Assets Depreciation(Book)</t>
  </si>
  <si>
    <r>
      <t xml:space="preserve">Total </t>
    </r>
    <r>
      <rPr>
        <b/>
        <sz val="9"/>
        <rFont val="Times New Roman"/>
        <family val="0"/>
      </rPr>
      <t>Book</t>
    </r>
    <r>
      <rPr>
        <sz val="9"/>
        <rFont val="Times New Roman"/>
        <family val="0"/>
      </rPr>
      <t xml:space="preserve"> Depreciation (excl. AFUDC)</t>
    </r>
  </si>
  <si>
    <t>New Assets AFUDC Depreciation</t>
  </si>
  <si>
    <t>Mine Book Depletion</t>
  </si>
  <si>
    <t>Plant New Assets Depreciation (Tax)</t>
  </si>
  <si>
    <t>Plant Existing Assets Depreciation (Tax)</t>
  </si>
  <si>
    <t>Mining New and Existing Assets Depreciation (Tax)</t>
  </si>
  <si>
    <r>
      <t xml:space="preserve">Total </t>
    </r>
    <r>
      <rPr>
        <b/>
        <sz val="9"/>
        <rFont val="Times New Roman"/>
        <family val="0"/>
      </rPr>
      <t>Tax</t>
    </r>
    <r>
      <rPr>
        <sz val="9"/>
        <rFont val="Times New Roman"/>
        <family val="0"/>
      </rPr>
      <t xml:space="preserve"> Depreciation</t>
    </r>
  </si>
  <si>
    <t>Plant Tax Depreciation</t>
  </si>
  <si>
    <t>Plant Book Depreciation</t>
  </si>
  <si>
    <t>Deferred Tax Expense - Plant</t>
  </si>
  <si>
    <t>Adjustment to Deferred Tax - Plant</t>
  </si>
  <si>
    <t xml:space="preserve">     Adjusted Deferred Tax Expense - Plant</t>
  </si>
  <si>
    <t>Book Depreciation Schedules</t>
  </si>
  <si>
    <r>
      <t xml:space="preserve">12/31/2001 </t>
    </r>
    <r>
      <rPr>
        <b/>
        <sz val="10"/>
        <color indexed="8"/>
        <rFont val="Tms Rmn"/>
        <family val="0"/>
      </rPr>
      <t>Plant</t>
    </r>
    <r>
      <rPr>
        <sz val="10"/>
        <color indexed="8"/>
        <rFont val="Tms Rmn"/>
        <family val="0"/>
      </rPr>
      <t xml:space="preserve"> Closure?</t>
    </r>
  </si>
  <si>
    <t>Additions excl. AFUDC</t>
  </si>
  <si>
    <t>AFUDC Additions</t>
  </si>
  <si>
    <t>New Add'n Book Depr.</t>
  </si>
  <si>
    <t>AFUDC Book Depr.</t>
  </si>
  <si>
    <r>
      <t>BOOK</t>
    </r>
    <r>
      <rPr>
        <u val="single"/>
        <sz val="10"/>
        <rFont val="Tms Rmn"/>
        <family val="0"/>
      </rPr>
      <t xml:space="preserve"> Depreciation and Depletion Summary</t>
    </r>
  </si>
  <si>
    <t>Plant Depreciation - new assets AFUDC</t>
  </si>
  <si>
    <t>Plant Removal Cost</t>
  </si>
  <si>
    <t xml:space="preserve">Mine Total Depreciation - existing &amp; new assets </t>
  </si>
  <si>
    <t>Mine removal Cost</t>
  </si>
  <si>
    <t>Mine Total Depreciation</t>
  </si>
  <si>
    <t>Total Depreciation</t>
  </si>
  <si>
    <t xml:space="preserve">Book Depletion </t>
  </si>
  <si>
    <t>Plant removal cost</t>
  </si>
  <si>
    <t>regulated</t>
  </si>
  <si>
    <t>Pension Termination</t>
  </si>
  <si>
    <t>SALES EFFORT ANALYSIS - ESTIMATE OF EXPENSES</t>
  </si>
  <si>
    <t>(000's)</t>
  </si>
  <si>
    <t>TOTAL</t>
  </si>
  <si>
    <t>Sales Effort Sharing</t>
  </si>
  <si>
    <t xml:space="preserve">Normal Split </t>
  </si>
  <si>
    <t>PPW 68%</t>
  </si>
  <si>
    <t>PPW 47.5%</t>
  </si>
  <si>
    <t>LABOR</t>
  </si>
  <si>
    <t>Borrowed Regular Labor</t>
  </si>
  <si>
    <t>CONTRACTS AND OUTSIDE SERVICES</t>
  </si>
  <si>
    <t>Professional Services</t>
  </si>
  <si>
    <t>ENGINEERING</t>
  </si>
  <si>
    <t>Sargent &amp; Lundy, Centralia Tech Assessment</t>
  </si>
  <si>
    <t>Sargent &amp; Lundy, Cont Comb</t>
  </si>
  <si>
    <t>ENVIRONMENTAL</t>
  </si>
  <si>
    <t xml:space="preserve">IT Corp (Fluor Daniel GTI), Environmental Assessment </t>
  </si>
  <si>
    <t>OTHER PROFESSIONAL SERVICES</t>
  </si>
  <si>
    <t>New Harbor</t>
  </si>
  <si>
    <t>Metro Design Center</t>
  </si>
  <si>
    <t>Express Personnel</t>
  </si>
  <si>
    <t>OTHER MISC. SERVICES</t>
  </si>
  <si>
    <t>LEGAL FEES</t>
  </si>
  <si>
    <t>Stoel Rives</t>
  </si>
  <si>
    <t>OTHER DIRECT EXPENSES</t>
  </si>
  <si>
    <t>Other Direct Expenses</t>
  </si>
  <si>
    <t>Postage</t>
  </si>
  <si>
    <t>Freight</t>
  </si>
  <si>
    <t>EXPENSES BILLED CMC - JOURNAL VOUCHER TO PLANT</t>
  </si>
  <si>
    <t>CMC,  Final Reclamation Study - PAH</t>
  </si>
  <si>
    <t>CMC,  Final Reclamation Study - Marston</t>
  </si>
  <si>
    <t>CMC, Ortho Shop - Topographic Mapping</t>
  </si>
  <si>
    <t>CMC, Misc</t>
  </si>
  <si>
    <t>Employee Business Expenses</t>
  </si>
  <si>
    <t>Business Meals/Entertainment</t>
  </si>
  <si>
    <t>Lodging</t>
  </si>
  <si>
    <t>Mileage Reimbursements</t>
  </si>
  <si>
    <t>Vehicle Rental &amp; Assoc. Expenses</t>
  </si>
  <si>
    <t>Commercial Air Travel</t>
  </si>
  <si>
    <t>Other Employee Business Expense</t>
  </si>
  <si>
    <t>PPW Share:</t>
  </si>
  <si>
    <t>NOBS Share:</t>
  </si>
  <si>
    <t>Notes:</t>
  </si>
  <si>
    <t>1.</t>
  </si>
  <si>
    <t>Includes actual expenses through April 30, 1999 and May estimates</t>
  </si>
  <si>
    <t>2.</t>
  </si>
  <si>
    <t>Expenses reflected in year they were incurred.</t>
  </si>
  <si>
    <t>3.</t>
  </si>
  <si>
    <t>New Harbor includes: $2,000.0 Transaction Fee, $300.0 for 2 mths add'l advisory fees, $402.3 in out of pocket expenses.</t>
  </si>
  <si>
    <t>Capitalized spare parts</t>
  </si>
  <si>
    <t>Mine M&amp;S inventory</t>
  </si>
  <si>
    <t>Plant M&amp;S inventory</t>
  </si>
  <si>
    <t>M&amp;S Plant</t>
  </si>
  <si>
    <t>M&amp;S Mine</t>
  </si>
  <si>
    <t>M&amp;S Mine (100%)</t>
  </si>
  <si>
    <t xml:space="preserve">M&amp;S Plant </t>
  </si>
  <si>
    <r>
      <t xml:space="preserve">Centralia Plant ending 1999 </t>
    </r>
    <r>
      <rPr>
        <sz val="8"/>
        <rFont val="Arial"/>
        <family val="2"/>
      </rPr>
      <t>(includes capitalized spare parts)</t>
    </r>
  </si>
  <si>
    <t>CWIP (plant)</t>
  </si>
  <si>
    <t>CWIP (mine)</t>
  </si>
  <si>
    <t>CENTRALIA  CAPITAL  SPARE  PART  VALUES</t>
  </si>
  <si>
    <t>Stock</t>
  </si>
  <si>
    <t>SAP Asset</t>
  </si>
  <si>
    <t xml:space="preserve">Vintage </t>
  </si>
  <si>
    <t>Est. Net Book</t>
  </si>
  <si>
    <t>Year</t>
  </si>
  <si>
    <t>159-9084</t>
  </si>
  <si>
    <t>250 HP Motor</t>
  </si>
  <si>
    <t>312082201000-1</t>
  </si>
  <si>
    <t>080-7065</t>
  </si>
  <si>
    <t>Gearbox, 1900 HP</t>
  </si>
  <si>
    <t>312082201000-2</t>
  </si>
  <si>
    <t>049-6844</t>
  </si>
  <si>
    <t>700 HP Motor</t>
  </si>
  <si>
    <t>312082201000-3</t>
  </si>
  <si>
    <t>867-9145</t>
  </si>
  <si>
    <t>Pump, Ash</t>
  </si>
  <si>
    <t>312082201000-4</t>
  </si>
  <si>
    <t>052-1013</t>
  </si>
  <si>
    <t>Pulverizer Bowl</t>
  </si>
  <si>
    <t>312082201000-5</t>
  </si>
  <si>
    <t>056-3502</t>
  </si>
  <si>
    <t>Element Assy, Rotating Drawing #14</t>
  </si>
  <si>
    <t>056-3536</t>
  </si>
  <si>
    <t>Element Assy, Rotating For 12x19</t>
  </si>
  <si>
    <t>059-2030</t>
  </si>
  <si>
    <t>Helical Gear</t>
  </si>
  <si>
    <t>059-8722</t>
  </si>
  <si>
    <t>Bowl Hub</t>
  </si>
  <si>
    <t>082-0845</t>
  </si>
  <si>
    <t>Reducer Gear Box</t>
  </si>
  <si>
    <t>119-5792</t>
  </si>
  <si>
    <t>Pump, Boiler Circ</t>
  </si>
  <si>
    <t>312082201000-6</t>
  </si>
  <si>
    <t>100-7767</t>
  </si>
  <si>
    <t>Rotor, Turbine #2</t>
  </si>
  <si>
    <t>314082201000-1</t>
  </si>
  <si>
    <t>100-7768</t>
  </si>
  <si>
    <t>Rotor, Turbine #1</t>
  </si>
  <si>
    <t>Rotor, Generator</t>
  </si>
  <si>
    <t>100-8084</t>
  </si>
  <si>
    <t>Rebuild Kit, Gernerator</t>
  </si>
  <si>
    <t>314082201001-1</t>
  </si>
  <si>
    <t xml:space="preserve">Note:  </t>
  </si>
  <si>
    <t>The SAP Values of these assets represents only PacifiCorp's ownership percentage.</t>
  </si>
  <si>
    <t>The Capital Spare Parts Assets were converted into SAP based upon Vintage Year; thus, multiple "spares" were combined into one asset on SAP.</t>
  </si>
  <si>
    <t>The SAP Asset Values were derived through the Fixed Assets area by bringing in each asset by asset number, going to Asset Value and Depreciation.</t>
  </si>
  <si>
    <t xml:space="preserve">OTHER </t>
  </si>
  <si>
    <t>1999 Additions to PPE (included in plant basis)</t>
  </si>
  <si>
    <t>1999 Additions to PPE (included in mine basis)</t>
  </si>
  <si>
    <t>PPW share of scrubbers Capitalized to plant</t>
  </si>
  <si>
    <t>Tax Depletion at CMC Mine</t>
  </si>
  <si>
    <t>($000)</t>
  </si>
  <si>
    <t>Mine Revenue</t>
  </si>
  <si>
    <t>Less Royalties</t>
  </si>
  <si>
    <t>Revenues Net of Royalties</t>
  </si>
  <si>
    <t>Peliminary Depletion Amount</t>
  </si>
  <si>
    <t>Less Tax Deductible Expenses:</t>
  </si>
  <si>
    <t>Total CMC Controllable Cost</t>
  </si>
  <si>
    <t>Reclamation and Closure(severance)</t>
  </si>
  <si>
    <t>Corporate Overhead</t>
  </si>
  <si>
    <t>Mine Tax Depreciation</t>
  </si>
  <si>
    <t>Operating Lease Payments</t>
  </si>
  <si>
    <t>Taxes-Federal Reclamation</t>
  </si>
  <si>
    <t>Taxes-Federal Excise</t>
  </si>
  <si>
    <t>Taxes-B&amp;O</t>
  </si>
  <si>
    <t>Taxes-WSST</t>
  </si>
  <si>
    <t>Blending/HM Upgrade Incremental Cost</t>
  </si>
  <si>
    <t>Total Tax Deductible Expenses</t>
  </si>
  <si>
    <t>Revenues Net of Royalties &amp; Tax Ded Expnses</t>
  </si>
  <si>
    <t>Note:  CMC Book Depletion is Zero.</t>
  </si>
  <si>
    <t>Per J. Shepherd, Tax Department, Washington State Sales Tax is not included in the depletion calculation.</t>
  </si>
  <si>
    <t>Value of coal</t>
  </si>
  <si>
    <t>Coal Royaltiy</t>
  </si>
  <si>
    <t>Coal Royalty savings from WSST Exemption</t>
  </si>
  <si>
    <t>Gain less Total Tax on Books</t>
  </si>
  <si>
    <t>Calculated After Tax Book Gain</t>
  </si>
  <si>
    <t>Variance</t>
  </si>
  <si>
    <t>Net additions to CWIP (plant)</t>
  </si>
  <si>
    <t>Net additions to CWIP (mine)</t>
  </si>
  <si>
    <t>1999 balance</t>
  </si>
  <si>
    <t xml:space="preserve">Starting </t>
  </si>
  <si>
    <t>amount</t>
  </si>
  <si>
    <t>BALANCE 4/30/1999</t>
  </si>
  <si>
    <t>105 &amp;</t>
  </si>
  <si>
    <t>Deferred Projects ----&gt;  FERC  183</t>
  </si>
  <si>
    <t>BALANCE</t>
  </si>
  <si>
    <t>BAL PPL SHARE</t>
  </si>
  <si>
    <t>ACTIVITIES</t>
  </si>
  <si>
    <t>Centralia Scrubber Study</t>
  </si>
  <si>
    <t>RACT Process for Title Air</t>
  </si>
  <si>
    <t>Scrubber Design</t>
  </si>
  <si>
    <t>Total 183</t>
  </si>
  <si>
    <t>Pension Adjustment Plant</t>
  </si>
  <si>
    <t>Pension Adjustment Mine</t>
  </si>
  <si>
    <t>Deferred Projects</t>
  </si>
  <si>
    <t>Fuel Stock Pile</t>
  </si>
  <si>
    <t>Net cash from sale</t>
  </si>
  <si>
    <t>Adjusted Net Cash</t>
  </si>
  <si>
    <t>PacifiCorp Share 47.5%</t>
  </si>
  <si>
    <t>Accumulated</t>
  </si>
  <si>
    <t>Est. Accumulated</t>
  </si>
  <si>
    <t>Book Value</t>
  </si>
  <si>
    <t>SUB-TOTAL</t>
  </si>
  <si>
    <t>314082201002-2</t>
  </si>
  <si>
    <t>Ext. Coal Earnings on Sulfur Dioxide Account</t>
  </si>
  <si>
    <t>CMC Earnings on Sulfur Dioxide Account</t>
  </si>
  <si>
    <t>amount to allocate</t>
  </si>
  <si>
    <t xml:space="preserve">Mine salvage </t>
  </si>
  <si>
    <t xml:space="preserve">New </t>
  </si>
  <si>
    <t>Salvage</t>
  </si>
  <si>
    <t xml:space="preserve">             DEPRECIATION RATES -  CENTRALIA COAL MINE</t>
  </si>
  <si>
    <t xml:space="preserve">        ESTIMATE WITHOUT SALVAGE</t>
  </si>
  <si>
    <t>RET</t>
  </si>
  <si>
    <t>DEP PROP</t>
  </si>
  <si>
    <t>ACCUM</t>
  </si>
  <si>
    <t>SALVAGE</t>
  </si>
  <si>
    <t>BAL TO BE</t>
  </si>
  <si>
    <t>DEPREC</t>
  </si>
  <si>
    <t>REMAINING</t>
  </si>
  <si>
    <t>RATE PER</t>
  </si>
  <si>
    <t>YEAR</t>
  </si>
  <si>
    <t>BEG OF YR</t>
  </si>
  <si>
    <t>VALUE</t>
  </si>
  <si>
    <t>RECOVERED</t>
  </si>
  <si>
    <t>RATE</t>
  </si>
  <si>
    <t>TONS</t>
  </si>
  <si>
    <t>TON</t>
  </si>
  <si>
    <t>Deprec</t>
  </si>
  <si>
    <t>CENTRALIA MINE 203000</t>
  </si>
  <si>
    <t>DL#101</t>
  </si>
  <si>
    <t>DL#106</t>
  </si>
  <si>
    <t>DL#111</t>
  </si>
  <si>
    <t>-</t>
  </si>
  <si>
    <t xml:space="preserve">   SUB-TOTAL</t>
  </si>
  <si>
    <t>FEE LAND</t>
  </si>
  <si>
    <t>MINERAL RIGHTS</t>
  </si>
  <si>
    <t>LEASED EQUIP</t>
  </si>
  <si>
    <t xml:space="preserve">   TOTAL 203000</t>
  </si>
  <si>
    <t>TONS MINED DURING THE YEAR:</t>
  </si>
  <si>
    <t>Adjustment to balance</t>
  </si>
  <si>
    <t>Regulated Depreciation</t>
  </si>
  <si>
    <t>PPW portion</t>
  </si>
  <si>
    <t>7 Year Depr. Rates</t>
  </si>
  <si>
    <t>04/30/98 BALANCE</t>
  </si>
  <si>
    <t>1/1/99-5/31/99</t>
  </si>
  <si>
    <t>1/1/99 - 6/30/99</t>
  </si>
  <si>
    <t>NET BALANCE</t>
  </si>
  <si>
    <t>Mine M&amp;S</t>
  </si>
  <si>
    <t>Pension Adjustments</t>
  </si>
  <si>
    <t>Current Annual Transmission Costs</t>
  </si>
  <si>
    <t>Annual Costs without Centralia</t>
  </si>
  <si>
    <t>Incremental Annual Transmission Cost</t>
  </si>
  <si>
    <t>Monthly Demand (kW)</t>
  </si>
  <si>
    <t>Monthly Rate</t>
  </si>
  <si>
    <t>Months</t>
  </si>
  <si>
    <t>Current Transmission Agreement Rate ($/kW/yr*</t>
  </si>
  <si>
    <t>Current Annual Charges</t>
  </si>
  <si>
    <t>*  PacifiCorp and Bonneville Power Administration havea Transmission Agreement for the Centralia Thermal Project, Dated August 31, 1971</t>
  </si>
  <si>
    <t>Centralia Transmission.xls</t>
  </si>
  <si>
    <t>M&amp;S Plant (100%)</t>
  </si>
  <si>
    <t>1/1/99 -4/30/99</t>
  </si>
  <si>
    <t>Contingent Liabilities</t>
  </si>
  <si>
    <t>Sales tax For KEEP CASE</t>
  </si>
  <si>
    <t>M</t>
  </si>
  <si>
    <t>High, Base and Low Cases</t>
  </si>
  <si>
    <t>HIGH</t>
  </si>
  <si>
    <t>LOW</t>
  </si>
  <si>
    <t>H</t>
  </si>
  <si>
    <t>L</t>
  </si>
  <si>
    <t>Base Annual Capacity Factor</t>
  </si>
  <si>
    <t>Low Annual Capacity Factor</t>
  </si>
  <si>
    <t>High Annual Capacity Factor</t>
  </si>
  <si>
    <t>Fuel Oil Inventory</t>
  </si>
  <si>
    <t>Fuel Stock Inventory</t>
  </si>
  <si>
    <t>GENERAL DATA</t>
  </si>
  <si>
    <t>PLANT DATA</t>
  </si>
  <si>
    <t>MINE DATA</t>
  </si>
  <si>
    <t>SCRUBBER DATA</t>
  </si>
  <si>
    <t>Additions from Christine Jackson</t>
  </si>
  <si>
    <t>Forward e-mail from Susan Chao</t>
  </si>
  <si>
    <t>Plant Ongoing Capital</t>
  </si>
  <si>
    <t>CMC Capital Expenditures (100%)</t>
  </si>
  <si>
    <t>esc to year spent</t>
  </si>
  <si>
    <t>Less land</t>
  </si>
  <si>
    <t xml:space="preserve">Existing Plant </t>
  </si>
  <si>
    <t>to be depreciated</t>
  </si>
  <si>
    <t>Mine Investment Existing Assets</t>
  </si>
  <si>
    <t>Mine Investment New  Assets</t>
  </si>
  <si>
    <t>Regulated Assets Calculation</t>
  </si>
  <si>
    <t>From Mining Department</t>
  </si>
  <si>
    <t>Total Assets Calculation</t>
  </si>
  <si>
    <t>Land Value Plant (PacifiCorp Share)</t>
  </si>
  <si>
    <t>Plant Investment Existing Assets</t>
  </si>
  <si>
    <t>Plant Investment New Assets</t>
  </si>
  <si>
    <t>REGULATED DEFERRED TAX BALANCES</t>
  </si>
  <si>
    <t xml:space="preserve">Regulated </t>
  </si>
  <si>
    <t>Deferred Tax</t>
  </si>
  <si>
    <t>Balances</t>
  </si>
  <si>
    <t>Plant Deferred Taxes</t>
  </si>
  <si>
    <t>Regulated Mine Deferred Taxes</t>
  </si>
  <si>
    <t>Regulated Deferred Stripping</t>
  </si>
  <si>
    <t>Non-Reg. Deferred Stripping</t>
  </si>
  <si>
    <t>Total Regulated Mine Deferred Taxes</t>
  </si>
  <si>
    <t>Generation Plant</t>
  </si>
  <si>
    <t xml:space="preserve">     Adjustment for Unprovided Deferred Tax Expense</t>
  </si>
  <si>
    <t>CMC Mine</t>
  </si>
  <si>
    <t>Sub Total</t>
  </si>
  <si>
    <t>Contingent Liabilities Plant</t>
  </si>
  <si>
    <t>Contingent Liabilities Mine</t>
  </si>
  <si>
    <t>Share Gain for Rate Payer Benefit</t>
  </si>
  <si>
    <t>plus</t>
  </si>
  <si>
    <t>System Net Power Cost</t>
  </si>
  <si>
    <t>Rate Base</t>
  </si>
  <si>
    <t>Adjustment</t>
  </si>
  <si>
    <t>Total System Net Power Cost</t>
  </si>
  <si>
    <t xml:space="preserve">POWER COST </t>
  </si>
  <si>
    <t>High</t>
  </si>
  <si>
    <t>Medium</t>
  </si>
  <si>
    <t>Low</t>
  </si>
  <si>
    <t>rr</t>
  </si>
  <si>
    <t>sell</t>
  </si>
  <si>
    <t>NET POWER COST with out</t>
  </si>
  <si>
    <t>NET POWER COST with</t>
  </si>
  <si>
    <t>Amount  / Tons</t>
  </si>
  <si>
    <t>Regulated  Amount</t>
  </si>
  <si>
    <t>Escalation Rate</t>
  </si>
  <si>
    <t>CPIW for coal</t>
  </si>
  <si>
    <t>CMC Regulated Tons</t>
  </si>
  <si>
    <t>Average Net $/ton</t>
  </si>
  <si>
    <t>CMC ton cost</t>
  </si>
  <si>
    <t>External tons Cost</t>
  </si>
  <si>
    <t>Average cost per ton used</t>
  </si>
  <si>
    <t>CENTRALIA PLANT &amp; MINE</t>
  </si>
  <si>
    <t>TRANSACTION EXPENSES</t>
  </si>
  <si>
    <t>PPL</t>
  </si>
  <si>
    <t>JOINT OWNER</t>
  </si>
  <si>
    <t>ACTUAL INCURRED EXPENSES</t>
  </si>
  <si>
    <t>YTD Expense Cost</t>
  </si>
  <si>
    <t>Deferred Costs</t>
  </si>
  <si>
    <t>FORECAST EXPENSES</t>
  </si>
  <si>
    <t>CMC Related Charges</t>
  </si>
  <si>
    <t>Forecast 6 month</t>
  </si>
  <si>
    <t>Termination Fee</t>
  </si>
  <si>
    <t>Misc Legal Expense</t>
  </si>
  <si>
    <t>Other Forecast Remaining Exp</t>
  </si>
  <si>
    <t>Reserved: Sale Indemnity Cost</t>
  </si>
  <si>
    <t>Return on Rate Base</t>
  </si>
  <si>
    <t>Cost of Capital</t>
  </si>
  <si>
    <t>End of term Capex % Reduction</t>
  </si>
  <si>
    <t>Equity Return</t>
  </si>
  <si>
    <t>Sub total</t>
  </si>
  <si>
    <t>A</t>
  </si>
  <si>
    <t>B</t>
  </si>
  <si>
    <t>A*B=C</t>
  </si>
  <si>
    <t>D</t>
  </si>
  <si>
    <t>Plant Tax Depreciation - new assets</t>
  </si>
  <si>
    <t>Plant Tax Depreciation - existing assets</t>
  </si>
  <si>
    <t>E</t>
  </si>
  <si>
    <t>F</t>
  </si>
  <si>
    <t>PPW Share</t>
  </si>
  <si>
    <t>G</t>
  </si>
  <si>
    <t>(E+F)*G=H</t>
  </si>
  <si>
    <t>Book Depreciation               Sub total</t>
  </si>
  <si>
    <t>Deferred Taxes                      Sub total</t>
  </si>
  <si>
    <t>I</t>
  </si>
  <si>
    <t>Tax Rate/(1-Tax Rate)</t>
  </si>
  <si>
    <t>C+D-H+I=J</t>
  </si>
  <si>
    <t>K</t>
  </si>
  <si>
    <t>(J*K)=L</t>
  </si>
  <si>
    <t>Tax Calculation for Plant</t>
  </si>
  <si>
    <t>Tax Calculation for Mine</t>
  </si>
  <si>
    <t>PPW Share existing assets</t>
  </si>
  <si>
    <t>PPW Share new assets</t>
  </si>
  <si>
    <t>(E*H)+(F*G)=I</t>
  </si>
  <si>
    <t>J</t>
  </si>
  <si>
    <t xml:space="preserve">Mine Tax Depletion @ 47.5%  </t>
  </si>
  <si>
    <t xml:space="preserve">Book Depletion    </t>
  </si>
  <si>
    <t xml:space="preserve">Regulated Book Depreciation      </t>
  </si>
  <si>
    <t>N</t>
  </si>
  <si>
    <t>C+D-I+J-K+L-M+N=O</t>
  </si>
  <si>
    <t>P</t>
  </si>
  <si>
    <t>(O*P)=Q</t>
  </si>
  <si>
    <t xml:space="preserve">Wholesales % reduction </t>
  </si>
  <si>
    <t>Capital Spare Parts</t>
  </si>
  <si>
    <t>TOTAL CAPITAL SPARE PARTS @ 47.5%</t>
  </si>
  <si>
    <t>TOTAL CAPITAL SPARE PARTS @ 100%</t>
  </si>
  <si>
    <t>TOTAL CAPITAL SPARE PARTS ADD TO 101 @ 47.5%</t>
  </si>
  <si>
    <t>Return on reduced regulatory assets</t>
  </si>
  <si>
    <t>REGULATED REVENUE REQUIREMENT</t>
  </si>
  <si>
    <t>Total Balance @ 6/30/99</t>
  </si>
  <si>
    <t>Period: July 31 through December 31, 1999</t>
  </si>
  <si>
    <t>End of June</t>
  </si>
  <si>
    <t>Total Replacement Wholesale Transmission Exp.</t>
  </si>
  <si>
    <t>After Tax Book (ATB) Gain (Loss)</t>
  </si>
  <si>
    <t>Capitalized Spares</t>
  </si>
  <si>
    <t xml:space="preserve">Fuel stock-pile &amp; Oil Inventory </t>
  </si>
  <si>
    <t>Pension Adjustments Mine (100%)</t>
  </si>
  <si>
    <t>Pension Adjustments Plant (47.5%)</t>
  </si>
  <si>
    <t>CASH</t>
  </si>
  <si>
    <t>Liabilities</t>
  </si>
  <si>
    <t>Plant 47.5%</t>
  </si>
  <si>
    <t>Contingent Liability Mine</t>
  </si>
  <si>
    <t>Contingent Liability Plant</t>
  </si>
  <si>
    <t>Wieghted</t>
  </si>
  <si>
    <t xml:space="preserve">After </t>
  </si>
  <si>
    <t>Before</t>
  </si>
  <si>
    <t>m</t>
  </si>
  <si>
    <t>Centralia (PPW Share after line 11)</t>
  </si>
  <si>
    <t>average historical esc to 2004</t>
  </si>
  <si>
    <t>5- yr Plan Direct Costs - 100%</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</si>
</sst>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0_);\(#,##0.0000\)"/>
    <numFmt numFmtId="167" formatCode="General_)"/>
    <numFmt numFmtId="168" formatCode="_(* #,##0.0_);_(* \(#,##0.0\);_(* &quot;-&quot;??_);_(@_)"/>
    <numFmt numFmtId="169" formatCode="&quot;$&quot;#,##0.000"/>
    <numFmt numFmtId="170" formatCode="&quot;$&quot;#,##0"/>
    <numFmt numFmtId="171" formatCode="&quot;$&quot;#,##0.00"/>
    <numFmt numFmtId="172" formatCode="mm/dd/yy"/>
    <numFmt numFmtId="173" formatCode="0.000%"/>
    <numFmt numFmtId="174" formatCode="0.0000%"/>
    <numFmt numFmtId="175" formatCode="0.0"/>
    <numFmt numFmtId="176" formatCode="0.00000000000000%"/>
    <numFmt numFmtId="177" formatCode="_(* #,##0.00000_);_(* \(#,##0.00000\);_(* &quot;-&quot;??_);_(@_)"/>
    <numFmt numFmtId="178" formatCode="_(&quot;$&quot;* #,##0.0000_);_(&quot;$&quot;* \(#,##0.0000\);_(&quot;$&quot;* &quot;-&quot;??_);_(@_)"/>
    <numFmt numFmtId="179" formatCode="_(* #,##0.000_);_(* \(#,##0.000\);_(* &quot;-&quot;_);_(@_)"/>
    <numFmt numFmtId="180" formatCode="0_);\(0\)"/>
    <numFmt numFmtId="181" formatCode="_(* #,##0.0000_);_(* \(#,##0.0000\);_(* &quot;-&quot;??_);_(@_)"/>
    <numFmt numFmtId="182" formatCode="_(* #,##0.0000_);_(* \(#,##0.0000\);_(* &quot;-&quot;????_);_(@_)"/>
    <numFmt numFmtId="183" formatCode="#,##0.000_);\(#,##0.000\)"/>
    <numFmt numFmtId="184" formatCode="_(* #,##0.000_);_(* \(#,##0.000\);_(* &quot;-&quot;??_);_(@_)"/>
    <numFmt numFmtId="185" formatCode="&quot;$&quot;\ #,##0_);\(&quot;$&quot;\ #,##0\)"/>
    <numFmt numFmtId="186" formatCode="_(* #,##0.0_);_(* \(#,##0.0\);_(* &quot;-&quot;?_);_(@_)"/>
    <numFmt numFmtId="187" formatCode="_(* #,##0.0_);_(* \(#,##0.0\);_(* &quot;-&quot;_);_(@_)"/>
    <numFmt numFmtId="188" formatCode="_(* #,##0_);_(* \(#,##0\);_(* &quot;-&quot;?_);_(@_)"/>
    <numFmt numFmtId="189" formatCode="0.000"/>
    <numFmt numFmtId="190" formatCode="&quot;$&quot;#,##0.0_);\(&quot;$&quot;#,##0.0\)"/>
    <numFmt numFmtId="191" formatCode="#,##0.000000000"/>
    <numFmt numFmtId="192" formatCode="0.00000"/>
    <numFmt numFmtId="193" formatCode="0.0000"/>
    <numFmt numFmtId="194" formatCode="&quot;$&quot;#,##0.000_);[Red]\(&quot;$&quot;#,##0.000\)"/>
    <numFmt numFmtId="195" formatCode="#,##0.0000000000000_);\(#,##0.0000000000000\)"/>
    <numFmt numFmtId="196" formatCode="_(&quot;$&quot;* #,##0.0_);_(&quot;$&quot;* \(#,##0.0\);_(&quot;$&quot;* &quot;-&quot;??_);_(@_)"/>
    <numFmt numFmtId="197" formatCode="_(* #,##0.00_);_(* \(#,##0.00\);_(* &quot;-&quot;_);_(@_)"/>
    <numFmt numFmtId="198" formatCode="_(* #,##0.0000_);_(* \(#,##0.0000\);_(* &quot;-&quot;_);_(@_)"/>
    <numFmt numFmtId="199" formatCode="_(* #,##0.00000_);_(* \(#,##0.00000\);_(* &quot;-&quot;_);_(@_)"/>
    <numFmt numFmtId="200" formatCode="_(* #,##0.000000_);_(* \(#,##0.000000\);_(* &quot;-&quot;_);_(@_)"/>
    <numFmt numFmtId="201" formatCode="0.0000000000000%"/>
    <numFmt numFmtId="202" formatCode="_(* #,##0.000_);_(* \(#,##0.000\);_(* &quot;-&quot;???_);_(@_)"/>
    <numFmt numFmtId="203" formatCode="_(&quot;$&quot;* #,##0_);_(&quot;$&quot;* \(#,##0\);_(&quot;$&quot;* &quot;-&quot;??_);_(@_)"/>
    <numFmt numFmtId="204" formatCode="0.0000000000"/>
    <numFmt numFmtId="205" formatCode="0.000000000000000%"/>
    <numFmt numFmtId="206" formatCode="_(&quot;$&quot;* #,##0.000_);_(&quot;$&quot;* \(#,##0.000\);_(&quot;$&quot;* &quot;-&quot;??_);_(@_)"/>
    <numFmt numFmtId="207" formatCode="_(* #,##0.00000_);_(* \(#,##0.00000\);_(* &quot;-&quot;?????_);_(@_)"/>
    <numFmt numFmtId="208" formatCode="_(&quot;$&quot;* #,##0.000_);_(&quot;$&quot;* \(#,##0.000\);_(&quot;$&quot;* &quot;-&quot;???_);_(@_)"/>
    <numFmt numFmtId="209" formatCode="#,##0.0"/>
  </numFmts>
  <fonts count="107">
    <font>
      <sz val="10"/>
      <name val="Arial"/>
      <family val="0"/>
    </font>
    <font>
      <sz val="14"/>
      <name val="Arial"/>
      <family val="2"/>
    </font>
    <font>
      <b/>
      <sz val="10"/>
      <name val="Arial"/>
      <family val="2"/>
    </font>
    <font>
      <u val="single"/>
      <sz val="10"/>
      <name val="Arial"/>
      <family val="2"/>
    </font>
    <font>
      <b/>
      <u val="single"/>
      <sz val="10"/>
      <name val="Arial"/>
      <family val="2"/>
    </font>
    <font>
      <sz val="10"/>
      <name val="Times New Roman"/>
      <family val="1"/>
    </font>
    <font>
      <sz val="10"/>
      <name val="Geneva"/>
      <family val="0"/>
    </font>
    <font>
      <sz val="8"/>
      <name val="Tahoma"/>
      <family val="0"/>
    </font>
    <font>
      <b/>
      <sz val="8"/>
      <name val="Tahoma"/>
      <family val="0"/>
    </font>
    <font>
      <sz val="10"/>
      <color indexed="12"/>
      <name val="Arial"/>
      <family val="2"/>
    </font>
    <font>
      <u val="single"/>
      <sz val="10"/>
      <color indexed="12"/>
      <name val="Arial"/>
      <family val="2"/>
    </font>
    <font>
      <b/>
      <sz val="10"/>
      <color indexed="12"/>
      <name val="Arial"/>
      <family val="2"/>
    </font>
    <font>
      <b/>
      <i/>
      <u val="single"/>
      <sz val="18"/>
      <color indexed="8"/>
      <name val="Times New Roman"/>
      <family val="1"/>
    </font>
    <font>
      <sz val="10"/>
      <color indexed="8"/>
      <name val="Times New Roman"/>
      <family val="1"/>
    </font>
    <font>
      <b/>
      <u val="single"/>
      <sz val="14"/>
      <name val="Times New Roman"/>
      <family val="1"/>
    </font>
    <font>
      <b/>
      <u val="single"/>
      <sz val="12"/>
      <name val="Times New Roman"/>
      <family val="0"/>
    </font>
    <font>
      <b/>
      <sz val="12"/>
      <name val="Times New Roman"/>
      <family val="0"/>
    </font>
    <font>
      <sz val="12"/>
      <name val="Times New Roman"/>
      <family val="0"/>
    </font>
    <font>
      <sz val="9"/>
      <name val="Times New Roman"/>
      <family val="1"/>
    </font>
    <font>
      <u val="single"/>
      <sz val="9"/>
      <name val="Times New Roman"/>
      <family val="1"/>
    </font>
    <font>
      <u val="single"/>
      <sz val="10"/>
      <name val="Times New Roman"/>
      <family val="1"/>
    </font>
    <font>
      <sz val="10"/>
      <color indexed="12"/>
      <name val="Times New Roman"/>
      <family val="1"/>
    </font>
    <font>
      <sz val="10"/>
      <color indexed="10"/>
      <name val="Times New Roman"/>
      <family val="1"/>
    </font>
    <font>
      <b/>
      <sz val="10"/>
      <color indexed="8"/>
      <name val="Times New Roman"/>
      <family val="1"/>
    </font>
    <font>
      <sz val="10"/>
      <name val="Tms Rmn"/>
      <family val="0"/>
    </font>
    <font>
      <sz val="10"/>
      <name val="MS Sans Serif"/>
      <family val="0"/>
    </font>
    <font>
      <b/>
      <sz val="14"/>
      <name val="Times New Roman"/>
      <family val="1"/>
    </font>
    <font>
      <sz val="8"/>
      <name val="Times New Roman"/>
      <family val="1"/>
    </font>
    <font>
      <u val="singleAccounting"/>
      <sz val="10"/>
      <color indexed="8"/>
      <name val="Times New Roman"/>
      <family val="1"/>
    </font>
    <font>
      <b/>
      <sz val="14"/>
      <color indexed="8"/>
      <name val="Times New Roman"/>
      <family val="1"/>
    </font>
    <font>
      <b/>
      <u val="single"/>
      <sz val="10"/>
      <color indexed="8"/>
      <name val="Tms Rmn"/>
      <family val="0"/>
    </font>
    <font>
      <sz val="10"/>
      <color indexed="8"/>
      <name val="Tms Rmn"/>
      <family val="0"/>
    </font>
    <font>
      <b/>
      <sz val="10"/>
      <color indexed="8"/>
      <name val="Tms Rmn"/>
      <family val="0"/>
    </font>
    <font>
      <u val="single"/>
      <sz val="10"/>
      <color indexed="8"/>
      <name val="Tms Rmn"/>
      <family val="0"/>
    </font>
    <font>
      <b/>
      <sz val="12"/>
      <color indexed="8"/>
      <name val="Tms Rmn"/>
      <family val="0"/>
    </font>
    <font>
      <sz val="10"/>
      <color indexed="12"/>
      <name val="Tms Rmn"/>
      <family val="0"/>
    </font>
    <font>
      <u val="single"/>
      <sz val="10"/>
      <color indexed="12"/>
      <name val="Times New Roman"/>
      <family val="1"/>
    </font>
    <font>
      <b/>
      <sz val="10"/>
      <color indexed="12"/>
      <name val="Times New Roman"/>
      <family val="1"/>
    </font>
    <font>
      <sz val="10"/>
      <color indexed="8"/>
      <name val="Arial"/>
      <family val="2"/>
    </font>
    <font>
      <sz val="10"/>
      <color indexed="10"/>
      <name val="Arial"/>
      <family val="2"/>
    </font>
    <font>
      <sz val="12"/>
      <name val="Arial"/>
      <family val="2"/>
    </font>
    <font>
      <sz val="10"/>
      <color indexed="48"/>
      <name val="Arial"/>
      <family val="2"/>
    </font>
    <font>
      <u val="singleAccounting"/>
      <sz val="10"/>
      <name val="Arial"/>
      <family val="2"/>
    </font>
    <font>
      <sz val="14"/>
      <name val="Times New Roman"/>
      <family val="1"/>
    </font>
    <font>
      <b/>
      <i/>
      <u val="single"/>
      <sz val="12"/>
      <name val="Times New Roman"/>
      <family val="1"/>
    </font>
    <font>
      <u val="single"/>
      <sz val="10"/>
      <color indexed="36"/>
      <name val="Arial"/>
      <family val="0"/>
    </font>
    <font>
      <sz val="10"/>
      <color indexed="10"/>
      <name val="Tms Rmn"/>
      <family val="0"/>
    </font>
    <font>
      <u val="single"/>
      <sz val="10"/>
      <color indexed="10"/>
      <name val="Tms Rmn"/>
      <family val="0"/>
    </font>
    <font>
      <sz val="7"/>
      <name val="Arial"/>
      <family val="2"/>
    </font>
    <font>
      <b/>
      <u val="double"/>
      <sz val="10"/>
      <name val="Arial"/>
      <family val="0"/>
    </font>
    <font>
      <sz val="8"/>
      <name val="Arial"/>
      <family val="2"/>
    </font>
    <font>
      <sz val="22"/>
      <name val="Arial"/>
      <family val="2"/>
    </font>
    <font>
      <b/>
      <u val="single"/>
      <sz val="9"/>
      <name val="Arial"/>
      <family val="2"/>
    </font>
    <font>
      <b/>
      <sz val="8"/>
      <name val="Arial"/>
      <family val="2"/>
    </font>
    <font>
      <sz val="10"/>
      <color indexed="9"/>
      <name val="Arial"/>
      <family val="2"/>
    </font>
    <font>
      <u val="single"/>
      <sz val="10"/>
      <color indexed="8"/>
      <name val="Times New Roman"/>
      <family val="1"/>
    </font>
    <font>
      <sz val="10"/>
      <color indexed="18"/>
      <name val="Tms Rmn"/>
      <family val="0"/>
    </font>
    <font>
      <b/>
      <u val="single"/>
      <sz val="10"/>
      <color indexed="8"/>
      <name val="Times New Roman"/>
      <family val="0"/>
    </font>
    <font>
      <sz val="11"/>
      <color indexed="8"/>
      <name val="Times New Roman"/>
      <family val="1"/>
    </font>
    <font>
      <b/>
      <u val="single"/>
      <sz val="11"/>
      <color indexed="8"/>
      <name val="Times New Roman"/>
      <family val="1"/>
    </font>
    <font>
      <b/>
      <sz val="11"/>
      <color indexed="8"/>
      <name val="Times New Roman"/>
      <family val="1"/>
    </font>
    <font>
      <b/>
      <sz val="12"/>
      <color indexed="8"/>
      <name val="Times New Roman"/>
      <family val="1"/>
    </font>
    <font>
      <sz val="10"/>
      <color indexed="18"/>
      <name val="Times New Roman"/>
      <family val="1"/>
    </font>
    <font>
      <sz val="9"/>
      <name val="Tms Rmn"/>
      <family val="0"/>
    </font>
    <font>
      <b/>
      <sz val="11"/>
      <name val="Helv"/>
      <family val="0"/>
    </font>
    <font>
      <b/>
      <sz val="12"/>
      <name val="Helv"/>
      <family val="0"/>
    </font>
    <font>
      <b/>
      <sz val="9"/>
      <name val="Helv"/>
      <family val="0"/>
    </font>
    <font>
      <b/>
      <sz val="8"/>
      <name val="Helv"/>
      <family val="0"/>
    </font>
    <font>
      <b/>
      <sz val="9"/>
      <name val="Arial"/>
      <family val="2"/>
    </font>
    <font>
      <sz val="9"/>
      <name val="Arial"/>
      <family val="2"/>
    </font>
    <font>
      <sz val="9"/>
      <color indexed="12"/>
      <name val="Arial"/>
      <family val="2"/>
    </font>
    <font>
      <b/>
      <sz val="14"/>
      <name val="Arial"/>
      <family val="2"/>
    </font>
    <font>
      <b/>
      <sz val="10"/>
      <color indexed="14"/>
      <name val="Arial"/>
      <family val="2"/>
    </font>
    <font>
      <b/>
      <u val="single"/>
      <sz val="12"/>
      <name val="Tms Rmn"/>
      <family val="0"/>
    </font>
    <font>
      <u val="single"/>
      <sz val="10"/>
      <color indexed="12"/>
      <name val="Tms Rmn"/>
      <family val="0"/>
    </font>
    <font>
      <u val="single"/>
      <sz val="10"/>
      <name val="Tms Rmn"/>
      <family val="0"/>
    </font>
    <font>
      <b/>
      <u val="single"/>
      <sz val="10"/>
      <name val="Tms Rmn"/>
      <family val="0"/>
    </font>
    <font>
      <b/>
      <u val="single"/>
      <sz val="10"/>
      <name val="Times New Roman"/>
      <family val="1"/>
    </font>
    <font>
      <u val="single"/>
      <sz val="9"/>
      <color indexed="8"/>
      <name val="Times New Roman"/>
      <family val="0"/>
    </font>
    <font>
      <b/>
      <sz val="9"/>
      <name val="Times New Roman"/>
      <family val="0"/>
    </font>
    <font>
      <sz val="9"/>
      <name val="Geneva"/>
      <family val="0"/>
    </font>
    <font>
      <u val="single"/>
      <sz val="9"/>
      <color indexed="10"/>
      <name val="Times New Roman"/>
      <family val="1"/>
    </font>
    <font>
      <sz val="9"/>
      <color indexed="12"/>
      <name val="Times New Roman"/>
      <family val="1"/>
    </font>
    <font>
      <u val="single"/>
      <sz val="9"/>
      <color indexed="12"/>
      <name val="Times New Roman"/>
      <family val="1"/>
    </font>
    <font>
      <b/>
      <sz val="10"/>
      <color indexed="12"/>
      <name val="Tms Rmn"/>
      <family val="0"/>
    </font>
    <font>
      <b/>
      <sz val="12"/>
      <name val="Arial"/>
      <family val="2"/>
    </font>
    <font>
      <b/>
      <i/>
      <sz val="10"/>
      <name val="Arial"/>
      <family val="2"/>
    </font>
    <font>
      <u val="singleAccounting"/>
      <sz val="10"/>
      <color indexed="10"/>
      <name val="Arial"/>
      <family val="2"/>
    </font>
    <font>
      <b/>
      <sz val="18"/>
      <name val="Arial"/>
      <family val="0"/>
    </font>
    <font>
      <sz val="18"/>
      <name val="Arial"/>
      <family val="0"/>
    </font>
    <font>
      <b/>
      <sz val="10"/>
      <color indexed="8"/>
      <name val="Arial"/>
      <family val="0"/>
    </font>
    <font>
      <u val="single"/>
      <sz val="10"/>
      <color indexed="8"/>
      <name val="Arial"/>
      <family val="0"/>
    </font>
    <font>
      <b/>
      <u val="single"/>
      <sz val="10"/>
      <color indexed="8"/>
      <name val="Arial"/>
      <family val="0"/>
    </font>
    <font>
      <u val="singleAccounting"/>
      <sz val="10"/>
      <color indexed="8"/>
      <name val="Arial"/>
      <family val="2"/>
    </font>
    <font>
      <sz val="8"/>
      <color indexed="8"/>
      <name val="Times New Roman"/>
      <family val="1"/>
    </font>
    <font>
      <sz val="9"/>
      <name val="MS Sans Serif"/>
      <family val="0"/>
    </font>
    <font>
      <sz val="9"/>
      <color indexed="12"/>
      <name val="MS Sans Serif"/>
      <family val="2"/>
    </font>
    <font>
      <sz val="9"/>
      <color indexed="10"/>
      <name val="MS Sans Serif"/>
      <family val="2"/>
    </font>
    <font>
      <sz val="10"/>
      <color indexed="9"/>
      <name val="Times New Roman"/>
      <family val="1"/>
    </font>
    <font>
      <b/>
      <u val="single"/>
      <sz val="14"/>
      <name val="Tms Rmn"/>
      <family val="0"/>
    </font>
    <font>
      <b/>
      <u val="singleAccounting"/>
      <sz val="12"/>
      <name val="Arial"/>
      <family val="2"/>
    </font>
    <font>
      <b/>
      <sz val="14"/>
      <name val="Tms Rmn"/>
      <family val="0"/>
    </font>
    <font>
      <b/>
      <u val="single"/>
      <sz val="12"/>
      <name val="Arial"/>
      <family val="2"/>
    </font>
    <font>
      <b/>
      <sz val="10"/>
      <color indexed="10"/>
      <name val="Arial"/>
      <family val="2"/>
    </font>
    <font>
      <u val="single"/>
      <sz val="9"/>
      <name val="Arial"/>
      <family val="2"/>
    </font>
    <font>
      <b/>
      <sz val="10"/>
      <name val="Geneva"/>
      <family val="0"/>
    </font>
    <font>
      <u val="single"/>
      <sz val="10"/>
      <color indexed="10"/>
      <name val="Arial"/>
      <family val="2"/>
    </font>
  </fonts>
  <fills count="13">
    <fill>
      <patternFill/>
    </fill>
    <fill>
      <patternFill patternType="gray125"/>
    </fill>
    <fill>
      <patternFill patternType="solid">
        <fgColor indexed="51"/>
        <bgColor indexed="64"/>
      </patternFill>
    </fill>
    <fill>
      <patternFill patternType="solid">
        <fgColor indexed="44"/>
        <bgColor indexed="64"/>
      </patternFill>
    </fill>
    <fill>
      <patternFill patternType="solid">
        <fgColor indexed="22"/>
        <bgColor indexed="64"/>
      </patternFill>
    </fill>
    <fill>
      <patternFill patternType="solid">
        <fgColor indexed="12"/>
        <bgColor indexed="64"/>
      </patternFill>
    </fill>
    <fill>
      <patternFill patternType="solid">
        <fgColor indexed="10"/>
        <bgColor indexed="64"/>
      </patternFill>
    </fill>
    <fill>
      <patternFill patternType="solid">
        <fgColor indexed="8"/>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s>
  <borders count="38">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thin"/>
      <right style="thin"/>
      <top style="double"/>
      <bottom style="thin"/>
    </border>
    <border>
      <left style="thin"/>
      <right style="double"/>
      <top style="double"/>
      <bottom style="thin"/>
    </border>
    <border>
      <left style="thin"/>
      <right style="thin"/>
      <top>
        <color indexed="63"/>
      </top>
      <bottom style="thin"/>
    </border>
    <border>
      <left style="thin"/>
      <right style="double"/>
      <top>
        <color indexed="63"/>
      </top>
      <bottom style="thin"/>
    </border>
    <border>
      <left style="medium"/>
      <right style="medium"/>
      <top style="medium"/>
      <bottom style="medium"/>
    </border>
    <border>
      <left style="medium"/>
      <right style="double"/>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double"/>
    </border>
    <border>
      <left>
        <color indexed="63"/>
      </left>
      <right style="double"/>
      <top>
        <color indexed="63"/>
      </top>
      <bottom>
        <color indexed="63"/>
      </bottom>
    </border>
    <border>
      <left>
        <color indexed="63"/>
      </left>
      <right>
        <color indexed="63"/>
      </right>
      <top style="medium"/>
      <bottom style="double"/>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0"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167" fontId="0" fillId="0" borderId="0">
      <alignment/>
      <protection/>
    </xf>
    <xf numFmtId="0" fontId="25" fillId="0" borderId="0">
      <alignment/>
      <protection/>
    </xf>
    <xf numFmtId="167" fontId="0" fillId="0" borderId="0">
      <alignment/>
      <protection/>
    </xf>
    <xf numFmtId="167" fontId="6" fillId="0" borderId="0">
      <alignment/>
      <protection/>
    </xf>
    <xf numFmtId="9" fontId="0" fillId="0" borderId="0" applyFont="0" applyFill="0" applyBorder="0" applyAlignment="0" applyProtection="0"/>
  </cellStyleXfs>
  <cellXfs count="951">
    <xf numFmtId="0" fontId="0" fillId="0" borderId="0" xfId="0" applyAlignment="1">
      <alignment/>
    </xf>
    <xf numFmtId="0" fontId="0" fillId="0" borderId="0" xfId="0" applyFont="1" applyAlignment="1">
      <alignment/>
    </xf>
    <xf numFmtId="0" fontId="2" fillId="0" borderId="0" xfId="0" applyFont="1" applyAlignment="1">
      <alignment horizontal="center"/>
    </xf>
    <xf numFmtId="0" fontId="0" fillId="0" borderId="0" xfId="0" applyFont="1" applyAlignment="1">
      <alignment horizontal="center"/>
    </xf>
    <xf numFmtId="37" fontId="0" fillId="0" borderId="0" xfId="0" applyNumberFormat="1" applyFont="1" applyAlignment="1">
      <alignment/>
    </xf>
    <xf numFmtId="37" fontId="0" fillId="0" borderId="0" xfId="0" applyNumberFormat="1" applyFont="1" applyAlignment="1">
      <alignment horizontal="center"/>
    </xf>
    <xf numFmtId="0" fontId="3" fillId="0" borderId="0" xfId="0" applyFont="1" applyAlignment="1">
      <alignment horizontal="left"/>
    </xf>
    <xf numFmtId="37" fontId="3" fillId="0" borderId="0" xfId="0" applyNumberFormat="1" applyFont="1" applyAlignment="1">
      <alignment horizontal="center"/>
    </xf>
    <xf numFmtId="0" fontId="2" fillId="0" borderId="0" xfId="0" applyFont="1" applyAlignment="1">
      <alignment/>
    </xf>
    <xf numFmtId="0" fontId="0" fillId="0" borderId="0" xfId="0" applyFont="1" applyFill="1" applyAlignment="1">
      <alignment/>
    </xf>
    <xf numFmtId="37" fontId="0" fillId="0" borderId="0" xfId="0" applyNumberFormat="1" applyFont="1" applyFill="1" applyAlignment="1">
      <alignment/>
    </xf>
    <xf numFmtId="0" fontId="0" fillId="0" borderId="0" xfId="0" applyFont="1" applyAlignment="1">
      <alignment/>
    </xf>
    <xf numFmtId="37" fontId="0" fillId="0" borderId="0" xfId="0" applyNumberFormat="1" applyFont="1" applyFill="1" applyAlignment="1">
      <alignment/>
    </xf>
    <xf numFmtId="37" fontId="0" fillId="0" borderId="0" xfId="0" applyNumberFormat="1" applyFont="1" applyAlignment="1">
      <alignment/>
    </xf>
    <xf numFmtId="164" fontId="0" fillId="0" borderId="0" xfId="26" applyNumberFormat="1" applyFont="1" applyBorder="1" applyAlignment="1">
      <alignment/>
    </xf>
    <xf numFmtId="0" fontId="0" fillId="0"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0" borderId="0" xfId="0" applyFont="1" applyFill="1" applyBorder="1" applyAlignment="1">
      <alignment/>
    </xf>
    <xf numFmtId="0" fontId="0" fillId="0" borderId="3" xfId="0" applyFont="1" applyFill="1" applyBorder="1" applyAlignment="1">
      <alignment/>
    </xf>
    <xf numFmtId="0" fontId="0" fillId="0" borderId="0" xfId="0" applyFont="1" applyFill="1" applyBorder="1" applyAlignment="1">
      <alignment/>
    </xf>
    <xf numFmtId="37" fontId="0" fillId="0" borderId="4" xfId="0" applyNumberFormat="1" applyFont="1" applyFill="1" applyBorder="1" applyAlignment="1">
      <alignment/>
    </xf>
    <xf numFmtId="0" fontId="0" fillId="0" borderId="5" xfId="0" applyFont="1" applyFill="1" applyBorder="1" applyAlignment="1">
      <alignment/>
    </xf>
    <xf numFmtId="0" fontId="0" fillId="0" borderId="6" xfId="0" applyFont="1" applyFill="1" applyBorder="1" applyAlignment="1">
      <alignment/>
    </xf>
    <xf numFmtId="0" fontId="0" fillId="0" borderId="0" xfId="0" applyFont="1" applyFill="1" applyAlignment="1">
      <alignment/>
    </xf>
    <xf numFmtId="165" fontId="0" fillId="0" borderId="0" xfId="15" applyNumberFormat="1" applyFont="1" applyFill="1" applyAlignment="1">
      <alignment/>
    </xf>
    <xf numFmtId="0" fontId="0" fillId="0" borderId="0" xfId="0" applyFont="1" applyFill="1" applyAlignment="1">
      <alignment horizontal="left"/>
    </xf>
    <xf numFmtId="166" fontId="3" fillId="0" borderId="0" xfId="0" applyNumberFormat="1" applyFont="1" applyAlignment="1">
      <alignment/>
    </xf>
    <xf numFmtId="37" fontId="0" fillId="0" borderId="7" xfId="0" applyNumberFormat="1" applyFont="1" applyFill="1" applyBorder="1" applyAlignment="1">
      <alignment/>
    </xf>
    <xf numFmtId="0" fontId="2" fillId="0" borderId="0" xfId="0" applyFont="1" applyFill="1" applyAlignment="1">
      <alignment/>
    </xf>
    <xf numFmtId="37" fontId="0" fillId="0" borderId="0" xfId="0" applyNumberFormat="1" applyFont="1" applyFill="1" applyBorder="1" applyAlignment="1">
      <alignment/>
    </xf>
    <xf numFmtId="0" fontId="0" fillId="0" borderId="0" xfId="0" applyFont="1" applyFill="1" applyAlignment="1">
      <alignment horizontal="left"/>
    </xf>
    <xf numFmtId="37" fontId="0" fillId="0" borderId="0" xfId="0" applyNumberFormat="1" applyFont="1" applyBorder="1" applyAlignment="1">
      <alignment/>
    </xf>
    <xf numFmtId="0" fontId="2" fillId="0" borderId="8" xfId="0" applyFont="1" applyFill="1" applyBorder="1" applyAlignment="1">
      <alignment/>
    </xf>
    <xf numFmtId="0" fontId="2" fillId="0" borderId="9" xfId="0" applyFont="1" applyFill="1" applyBorder="1" applyAlignment="1">
      <alignment/>
    </xf>
    <xf numFmtId="0" fontId="2" fillId="0" borderId="0" xfId="0" applyFont="1" applyFill="1" applyBorder="1" applyAlignment="1">
      <alignment/>
    </xf>
    <xf numFmtId="0" fontId="4" fillId="0" borderId="0" xfId="0" applyFont="1" applyAlignment="1">
      <alignment/>
    </xf>
    <xf numFmtId="167" fontId="5" fillId="0" borderId="0" xfId="25" applyFont="1" applyFill="1" applyProtection="1">
      <alignment/>
      <protection/>
    </xf>
    <xf numFmtId="0" fontId="1" fillId="0" borderId="8" xfId="0" applyFont="1" applyBorder="1" applyAlignment="1">
      <alignment horizontal="centerContinuous"/>
    </xf>
    <xf numFmtId="0" fontId="1" fillId="0" borderId="9" xfId="0" applyFont="1" applyBorder="1" applyAlignment="1">
      <alignment horizontal="centerContinuous"/>
    </xf>
    <xf numFmtId="0" fontId="1" fillId="0" borderId="10" xfId="0" applyFont="1" applyBorder="1" applyAlignment="1">
      <alignment horizontal="centerContinuous"/>
    </xf>
    <xf numFmtId="3" fontId="0" fillId="0" borderId="0" xfId="0" applyNumberFormat="1" applyFont="1" applyFill="1" applyAlignment="1">
      <alignment/>
    </xf>
    <xf numFmtId="37" fontId="9" fillId="0" borderId="0" xfId="0" applyNumberFormat="1" applyFont="1" applyFill="1" applyAlignment="1">
      <alignment/>
    </xf>
    <xf numFmtId="37" fontId="9" fillId="0" borderId="9" xfId="0" applyNumberFormat="1" applyFont="1" applyFill="1" applyBorder="1" applyAlignment="1">
      <alignment/>
    </xf>
    <xf numFmtId="37" fontId="9" fillId="0" borderId="0" xfId="0" applyNumberFormat="1" applyFont="1" applyAlignment="1">
      <alignment/>
    </xf>
    <xf numFmtId="166" fontId="10" fillId="0" borderId="0" xfId="0" applyNumberFormat="1" applyFont="1" applyFill="1" applyAlignment="1">
      <alignment/>
    </xf>
    <xf numFmtId="166" fontId="10" fillId="0" borderId="0" xfId="0" applyNumberFormat="1" applyFont="1" applyAlignment="1">
      <alignment/>
    </xf>
    <xf numFmtId="37" fontId="10" fillId="0" borderId="0" xfId="0" applyNumberFormat="1" applyFont="1" applyFill="1" applyAlignment="1">
      <alignment/>
    </xf>
    <xf numFmtId="37" fontId="9" fillId="0" borderId="11" xfId="0" applyNumberFormat="1" applyFont="1" applyFill="1" applyBorder="1" applyAlignment="1">
      <alignment/>
    </xf>
    <xf numFmtId="37" fontId="9" fillId="0" borderId="0" xfId="0" applyNumberFormat="1" applyFont="1" applyFill="1" applyBorder="1" applyAlignment="1">
      <alignment/>
    </xf>
    <xf numFmtId="37" fontId="9" fillId="0" borderId="6" xfId="0" applyNumberFormat="1" applyFont="1" applyBorder="1" applyAlignment="1">
      <alignment/>
    </xf>
    <xf numFmtId="37" fontId="9" fillId="0" borderId="4" xfId="0" applyNumberFormat="1" applyFont="1" applyFill="1" applyBorder="1" applyAlignment="1">
      <alignment/>
    </xf>
    <xf numFmtId="37" fontId="9" fillId="0" borderId="6" xfId="0" applyNumberFormat="1" applyFont="1" applyFill="1" applyBorder="1" applyAlignment="1">
      <alignment/>
    </xf>
    <xf numFmtId="165" fontId="0" fillId="0" borderId="0" xfId="15" applyNumberFormat="1" applyAlignment="1">
      <alignment/>
    </xf>
    <xf numFmtId="37" fontId="11" fillId="0" borderId="10" xfId="0" applyNumberFormat="1" applyFont="1" applyFill="1" applyBorder="1" applyAlignment="1">
      <alignment/>
    </xf>
    <xf numFmtId="0" fontId="12" fillId="0" borderId="0" xfId="0" applyFont="1" applyFill="1" applyAlignment="1">
      <alignment horizontal="left"/>
    </xf>
    <xf numFmtId="0" fontId="13" fillId="0" borderId="0" xfId="0" applyFont="1" applyFill="1" applyAlignment="1">
      <alignment/>
    </xf>
    <xf numFmtId="0" fontId="0" fillId="0" borderId="0" xfId="0" applyFill="1" applyAlignment="1">
      <alignment/>
    </xf>
    <xf numFmtId="167" fontId="0" fillId="0" borderId="0" xfId="24" applyFill="1">
      <alignment/>
      <protection/>
    </xf>
    <xf numFmtId="167" fontId="14" fillId="0" borderId="0" xfId="24" applyFont="1" applyFill="1">
      <alignment/>
      <protection/>
    </xf>
    <xf numFmtId="167" fontId="15" fillId="0" borderId="0" xfId="25" applyFont="1" applyFill="1" applyProtection="1">
      <alignment/>
      <protection/>
    </xf>
    <xf numFmtId="167" fontId="16" fillId="0" borderId="0" xfId="25" applyFont="1" applyFill="1" applyProtection="1">
      <alignment/>
      <protection/>
    </xf>
    <xf numFmtId="167" fontId="17" fillId="0" borderId="0" xfId="25" applyFont="1" applyFill="1" applyProtection="1">
      <alignment/>
      <protection/>
    </xf>
    <xf numFmtId="167" fontId="18" fillId="0" borderId="0" xfId="25" applyFont="1" applyFill="1" applyAlignment="1" applyProtection="1">
      <alignment horizontal="center"/>
      <protection/>
    </xf>
    <xf numFmtId="3" fontId="20" fillId="0" borderId="0" xfId="25" applyNumberFormat="1" applyFont="1" applyFill="1" applyAlignment="1" applyProtection="1">
      <alignment horizontal="right"/>
      <protection/>
    </xf>
    <xf numFmtId="167" fontId="0" fillId="0" borderId="0" xfId="24" applyFont="1" applyFill="1">
      <alignment/>
      <protection/>
    </xf>
    <xf numFmtId="41" fontId="5" fillId="0" borderId="0" xfId="24" applyNumberFormat="1" applyFont="1" applyFill="1">
      <alignment/>
      <protection/>
    </xf>
    <xf numFmtId="41" fontId="13" fillId="0" borderId="0" xfId="24" applyNumberFormat="1" applyFont="1" applyFill="1">
      <alignment/>
      <protection/>
    </xf>
    <xf numFmtId="41" fontId="13" fillId="0" borderId="6" xfId="24" applyNumberFormat="1" applyFont="1" applyFill="1" applyBorder="1">
      <alignment/>
      <protection/>
    </xf>
    <xf numFmtId="41" fontId="13" fillId="0" borderId="0" xfId="24" applyNumberFormat="1" applyFont="1" applyFill="1" applyBorder="1">
      <alignment/>
      <protection/>
    </xf>
    <xf numFmtId="41" fontId="13" fillId="0" borderId="0" xfId="24" applyNumberFormat="1" applyFont="1" applyFill="1" applyAlignment="1">
      <alignment horizontal="right"/>
      <protection/>
    </xf>
    <xf numFmtId="41" fontId="22" fillId="0" borderId="0" xfId="22" applyNumberFormat="1" applyFont="1" applyFill="1">
      <alignment/>
      <protection/>
    </xf>
    <xf numFmtId="14" fontId="13" fillId="0" borderId="0" xfId="24" applyNumberFormat="1" applyFont="1" applyFill="1" applyAlignment="1">
      <alignment horizontal="right"/>
      <protection/>
    </xf>
    <xf numFmtId="41" fontId="21" fillId="0" borderId="0" xfId="24" applyNumberFormat="1" applyFont="1" applyFill="1">
      <alignment/>
      <protection/>
    </xf>
    <xf numFmtId="41" fontId="23" fillId="0" borderId="6" xfId="24" applyNumberFormat="1" applyFont="1" applyFill="1" applyBorder="1" applyAlignment="1">
      <alignment horizontal="right"/>
      <protection/>
    </xf>
    <xf numFmtId="165" fontId="13" fillId="0" borderId="0" xfId="24" applyNumberFormat="1" applyFont="1" applyFill="1">
      <alignment/>
      <protection/>
    </xf>
    <xf numFmtId="165" fontId="21" fillId="0" borderId="0" xfId="24" applyNumberFormat="1" applyFont="1" applyFill="1">
      <alignment/>
      <protection/>
    </xf>
    <xf numFmtId="165" fontId="17" fillId="0" borderId="0" xfId="17" applyNumberFormat="1" applyFont="1" applyFill="1" applyAlignment="1" applyProtection="1">
      <alignment/>
      <protection/>
    </xf>
    <xf numFmtId="41" fontId="23" fillId="0" borderId="0" xfId="24" applyNumberFormat="1" applyFont="1" applyFill="1" applyBorder="1">
      <alignment/>
      <protection/>
    </xf>
    <xf numFmtId="167" fontId="26" fillId="0" borderId="0" xfId="24" applyFont="1" applyFill="1">
      <alignment/>
      <protection/>
    </xf>
    <xf numFmtId="167" fontId="27" fillId="0" borderId="0" xfId="24" applyFont="1" applyFill="1">
      <alignment/>
      <protection/>
    </xf>
    <xf numFmtId="167" fontId="18" fillId="0" borderId="0" xfId="25" applyFont="1" applyFill="1" applyAlignment="1" applyProtection="1">
      <alignment horizontal="right"/>
      <protection/>
    </xf>
    <xf numFmtId="41" fontId="28" fillId="0" borderId="0" xfId="24" applyNumberFormat="1" applyFont="1" applyFill="1" applyAlignment="1">
      <alignment horizontal="right"/>
      <protection/>
    </xf>
    <xf numFmtId="167" fontId="17" fillId="0" borderId="0" xfId="25" applyFont="1" applyFill="1" applyProtection="1">
      <alignment/>
      <protection/>
    </xf>
    <xf numFmtId="41" fontId="22" fillId="0" borderId="0" xfId="24" applyNumberFormat="1" applyFont="1" applyFill="1">
      <alignment/>
      <protection/>
    </xf>
    <xf numFmtId="41" fontId="13" fillId="0" borderId="9" xfId="24" applyNumberFormat="1" applyFont="1" applyFill="1" applyBorder="1">
      <alignment/>
      <protection/>
    </xf>
    <xf numFmtId="0" fontId="29" fillId="0" borderId="0" xfId="0" applyFont="1" applyFill="1" applyAlignment="1">
      <alignment/>
    </xf>
    <xf numFmtId="165" fontId="0" fillId="0" borderId="0" xfId="15" applyNumberFormat="1" applyFill="1" applyAlignment="1">
      <alignment/>
    </xf>
    <xf numFmtId="167" fontId="3" fillId="0" borderId="0" xfId="24" applyFont="1" applyFill="1">
      <alignment/>
      <protection/>
    </xf>
    <xf numFmtId="165" fontId="0" fillId="0" borderId="0" xfId="24" applyNumberFormat="1" applyFont="1" applyFill="1">
      <alignment/>
      <protection/>
    </xf>
    <xf numFmtId="165" fontId="17" fillId="0" borderId="0" xfId="15" applyNumberFormat="1" applyFont="1" applyFill="1" applyAlignment="1" applyProtection="1">
      <alignment/>
      <protection/>
    </xf>
    <xf numFmtId="167" fontId="5" fillId="0" borderId="0" xfId="24" applyFont="1" applyFill="1">
      <alignment/>
      <protection/>
    </xf>
    <xf numFmtId="167" fontId="24" fillId="0" borderId="0" xfId="24" applyFont="1" applyFill="1">
      <alignment/>
      <protection/>
    </xf>
    <xf numFmtId="38" fontId="5" fillId="0" borderId="0" xfId="17" applyNumberFormat="1" applyFont="1" applyFill="1" applyAlignment="1">
      <alignment/>
    </xf>
    <xf numFmtId="167" fontId="19" fillId="0" borderId="0" xfId="24" applyFont="1" applyFill="1" applyAlignment="1" applyProtection="1">
      <alignment horizontal="right"/>
      <protection/>
    </xf>
    <xf numFmtId="167" fontId="18" fillId="0" borderId="0" xfId="24" applyFont="1" applyFill="1" applyProtection="1">
      <alignment/>
      <protection/>
    </xf>
    <xf numFmtId="167" fontId="19" fillId="0" borderId="0" xfId="24" applyFont="1" applyFill="1" applyProtection="1">
      <alignment/>
      <protection/>
    </xf>
    <xf numFmtId="38" fontId="5" fillId="0" borderId="0" xfId="17" applyNumberFormat="1" applyFont="1" applyFill="1" applyAlignment="1">
      <alignment/>
    </xf>
    <xf numFmtId="38" fontId="20" fillId="0" borderId="0" xfId="17" applyNumberFormat="1" applyFont="1" applyFill="1" applyAlignment="1">
      <alignment/>
    </xf>
    <xf numFmtId="10" fontId="5" fillId="0" borderId="0" xfId="26" applyNumberFormat="1" applyFont="1" applyFill="1" applyAlignment="1">
      <alignment/>
    </xf>
    <xf numFmtId="38" fontId="0" fillId="0" borderId="0" xfId="17" applyNumberFormat="1" applyFill="1" applyAlignment="1">
      <alignment/>
    </xf>
    <xf numFmtId="41" fontId="21" fillId="0" borderId="6" xfId="24" applyNumberFormat="1" applyFont="1" applyFill="1" applyBorder="1">
      <alignment/>
      <protection/>
    </xf>
    <xf numFmtId="41" fontId="21" fillId="0" borderId="2" xfId="24" applyNumberFormat="1" applyFont="1" applyFill="1" applyBorder="1">
      <alignment/>
      <protection/>
    </xf>
    <xf numFmtId="41" fontId="21" fillId="0" borderId="12" xfId="24" applyNumberFormat="1" applyFont="1" applyFill="1" applyBorder="1">
      <alignment/>
      <protection/>
    </xf>
    <xf numFmtId="0" fontId="30" fillId="0" borderId="0" xfId="0" applyFont="1" applyFill="1" applyAlignment="1">
      <alignment/>
    </xf>
    <xf numFmtId="0" fontId="31" fillId="0" borderId="0" xfId="0" applyFont="1" applyFill="1" applyAlignment="1">
      <alignment/>
    </xf>
    <xf numFmtId="0" fontId="31" fillId="0" borderId="0" xfId="0" applyFont="1" applyFill="1" applyAlignment="1">
      <alignment horizontal="center"/>
    </xf>
    <xf numFmtId="14" fontId="32" fillId="0" borderId="0" xfId="0" applyNumberFormat="1" applyFont="1" applyFill="1" applyBorder="1" applyAlignment="1">
      <alignment horizontal="center"/>
    </xf>
    <xf numFmtId="0" fontId="33" fillId="0" borderId="0" xfId="0" applyFont="1" applyFill="1" applyAlignment="1">
      <alignment horizontal="right"/>
    </xf>
    <xf numFmtId="0" fontId="33" fillId="0" borderId="0" xfId="0" applyFont="1" applyFill="1" applyAlignment="1">
      <alignment horizontal="center"/>
    </xf>
    <xf numFmtId="0" fontId="32" fillId="0" borderId="0" xfId="0" applyFont="1" applyFill="1" applyAlignment="1">
      <alignment/>
    </xf>
    <xf numFmtId="0" fontId="31" fillId="0" borderId="0" xfId="0" applyFont="1" applyFill="1" applyBorder="1" applyAlignment="1">
      <alignment/>
    </xf>
    <xf numFmtId="0" fontId="31" fillId="0" borderId="0" xfId="0" applyFont="1" applyFill="1" applyBorder="1" applyAlignment="1">
      <alignment horizontal="center"/>
    </xf>
    <xf numFmtId="2" fontId="31" fillId="0" borderId="0" xfId="0" applyNumberFormat="1" applyFont="1" applyFill="1" applyBorder="1" applyAlignment="1">
      <alignment/>
    </xf>
    <xf numFmtId="2" fontId="33" fillId="0" borderId="0" xfId="0" applyNumberFormat="1" applyFont="1" applyFill="1" applyBorder="1" applyAlignment="1">
      <alignment horizontal="center"/>
    </xf>
    <xf numFmtId="0" fontId="31" fillId="0" borderId="0" xfId="0" applyFont="1" applyFill="1" applyBorder="1" applyAlignment="1">
      <alignment/>
    </xf>
    <xf numFmtId="0" fontId="34" fillId="0" borderId="0" xfId="0" applyFont="1" applyFill="1" applyAlignment="1">
      <alignment/>
    </xf>
    <xf numFmtId="37" fontId="31" fillId="0" borderId="0" xfId="0" applyNumberFormat="1" applyFont="1" applyFill="1" applyBorder="1" applyAlignment="1">
      <alignment/>
    </xf>
    <xf numFmtId="0" fontId="31" fillId="0" borderId="13" xfId="0" applyFont="1" applyFill="1" applyBorder="1" applyAlignment="1">
      <alignment/>
    </xf>
    <xf numFmtId="37" fontId="0" fillId="0" borderId="0" xfId="0" applyNumberFormat="1" applyAlignment="1">
      <alignment/>
    </xf>
    <xf numFmtId="0" fontId="3" fillId="0" borderId="0" xfId="0" applyFont="1" applyAlignment="1">
      <alignment/>
    </xf>
    <xf numFmtId="39" fontId="35" fillId="0" borderId="0" xfId="0" applyNumberFormat="1" applyFont="1" applyFill="1" applyBorder="1" applyAlignment="1">
      <alignment/>
    </xf>
    <xf numFmtId="0" fontId="0" fillId="0" borderId="0" xfId="0" applyAlignment="1">
      <alignment horizontal="center"/>
    </xf>
    <xf numFmtId="37" fontId="21" fillId="0" borderId="0" xfId="0" applyNumberFormat="1" applyFont="1" applyFill="1" applyBorder="1" applyAlignment="1">
      <alignment/>
    </xf>
    <xf numFmtId="37" fontId="36" fillId="0" borderId="0" xfId="0" applyNumberFormat="1" applyFont="1" applyFill="1" applyBorder="1" applyAlignment="1">
      <alignment/>
    </xf>
    <xf numFmtId="37" fontId="21" fillId="0" borderId="13" xfId="0" applyNumberFormat="1" applyFont="1" applyFill="1" applyBorder="1" applyAlignment="1">
      <alignment/>
    </xf>
    <xf numFmtId="41" fontId="37" fillId="0" borderId="14" xfId="24" applyNumberFormat="1" applyFont="1" applyFill="1" applyBorder="1">
      <alignment/>
      <protection/>
    </xf>
    <xf numFmtId="41" fontId="21" fillId="0" borderId="14" xfId="24" applyNumberFormat="1" applyFont="1" applyFill="1" applyBorder="1">
      <alignment/>
      <protection/>
    </xf>
    <xf numFmtId="10" fontId="0" fillId="0" borderId="0" xfId="0" applyNumberFormat="1" applyFont="1" applyAlignment="1">
      <alignment horizontal="center"/>
    </xf>
    <xf numFmtId="0" fontId="0" fillId="0" borderId="0" xfId="0" applyFont="1" applyAlignment="1">
      <alignment horizontal="center"/>
    </xf>
    <xf numFmtId="0" fontId="38" fillId="0" borderId="0" xfId="0" applyFont="1" applyBorder="1" applyAlignment="1">
      <alignment horizontal="left"/>
    </xf>
    <xf numFmtId="3" fontId="0" fillId="0" borderId="0" xfId="15" applyNumberFormat="1" applyFont="1" applyBorder="1" applyAlignment="1">
      <alignment/>
    </xf>
    <xf numFmtId="164" fontId="0" fillId="0" borderId="0" xfId="26" applyNumberFormat="1" applyFont="1" applyAlignment="1">
      <alignment/>
    </xf>
    <xf numFmtId="0" fontId="0" fillId="0" borderId="0" xfId="0" applyFont="1" applyFill="1" applyAlignment="1" applyProtection="1">
      <alignment/>
      <protection/>
    </xf>
    <xf numFmtId="164" fontId="0" fillId="0" borderId="9" xfId="0" applyNumberFormat="1" applyFont="1" applyFill="1" applyBorder="1" applyAlignment="1" applyProtection="1">
      <alignment/>
      <protection/>
    </xf>
    <xf numFmtId="41" fontId="37" fillId="0" borderId="15" xfId="24" applyNumberFormat="1" applyFont="1" applyFill="1" applyBorder="1">
      <alignment/>
      <protection/>
    </xf>
    <xf numFmtId="41" fontId="37" fillId="0" borderId="0" xfId="24" applyNumberFormat="1" applyFont="1" applyFill="1" applyBorder="1">
      <alignment/>
      <protection/>
    </xf>
    <xf numFmtId="43" fontId="21" fillId="0" borderId="0" xfId="24" applyNumberFormat="1" applyFont="1" applyFill="1">
      <alignment/>
      <protection/>
    </xf>
    <xf numFmtId="5" fontId="21" fillId="0" borderId="0" xfId="24" applyNumberFormat="1" applyFont="1" applyFill="1">
      <alignment/>
      <protection/>
    </xf>
    <xf numFmtId="0" fontId="17" fillId="0" borderId="0" xfId="0" applyFont="1" applyFill="1" applyAlignment="1">
      <alignment/>
    </xf>
    <xf numFmtId="0" fontId="2" fillId="2" borderId="0" xfId="0" applyFont="1" applyFill="1" applyAlignment="1">
      <alignment horizontal="centerContinuous"/>
    </xf>
    <xf numFmtId="0" fontId="2" fillId="0" borderId="0" xfId="0" applyFont="1" applyFill="1" applyAlignment="1">
      <alignment horizontal="center"/>
    </xf>
    <xf numFmtId="0" fontId="2" fillId="3" borderId="0" xfId="0" applyFont="1" applyFill="1" applyAlignment="1">
      <alignment horizontal="centerContinuous"/>
    </xf>
    <xf numFmtId="0" fontId="0" fillId="0" borderId="0" xfId="0" applyAlignment="1">
      <alignment horizontal="right"/>
    </xf>
    <xf numFmtId="0" fontId="0" fillId="0" borderId="0" xfId="0" applyFill="1" applyAlignment="1">
      <alignment horizontal="right"/>
    </xf>
    <xf numFmtId="0" fontId="2" fillId="0" borderId="0" xfId="0" applyFont="1" applyBorder="1" applyAlignment="1">
      <alignment horizontal="center"/>
    </xf>
    <xf numFmtId="0" fontId="2" fillId="0" borderId="0" xfId="0" applyFont="1" applyFill="1" applyBorder="1" applyAlignment="1">
      <alignment horizontal="center"/>
    </xf>
    <xf numFmtId="0" fontId="2" fillId="0" borderId="6" xfId="0" applyFont="1" applyBorder="1" applyAlignment="1">
      <alignment horizontal="center"/>
    </xf>
    <xf numFmtId="43" fontId="9" fillId="0" borderId="0" xfId="15" applyFont="1" applyAlignment="1">
      <alignment/>
    </xf>
    <xf numFmtId="43" fontId="0" fillId="0" borderId="0" xfId="15" applyAlignment="1">
      <alignment/>
    </xf>
    <xf numFmtId="43" fontId="41" fillId="0" borderId="0" xfId="15" applyFont="1" applyAlignment="1">
      <alignment/>
    </xf>
    <xf numFmtId="43" fontId="0" fillId="0" borderId="0" xfId="15" applyFill="1" applyAlignment="1">
      <alignment/>
    </xf>
    <xf numFmtId="43" fontId="0" fillId="0" borderId="0" xfId="0" applyNumberFormat="1" applyAlignment="1">
      <alignment/>
    </xf>
    <xf numFmtId="0" fontId="2" fillId="4" borderId="0" xfId="0" applyFont="1" applyFill="1" applyAlignment="1">
      <alignment horizontal="right"/>
    </xf>
    <xf numFmtId="0" fontId="2" fillId="0" borderId="0" xfId="0" applyFont="1" applyFill="1" applyAlignment="1">
      <alignment horizontal="right"/>
    </xf>
    <xf numFmtId="43" fontId="2" fillId="4" borderId="0" xfId="15" applyFont="1" applyFill="1" applyAlignment="1">
      <alignment/>
    </xf>
    <xf numFmtId="43" fontId="2" fillId="0" borderId="0" xfId="15" applyFont="1" applyFill="1" applyAlignment="1">
      <alignment/>
    </xf>
    <xf numFmtId="44" fontId="0" fillId="4" borderId="0" xfId="18" applyFill="1" applyAlignment="1">
      <alignment/>
    </xf>
    <xf numFmtId="44" fontId="2" fillId="4" borderId="0" xfId="18" applyFont="1" applyFill="1" applyAlignment="1">
      <alignment/>
    </xf>
    <xf numFmtId="43" fontId="0" fillId="0" borderId="0" xfId="0" applyNumberFormat="1" applyFill="1" applyAlignment="1">
      <alignment/>
    </xf>
    <xf numFmtId="43" fontId="0" fillId="0" borderId="0" xfId="15" applyFont="1" applyAlignment="1">
      <alignment/>
    </xf>
    <xf numFmtId="43" fontId="0" fillId="0" borderId="0" xfId="15" applyFont="1" applyFill="1" applyAlignment="1">
      <alignment/>
    </xf>
    <xf numFmtId="43" fontId="2" fillId="4" borderId="0" xfId="0" applyNumberFormat="1" applyFont="1" applyFill="1" applyAlignment="1">
      <alignment/>
    </xf>
    <xf numFmtId="43" fontId="2" fillId="0" borderId="0" xfId="0" applyNumberFormat="1" applyFont="1" applyFill="1" applyAlignment="1">
      <alignment/>
    </xf>
    <xf numFmtId="0" fontId="2" fillId="0" borderId="0" xfId="15" applyNumberFormat="1" applyFont="1" applyAlignment="1">
      <alignment horizontal="center"/>
    </xf>
    <xf numFmtId="0" fontId="0" fillId="4" borderId="0" xfId="0" applyFill="1" applyAlignment="1">
      <alignment/>
    </xf>
    <xf numFmtId="0" fontId="2" fillId="4" borderId="0" xfId="0" applyFont="1" applyFill="1" applyAlignment="1">
      <alignment/>
    </xf>
    <xf numFmtId="44" fontId="0" fillId="4" borderId="0" xfId="0" applyNumberFormat="1" applyFill="1" applyAlignment="1">
      <alignment/>
    </xf>
    <xf numFmtId="44" fontId="2" fillId="4" borderId="0" xfId="0" applyNumberFormat="1" applyFont="1" applyFill="1" applyAlignment="1">
      <alignment/>
    </xf>
    <xf numFmtId="44" fontId="0" fillId="0" borderId="0" xfId="0" applyNumberFormat="1" applyAlignment="1">
      <alignment/>
    </xf>
    <xf numFmtId="165" fontId="0" fillId="0" borderId="0" xfId="15" applyNumberFormat="1" applyFont="1" applyAlignment="1">
      <alignment/>
    </xf>
    <xf numFmtId="0" fontId="4" fillId="0" borderId="0" xfId="0" applyFont="1" applyAlignment="1">
      <alignment horizontal="center"/>
    </xf>
    <xf numFmtId="43" fontId="0" fillId="0" borderId="0" xfId="15" applyNumberFormat="1" applyAlignment="1">
      <alignment/>
    </xf>
    <xf numFmtId="43" fontId="42" fillId="0" borderId="0" xfId="15" applyNumberFormat="1" applyFont="1" applyAlignment="1">
      <alignment/>
    </xf>
    <xf numFmtId="165" fontId="42" fillId="0" borderId="0" xfId="15" applyNumberFormat="1" applyFont="1" applyAlignment="1">
      <alignment/>
    </xf>
    <xf numFmtId="165" fontId="0" fillId="0" borderId="0" xfId="0" applyNumberFormat="1" applyAlignment="1">
      <alignment/>
    </xf>
    <xf numFmtId="0" fontId="2" fillId="0" borderId="6" xfId="0" applyFont="1" applyBorder="1" applyAlignment="1">
      <alignment/>
    </xf>
    <xf numFmtId="0" fontId="0" fillId="0" borderId="6" xfId="0" applyBorder="1" applyAlignment="1">
      <alignment/>
    </xf>
    <xf numFmtId="37" fontId="39" fillId="0" borderId="0" xfId="0" applyNumberFormat="1" applyFont="1" applyFill="1" applyAlignment="1">
      <alignment/>
    </xf>
    <xf numFmtId="0" fontId="43" fillId="0" borderId="0" xfId="0" applyFont="1" applyAlignment="1">
      <alignment/>
    </xf>
    <xf numFmtId="0" fontId="17" fillId="0" borderId="0" xfId="0" applyFont="1" applyAlignment="1">
      <alignment/>
    </xf>
    <xf numFmtId="0" fontId="17" fillId="0" borderId="0" xfId="0" applyFont="1" applyAlignment="1">
      <alignment horizontal="center"/>
    </xf>
    <xf numFmtId="0" fontId="17" fillId="0" borderId="16" xfId="0" applyFont="1" applyBorder="1" applyAlignment="1">
      <alignment/>
    </xf>
    <xf numFmtId="0" fontId="17" fillId="0" borderId="17" xfId="0" applyFont="1" applyBorder="1" applyAlignment="1">
      <alignment/>
    </xf>
    <xf numFmtId="3" fontId="17" fillId="0" borderId="18" xfId="0" applyNumberFormat="1" applyFont="1" applyBorder="1" applyAlignment="1">
      <alignment/>
    </xf>
    <xf numFmtId="3" fontId="17" fillId="0" borderId="0" xfId="0" applyNumberFormat="1" applyFont="1" applyAlignment="1">
      <alignment/>
    </xf>
    <xf numFmtId="0" fontId="17" fillId="0" borderId="19" xfId="0" applyFont="1" applyBorder="1" applyAlignment="1">
      <alignment/>
    </xf>
    <xf numFmtId="0" fontId="17" fillId="0" borderId="0" xfId="0" applyFont="1" applyBorder="1" applyAlignment="1">
      <alignment/>
    </xf>
    <xf numFmtId="169" fontId="17" fillId="0" borderId="20" xfId="0" applyNumberFormat="1" applyFont="1" applyBorder="1" applyAlignment="1">
      <alignment/>
    </xf>
    <xf numFmtId="170" fontId="17" fillId="0" borderId="0" xfId="0" applyNumberFormat="1" applyFont="1" applyAlignment="1">
      <alignment/>
    </xf>
    <xf numFmtId="171" fontId="17" fillId="0" borderId="0" xfId="0" applyNumberFormat="1" applyFont="1" applyAlignment="1">
      <alignment/>
    </xf>
    <xf numFmtId="0" fontId="17" fillId="0" borderId="21" xfId="0" applyFont="1" applyBorder="1" applyAlignment="1">
      <alignment/>
    </xf>
    <xf numFmtId="0" fontId="17" fillId="0" borderId="15" xfId="0" applyFont="1" applyBorder="1" applyAlignment="1">
      <alignment/>
    </xf>
    <xf numFmtId="170" fontId="17" fillId="0" borderId="22" xfId="0" applyNumberFormat="1" applyFont="1" applyBorder="1" applyAlignment="1">
      <alignment/>
    </xf>
    <xf numFmtId="169" fontId="17" fillId="0" borderId="0" xfId="0" applyNumberFormat="1" applyFont="1" applyAlignment="1">
      <alignment/>
    </xf>
    <xf numFmtId="0" fontId="44" fillId="0" borderId="0" xfId="0" applyFont="1" applyAlignment="1">
      <alignment/>
    </xf>
    <xf numFmtId="4" fontId="17" fillId="0" borderId="0" xfId="0" applyNumberFormat="1" applyFont="1" applyAlignment="1">
      <alignment/>
    </xf>
    <xf numFmtId="10" fontId="17" fillId="0" borderId="0" xfId="0" applyNumberFormat="1" applyFont="1" applyAlignment="1">
      <alignment/>
    </xf>
    <xf numFmtId="37" fontId="39" fillId="0" borderId="0" xfId="0" applyNumberFormat="1" applyFont="1" applyFill="1" applyBorder="1" applyAlignment="1">
      <alignment/>
    </xf>
    <xf numFmtId="0" fontId="2" fillId="0" borderId="0" xfId="0" applyFont="1" applyAlignment="1">
      <alignment horizontal="centerContinuous"/>
    </xf>
    <xf numFmtId="0" fontId="0" fillId="0" borderId="0" xfId="0" applyBorder="1" applyAlignment="1">
      <alignment horizontal="center"/>
    </xf>
    <xf numFmtId="0" fontId="0" fillId="0" borderId="0" xfId="0" applyBorder="1" applyAlignment="1" quotePrefix="1">
      <alignment horizontal="center"/>
    </xf>
    <xf numFmtId="0" fontId="0" fillId="0" borderId="6" xfId="0" applyBorder="1" applyAlignment="1">
      <alignment horizontal="center"/>
    </xf>
    <xf numFmtId="0" fontId="0" fillId="0" borderId="0" xfId="0" applyAlignment="1" quotePrefix="1">
      <alignment horizontal="left"/>
    </xf>
    <xf numFmtId="5" fontId="0" fillId="0" borderId="9" xfId="0" applyNumberFormat="1" applyBorder="1" applyAlignment="1">
      <alignment/>
    </xf>
    <xf numFmtId="5" fontId="0" fillId="0" borderId="0" xfId="0" applyNumberFormat="1" applyAlignment="1">
      <alignment/>
    </xf>
    <xf numFmtId="41" fontId="0" fillId="0" borderId="0" xfId="15" applyNumberFormat="1" applyAlignment="1">
      <alignment/>
    </xf>
    <xf numFmtId="41" fontId="0" fillId="0" borderId="0" xfId="0" applyNumberFormat="1" applyAlignment="1">
      <alignment/>
    </xf>
    <xf numFmtId="41" fontId="2" fillId="0" borderId="0" xfId="0" applyNumberFormat="1" applyFont="1" applyAlignment="1">
      <alignment/>
    </xf>
    <xf numFmtId="5" fontId="2" fillId="0" borderId="12" xfId="0" applyNumberFormat="1" applyFont="1" applyBorder="1" applyAlignment="1">
      <alignment/>
    </xf>
    <xf numFmtId="41" fontId="0" fillId="0" borderId="0" xfId="0" applyNumberFormat="1" applyAlignment="1" quotePrefix="1">
      <alignment horizontal="left"/>
    </xf>
    <xf numFmtId="0" fontId="2" fillId="0" borderId="0" xfId="0" applyFont="1" applyAlignment="1" quotePrefix="1">
      <alignment horizontal="left"/>
    </xf>
    <xf numFmtId="5" fontId="0" fillId="0" borderId="0" xfId="0" applyNumberFormat="1" applyBorder="1" applyAlignment="1">
      <alignment/>
    </xf>
    <xf numFmtId="5" fontId="2" fillId="0" borderId="6" xfId="0" applyNumberFormat="1" applyFont="1" applyBorder="1" applyAlignment="1">
      <alignment/>
    </xf>
    <xf numFmtId="0" fontId="0" fillId="5" borderId="1" xfId="0" applyFont="1" applyFill="1" applyBorder="1" applyAlignment="1">
      <alignment/>
    </xf>
    <xf numFmtId="0" fontId="0" fillId="6" borderId="3" xfId="0" applyFont="1" applyFill="1" applyBorder="1" applyAlignment="1">
      <alignment/>
    </xf>
    <xf numFmtId="0" fontId="0" fillId="7" borderId="5" xfId="0" applyFont="1" applyFill="1" applyBorder="1" applyAlignment="1">
      <alignment/>
    </xf>
    <xf numFmtId="0" fontId="9" fillId="8" borderId="2" xfId="0" applyFont="1" applyFill="1" applyBorder="1" applyAlignment="1">
      <alignment/>
    </xf>
    <xf numFmtId="0" fontId="0" fillId="8" borderId="2" xfId="0" applyFont="1" applyFill="1" applyBorder="1" applyAlignment="1">
      <alignment/>
    </xf>
    <xf numFmtId="0" fontId="0" fillId="8" borderId="23" xfId="0" applyFont="1" applyFill="1" applyBorder="1" applyAlignment="1">
      <alignment/>
    </xf>
    <xf numFmtId="0" fontId="39" fillId="8" borderId="0" xfId="0" applyFont="1" applyFill="1" applyBorder="1" applyAlignment="1">
      <alignment/>
    </xf>
    <xf numFmtId="0" fontId="0" fillId="8" borderId="0" xfId="0" applyFont="1" applyFill="1" applyBorder="1" applyAlignment="1">
      <alignment/>
    </xf>
    <xf numFmtId="0" fontId="0" fillId="8" borderId="7" xfId="0" applyFont="1" applyFill="1" applyBorder="1" applyAlignment="1">
      <alignment/>
    </xf>
    <xf numFmtId="0" fontId="0" fillId="8" borderId="6" xfId="0" applyFont="1" applyFill="1" applyBorder="1" applyAlignment="1">
      <alignment/>
    </xf>
    <xf numFmtId="0" fontId="0" fillId="8" borderId="4" xfId="0" applyFont="1" applyFill="1" applyBorder="1" applyAlignment="1">
      <alignment/>
    </xf>
    <xf numFmtId="165" fontId="39" fillId="0" borderId="0" xfId="15" applyNumberFormat="1" applyFont="1" applyBorder="1" applyAlignment="1">
      <alignment/>
    </xf>
    <xf numFmtId="0" fontId="1" fillId="0" borderId="0" xfId="0" applyFont="1" applyAlignment="1">
      <alignment horizontal="centerContinuous"/>
    </xf>
    <xf numFmtId="0" fontId="0" fillId="0" borderId="0" xfId="0" applyAlignment="1">
      <alignment horizontal="centerContinuous"/>
    </xf>
    <xf numFmtId="37" fontId="0" fillId="0" borderId="0" xfId="0" applyNumberFormat="1" applyBorder="1" applyAlignment="1">
      <alignment horizontal="center"/>
    </xf>
    <xf numFmtId="172" fontId="0" fillId="0" borderId="0" xfId="0" applyNumberFormat="1" applyBorder="1" applyAlignment="1">
      <alignment horizontal="center"/>
    </xf>
    <xf numFmtId="37" fontId="0" fillId="0" borderId="6" xfId="0" applyNumberFormat="1" applyBorder="1" applyAlignment="1">
      <alignment horizontal="center"/>
    </xf>
    <xf numFmtId="0" fontId="40" fillId="0" borderId="0" xfId="0" applyFont="1" applyAlignment="1">
      <alignment/>
    </xf>
    <xf numFmtId="172" fontId="0" fillId="0" borderId="0" xfId="0" applyNumberFormat="1" applyAlignment="1">
      <alignment/>
    </xf>
    <xf numFmtId="170" fontId="0" fillId="0" borderId="0" xfId="0" applyNumberFormat="1" applyAlignment="1">
      <alignment/>
    </xf>
    <xf numFmtId="170" fontId="2" fillId="0" borderId="0" xfId="0" applyNumberFormat="1" applyFont="1" applyAlignment="1">
      <alignment/>
    </xf>
    <xf numFmtId="37" fontId="2" fillId="0" borderId="0" xfId="0" applyNumberFormat="1" applyFont="1" applyAlignment="1">
      <alignment/>
    </xf>
    <xf numFmtId="14" fontId="0" fillId="0" borderId="0" xfId="0" applyNumberFormat="1" applyAlignment="1">
      <alignment/>
    </xf>
    <xf numFmtId="165" fontId="42" fillId="0" borderId="0" xfId="0" applyNumberFormat="1" applyFont="1" applyAlignment="1">
      <alignment/>
    </xf>
    <xf numFmtId="165" fontId="22" fillId="0" borderId="0" xfId="24" applyNumberFormat="1" applyFont="1" applyFill="1">
      <alignment/>
      <protection/>
    </xf>
    <xf numFmtId="39" fontId="46" fillId="0" borderId="0" xfId="0" applyNumberFormat="1" applyFont="1" applyFill="1" applyBorder="1" applyAlignment="1">
      <alignment/>
    </xf>
    <xf numFmtId="39" fontId="47" fillId="0" borderId="0" xfId="0" applyNumberFormat="1" applyFont="1" applyFill="1" applyBorder="1" applyAlignment="1">
      <alignment horizontal="right"/>
    </xf>
    <xf numFmtId="37" fontId="22" fillId="0" borderId="0" xfId="0" applyNumberFormat="1" applyFont="1" applyFill="1" applyBorder="1" applyAlignment="1">
      <alignment/>
    </xf>
    <xf numFmtId="164" fontId="22" fillId="0" borderId="0" xfId="0" applyNumberFormat="1" applyFont="1" applyFill="1" applyBorder="1" applyAlignment="1">
      <alignment/>
    </xf>
    <xf numFmtId="173" fontId="0" fillId="0" borderId="0" xfId="26" applyNumberFormat="1" applyAlignment="1">
      <alignment/>
    </xf>
    <xf numFmtId="37" fontId="0" fillId="0" borderId="0" xfId="0" applyNumberFormat="1" applyAlignment="1">
      <alignment horizontal="center"/>
    </xf>
    <xf numFmtId="0" fontId="9" fillId="0" borderId="0" xfId="0" applyFont="1" applyAlignment="1">
      <alignment/>
    </xf>
    <xf numFmtId="37" fontId="3" fillId="0" borderId="0" xfId="0" applyNumberFormat="1" applyFont="1" applyAlignment="1">
      <alignment/>
    </xf>
    <xf numFmtId="37" fontId="49" fillId="0" borderId="0" xfId="0" applyNumberFormat="1" applyFont="1" applyAlignment="1">
      <alignment/>
    </xf>
    <xf numFmtId="174" fontId="0" fillId="0" borderId="0" xfId="26" applyNumberFormat="1" applyAlignment="1">
      <alignment/>
    </xf>
    <xf numFmtId="0" fontId="50" fillId="0" borderId="0" xfId="0" applyFont="1" applyAlignment="1">
      <alignment/>
    </xf>
    <xf numFmtId="41" fontId="21" fillId="0" borderId="9" xfId="24" applyNumberFormat="1" applyFont="1" applyFill="1" applyBorder="1">
      <alignment/>
      <protection/>
    </xf>
    <xf numFmtId="0" fontId="9" fillId="0" borderId="0" xfId="0" applyFont="1" applyAlignment="1">
      <alignment/>
    </xf>
    <xf numFmtId="165" fontId="21" fillId="0" borderId="0" xfId="24" applyNumberFormat="1" applyFont="1" applyFill="1" applyBorder="1">
      <alignment/>
      <protection/>
    </xf>
    <xf numFmtId="165" fontId="21" fillId="0" borderId="9" xfId="24" applyNumberFormat="1" applyFont="1" applyFill="1" applyBorder="1">
      <alignment/>
      <protection/>
    </xf>
    <xf numFmtId="0" fontId="51" fillId="0" borderId="0" xfId="0" applyFont="1" applyAlignment="1">
      <alignment/>
    </xf>
    <xf numFmtId="164" fontId="39" fillId="0" borderId="0" xfId="0" applyNumberFormat="1" applyFont="1" applyAlignment="1">
      <alignment horizontal="left"/>
    </xf>
    <xf numFmtId="14" fontId="2" fillId="0" borderId="0" xfId="0" applyNumberFormat="1" applyFont="1" applyAlignment="1">
      <alignment horizontal="center"/>
    </xf>
    <xf numFmtId="0" fontId="52" fillId="0" borderId="0" xfId="0" applyFont="1" applyAlignment="1">
      <alignment horizontal="right"/>
    </xf>
    <xf numFmtId="0" fontId="52" fillId="0" borderId="0" xfId="0" applyFont="1" applyAlignment="1">
      <alignment/>
    </xf>
    <xf numFmtId="168" fontId="0" fillId="0" borderId="0" xfId="15" applyNumberFormat="1" applyAlignment="1">
      <alignment/>
    </xf>
    <xf numFmtId="175" fontId="0" fillId="0" borderId="0" xfId="0" applyNumberFormat="1" applyAlignment="1">
      <alignment/>
    </xf>
    <xf numFmtId="0" fontId="2" fillId="0" borderId="0" xfId="0" applyFont="1" applyAlignment="1">
      <alignment horizontal="right"/>
    </xf>
    <xf numFmtId="168" fontId="2" fillId="0" borderId="12" xfId="15" applyNumberFormat="1" applyFont="1" applyFill="1" applyBorder="1" applyAlignment="1">
      <alignment/>
    </xf>
    <xf numFmtId="168" fontId="2" fillId="9" borderId="12" xfId="15" applyNumberFormat="1" applyFont="1" applyFill="1" applyBorder="1" applyAlignment="1">
      <alignment/>
    </xf>
    <xf numFmtId="168" fontId="2" fillId="0" borderId="0" xfId="15" applyNumberFormat="1" applyFont="1" applyFill="1" applyBorder="1" applyAlignment="1">
      <alignment/>
    </xf>
    <xf numFmtId="168" fontId="2" fillId="0" borderId="0" xfId="15" applyNumberFormat="1" applyFont="1" applyBorder="1" applyAlignment="1">
      <alignment/>
    </xf>
    <xf numFmtId="165" fontId="0" fillId="0" borderId="0" xfId="15" applyNumberFormat="1" applyFont="1" applyAlignment="1">
      <alignment/>
    </xf>
    <xf numFmtId="9" fontId="0" fillId="0" borderId="0" xfId="26" applyFont="1" applyAlignment="1">
      <alignment/>
    </xf>
    <xf numFmtId="0" fontId="0" fillId="0" borderId="1" xfId="0" applyFont="1" applyBorder="1" applyAlignment="1">
      <alignment/>
    </xf>
    <xf numFmtId="0" fontId="0" fillId="0" borderId="2" xfId="0" applyFont="1" applyBorder="1" applyAlignment="1">
      <alignment/>
    </xf>
    <xf numFmtId="0" fontId="0" fillId="0" borderId="23" xfId="0" applyFont="1" applyBorder="1" applyAlignment="1">
      <alignment/>
    </xf>
    <xf numFmtId="0" fontId="0" fillId="0" borderId="3" xfId="0" applyFont="1" applyBorder="1" applyAlignment="1">
      <alignment/>
    </xf>
    <xf numFmtId="0" fontId="0" fillId="0" borderId="0" xfId="0" applyFont="1" applyBorder="1" applyAlignment="1">
      <alignment/>
    </xf>
    <xf numFmtId="165" fontId="0" fillId="0" borderId="7" xfId="15" applyNumberFormat="1" applyFont="1" applyBorder="1" applyAlignment="1">
      <alignment/>
    </xf>
    <xf numFmtId="10" fontId="0" fillId="0" borderId="7" xfId="26" applyNumberFormat="1" applyFont="1" applyBorder="1" applyAlignment="1">
      <alignment/>
    </xf>
    <xf numFmtId="0" fontId="0" fillId="0" borderId="5" xfId="0" applyFont="1" applyBorder="1" applyAlignment="1">
      <alignment/>
    </xf>
    <xf numFmtId="0" fontId="0" fillId="0" borderId="6" xfId="0" applyFont="1" applyBorder="1" applyAlignment="1">
      <alignment/>
    </xf>
    <xf numFmtId="10" fontId="0" fillId="0" borderId="4" xfId="26" applyNumberFormat="1" applyFont="1" applyBorder="1" applyAlignment="1">
      <alignment/>
    </xf>
    <xf numFmtId="43" fontId="0" fillId="0" borderId="0" xfId="15" applyAlignment="1">
      <alignment/>
    </xf>
    <xf numFmtId="9" fontId="50" fillId="0" borderId="0" xfId="26" applyFont="1" applyAlignment="1">
      <alignment/>
    </xf>
    <xf numFmtId="9" fontId="53" fillId="0" borderId="0" xfId="26" applyFont="1" applyAlignment="1">
      <alignment horizontal="center"/>
    </xf>
    <xf numFmtId="0" fontId="0" fillId="0" borderId="11" xfId="0" applyBorder="1" applyAlignment="1">
      <alignment/>
    </xf>
    <xf numFmtId="44" fontId="0" fillId="0" borderId="0" xfId="18" applyAlignment="1">
      <alignment/>
    </xf>
    <xf numFmtId="0" fontId="0" fillId="0" borderId="5" xfId="0" applyBorder="1" applyAlignment="1">
      <alignment/>
    </xf>
    <xf numFmtId="0" fontId="0" fillId="0" borderId="3" xfId="0" applyBorder="1" applyAlignment="1">
      <alignment/>
    </xf>
    <xf numFmtId="0" fontId="0" fillId="0" borderId="7" xfId="0" applyBorder="1" applyAlignment="1">
      <alignment/>
    </xf>
    <xf numFmtId="5" fontId="31" fillId="0" borderId="0" xfId="0" applyNumberFormat="1" applyFont="1" applyFill="1" applyAlignment="1">
      <alignment/>
    </xf>
    <xf numFmtId="9" fontId="31" fillId="0" borderId="0" xfId="0" applyNumberFormat="1" applyFont="1" applyFill="1" applyAlignment="1">
      <alignment horizontal="center"/>
    </xf>
    <xf numFmtId="9" fontId="31" fillId="0" borderId="0" xfId="0" applyNumberFormat="1" applyFont="1" applyFill="1" applyAlignment="1">
      <alignment/>
    </xf>
    <xf numFmtId="9" fontId="13" fillId="0" borderId="0" xfId="0" applyNumberFormat="1" applyFont="1" applyFill="1" applyAlignment="1">
      <alignment/>
    </xf>
    <xf numFmtId="179" fontId="31" fillId="0" borderId="0" xfId="0" applyNumberFormat="1" applyFont="1" applyFill="1" applyAlignment="1">
      <alignment horizontal="center"/>
    </xf>
    <xf numFmtId="9" fontId="55" fillId="0" borderId="0" xfId="0" applyNumberFormat="1" applyFont="1" applyFill="1" applyAlignment="1">
      <alignment/>
    </xf>
    <xf numFmtId="9" fontId="31" fillId="0" borderId="0" xfId="0" applyNumberFormat="1" applyFont="1" applyFill="1" applyAlignment="1">
      <alignment/>
    </xf>
    <xf numFmtId="0" fontId="56" fillId="0" borderId="0" xfId="0" applyFont="1" applyFill="1" applyAlignment="1">
      <alignment/>
    </xf>
    <xf numFmtId="37" fontId="31" fillId="0" borderId="0" xfId="0" applyNumberFormat="1" applyFont="1" applyFill="1" applyAlignment="1">
      <alignment/>
    </xf>
    <xf numFmtId="41" fontId="31" fillId="0" borderId="0" xfId="0" applyNumberFormat="1" applyFont="1" applyFill="1" applyBorder="1" applyAlignment="1">
      <alignment/>
    </xf>
    <xf numFmtId="37" fontId="13" fillId="0" borderId="0" xfId="0" applyNumberFormat="1" applyFont="1" applyFill="1" applyAlignment="1">
      <alignment/>
    </xf>
    <xf numFmtId="37" fontId="31" fillId="0" borderId="0" xfId="0" applyNumberFormat="1" applyFont="1" applyFill="1" applyAlignment="1">
      <alignment horizontal="center"/>
    </xf>
    <xf numFmtId="7" fontId="31" fillId="0" borderId="0" xfId="0" applyNumberFormat="1" applyFont="1" applyFill="1" applyAlignment="1">
      <alignment/>
    </xf>
    <xf numFmtId="5" fontId="31" fillId="0" borderId="2" xfId="0" applyNumberFormat="1" applyFont="1" applyFill="1" applyBorder="1" applyAlignment="1">
      <alignment/>
    </xf>
    <xf numFmtId="5" fontId="13" fillId="0" borderId="2" xfId="0" applyNumberFormat="1" applyFont="1" applyFill="1" applyBorder="1" applyAlignment="1">
      <alignment/>
    </xf>
    <xf numFmtId="5" fontId="31" fillId="0" borderId="0" xfId="0" applyNumberFormat="1" applyFont="1" applyFill="1" applyBorder="1" applyAlignment="1">
      <alignment/>
    </xf>
    <xf numFmtId="10" fontId="31" fillId="0" borderId="0" xfId="0" applyNumberFormat="1" applyFont="1" applyFill="1" applyAlignment="1">
      <alignment horizontal="center"/>
    </xf>
    <xf numFmtId="5" fontId="31" fillId="0" borderId="9" xfId="0" applyNumberFormat="1" applyFont="1" applyFill="1" applyBorder="1" applyAlignment="1">
      <alignment/>
    </xf>
    <xf numFmtId="37" fontId="46" fillId="0" borderId="0" xfId="0" applyNumberFormat="1" applyFont="1" applyFill="1" applyAlignment="1">
      <alignment/>
    </xf>
    <xf numFmtId="43" fontId="13" fillId="0" borderId="0" xfId="15" applyFont="1" applyFill="1" applyAlignment="1">
      <alignment/>
    </xf>
    <xf numFmtId="5" fontId="13" fillId="0" borderId="0" xfId="0" applyNumberFormat="1" applyFont="1" applyFill="1" applyBorder="1" applyAlignment="1">
      <alignment/>
    </xf>
    <xf numFmtId="0" fontId="13" fillId="0" borderId="0" xfId="0" applyFont="1" applyAlignment="1">
      <alignment/>
    </xf>
    <xf numFmtId="0" fontId="13" fillId="0" borderId="0" xfId="0" applyFont="1" applyAlignment="1">
      <alignment horizontal="center"/>
    </xf>
    <xf numFmtId="41" fontId="13" fillId="0" borderId="0" xfId="0" applyNumberFormat="1" applyFont="1" applyAlignment="1">
      <alignment horizontal="center"/>
    </xf>
    <xf numFmtId="180" fontId="13" fillId="0" borderId="6" xfId="0" applyNumberFormat="1" applyFont="1" applyBorder="1" applyAlignment="1">
      <alignment/>
    </xf>
    <xf numFmtId="0" fontId="57" fillId="0" borderId="0" xfId="0" applyFont="1" applyAlignment="1">
      <alignment horizontal="right"/>
    </xf>
    <xf numFmtId="0" fontId="5" fillId="0" borderId="0" xfId="0" applyFont="1" applyAlignment="1">
      <alignment/>
    </xf>
    <xf numFmtId="0" fontId="21" fillId="0" borderId="0" xfId="0" applyFont="1" applyAlignment="1">
      <alignment horizontal="right"/>
    </xf>
    <xf numFmtId="3" fontId="13" fillId="0" borderId="0" xfId="15" applyNumberFormat="1" applyFont="1" applyAlignment="1">
      <alignment horizontal="right"/>
    </xf>
    <xf numFmtId="37" fontId="5" fillId="0" borderId="0" xfId="0" applyNumberFormat="1" applyFont="1" applyFill="1" applyBorder="1" applyAlignment="1">
      <alignment/>
    </xf>
    <xf numFmtId="41" fontId="22" fillId="0" borderId="0" xfId="0" applyNumberFormat="1" applyFont="1" applyAlignment="1">
      <alignment/>
    </xf>
    <xf numFmtId="180" fontId="13" fillId="0" borderId="0" xfId="0" applyNumberFormat="1" applyFont="1" applyBorder="1" applyAlignment="1">
      <alignment/>
    </xf>
    <xf numFmtId="165" fontId="2" fillId="0" borderId="1" xfId="15" applyNumberFormat="1" applyFont="1" applyBorder="1" applyAlignment="1">
      <alignment/>
    </xf>
    <xf numFmtId="0" fontId="0" fillId="0" borderId="2" xfId="0" applyBorder="1" applyAlignment="1">
      <alignment/>
    </xf>
    <xf numFmtId="165" fontId="2" fillId="0" borderId="3" xfId="15" applyNumberFormat="1" applyFont="1" applyBorder="1" applyAlignment="1">
      <alignment/>
    </xf>
    <xf numFmtId="0" fontId="0" fillId="0" borderId="0" xfId="0" applyBorder="1" applyAlignment="1">
      <alignment/>
    </xf>
    <xf numFmtId="0" fontId="54" fillId="0" borderId="5" xfId="0" applyFont="1" applyBorder="1" applyAlignment="1">
      <alignment/>
    </xf>
    <xf numFmtId="178" fontId="0" fillId="10" borderId="4" xfId="18" applyNumberFormat="1" applyFill="1" applyBorder="1" applyAlignment="1">
      <alignment/>
    </xf>
    <xf numFmtId="165" fontId="0" fillId="0" borderId="0" xfId="0" applyNumberFormat="1" applyBorder="1" applyAlignment="1">
      <alignment/>
    </xf>
    <xf numFmtId="165" fontId="0" fillId="0" borderId="23" xfId="15" applyNumberFormat="1" applyBorder="1" applyAlignment="1">
      <alignment/>
    </xf>
    <xf numFmtId="165" fontId="42" fillId="0" borderId="7" xfId="15" applyNumberFormat="1" applyFont="1" applyBorder="1" applyAlignment="1">
      <alignment/>
    </xf>
    <xf numFmtId="1" fontId="33" fillId="0" borderId="0" xfId="0" applyNumberFormat="1" applyFont="1" applyFill="1" applyAlignment="1">
      <alignment horizontal="center"/>
    </xf>
    <xf numFmtId="7" fontId="35" fillId="0" borderId="0" xfId="18" applyNumberFormat="1" applyFont="1" applyFill="1" applyAlignment="1">
      <alignment horizontal="center"/>
    </xf>
    <xf numFmtId="39" fontId="13" fillId="0" borderId="0" xfId="0" applyNumberFormat="1" applyFont="1" applyFill="1" applyAlignment="1">
      <alignment/>
    </xf>
    <xf numFmtId="37" fontId="31" fillId="0" borderId="0" xfId="15" applyNumberFormat="1" applyFont="1" applyFill="1" applyAlignment="1">
      <alignment/>
    </xf>
    <xf numFmtId="44" fontId="31" fillId="0" borderId="0" xfId="18" applyFont="1" applyFill="1" applyAlignment="1">
      <alignment/>
    </xf>
    <xf numFmtId="5" fontId="22" fillId="0" borderId="0" xfId="24" applyNumberFormat="1" applyFont="1" applyFill="1">
      <alignment/>
      <protection/>
    </xf>
    <xf numFmtId="3" fontId="5" fillId="0" borderId="0" xfId="15" applyNumberFormat="1" applyFont="1" applyAlignment="1">
      <alignment/>
    </xf>
    <xf numFmtId="3" fontId="20" fillId="0" borderId="0" xfId="15" applyNumberFormat="1" applyFont="1" applyAlignment="1">
      <alignment/>
    </xf>
    <xf numFmtId="5" fontId="31" fillId="0" borderId="0" xfId="0" applyNumberFormat="1" applyFont="1" applyFill="1" applyAlignment="1">
      <alignment horizontal="right"/>
    </xf>
    <xf numFmtId="37" fontId="13" fillId="0" borderId="0" xfId="0" applyNumberFormat="1" applyFont="1" applyFill="1" applyBorder="1" applyAlignment="1">
      <alignment/>
    </xf>
    <xf numFmtId="5" fontId="13" fillId="0" borderId="9" xfId="0" applyNumberFormat="1" applyFont="1" applyFill="1" applyBorder="1" applyAlignment="1">
      <alignment/>
    </xf>
    <xf numFmtId="0" fontId="24" fillId="0" borderId="0" xfId="0" applyFont="1" applyFill="1" applyAlignment="1">
      <alignment/>
    </xf>
    <xf numFmtId="0" fontId="31" fillId="0" borderId="0" xfId="0" applyFont="1" applyFill="1" applyAlignment="1">
      <alignment horizontal="right"/>
    </xf>
    <xf numFmtId="3" fontId="58" fillId="0" borderId="0" xfId="0" applyNumberFormat="1" applyFont="1" applyFill="1" applyBorder="1" applyAlignment="1">
      <alignment vertical="center"/>
    </xf>
    <xf numFmtId="3" fontId="58" fillId="0" borderId="0" xfId="0" applyNumberFormat="1" applyFont="1" applyFill="1" applyBorder="1" applyAlignment="1">
      <alignment/>
    </xf>
    <xf numFmtId="37" fontId="13" fillId="0" borderId="2" xfId="0" applyNumberFormat="1" applyFont="1" applyFill="1" applyBorder="1" applyAlignment="1">
      <alignment/>
    </xf>
    <xf numFmtId="0" fontId="59" fillId="0" borderId="0" xfId="0" applyFont="1" applyFill="1" applyAlignment="1">
      <alignment/>
    </xf>
    <xf numFmtId="0" fontId="5" fillId="0" borderId="0" xfId="0" applyFont="1" applyFill="1" applyAlignment="1">
      <alignment/>
    </xf>
    <xf numFmtId="0" fontId="13" fillId="0" borderId="0" xfId="0" applyFont="1" applyFill="1" applyAlignment="1">
      <alignment horizontal="right"/>
    </xf>
    <xf numFmtId="8" fontId="60" fillId="0" borderId="0" xfId="15" applyNumberFormat="1" applyFont="1" applyFill="1" applyAlignment="1" quotePrefix="1">
      <alignment horizontal="right"/>
    </xf>
    <xf numFmtId="185" fontId="13" fillId="0" borderId="0" xfId="0" applyNumberFormat="1" applyFont="1" applyFill="1" applyBorder="1" applyAlignment="1">
      <alignment/>
    </xf>
    <xf numFmtId="0" fontId="57" fillId="0" borderId="0" xfId="0" applyFont="1" applyFill="1" applyBorder="1" applyAlignment="1">
      <alignment horizontal="right" vertical="center"/>
    </xf>
    <xf numFmtId="0" fontId="61" fillId="0" borderId="0" xfId="0" applyFont="1" applyFill="1" applyAlignment="1">
      <alignment/>
    </xf>
    <xf numFmtId="0" fontId="13" fillId="0" borderId="0" xfId="0" applyFont="1" applyFill="1" applyBorder="1" applyAlignment="1">
      <alignment/>
    </xf>
    <xf numFmtId="5" fontId="62" fillId="0" borderId="0" xfId="0" applyNumberFormat="1" applyFont="1" applyFill="1" applyAlignment="1">
      <alignment/>
    </xf>
    <xf numFmtId="5" fontId="13" fillId="0" borderId="0" xfId="0" applyNumberFormat="1" applyFont="1" applyFill="1" applyAlignment="1">
      <alignment/>
    </xf>
    <xf numFmtId="0" fontId="58" fillId="0" borderId="0" xfId="0" applyFont="1" applyFill="1" applyAlignment="1">
      <alignment vertical="center"/>
    </xf>
    <xf numFmtId="0" fontId="13" fillId="0" borderId="0" xfId="0" applyFont="1" applyFill="1" applyAlignment="1">
      <alignment vertical="center"/>
    </xf>
    <xf numFmtId="0" fontId="13" fillId="0" borderId="0" xfId="0" applyFont="1" applyFill="1" applyBorder="1" applyAlignment="1">
      <alignment vertical="center"/>
    </xf>
    <xf numFmtId="0" fontId="60" fillId="0" borderId="0" xfId="0" applyFont="1" applyFill="1" applyBorder="1" applyAlignment="1">
      <alignment vertical="center"/>
    </xf>
    <xf numFmtId="0" fontId="58" fillId="0" borderId="0" xfId="0" applyFont="1" applyFill="1" applyAlignment="1">
      <alignment/>
    </xf>
    <xf numFmtId="0" fontId="60" fillId="0" borderId="0" xfId="0" applyFont="1" applyFill="1" applyAlignment="1">
      <alignment/>
    </xf>
    <xf numFmtId="41" fontId="13" fillId="0" borderId="0" xfId="0" applyNumberFormat="1" applyFont="1" applyFill="1" applyAlignment="1">
      <alignment horizontal="right"/>
    </xf>
    <xf numFmtId="41" fontId="13" fillId="0" borderId="0" xfId="0" applyNumberFormat="1" applyFont="1" applyFill="1" applyAlignment="1">
      <alignment/>
    </xf>
    <xf numFmtId="10" fontId="35" fillId="0" borderId="0" xfId="0" applyNumberFormat="1" applyFont="1" applyFill="1" applyAlignment="1">
      <alignment horizontal="center"/>
    </xf>
    <xf numFmtId="5" fontId="31" fillId="0" borderId="0" xfId="0" applyNumberFormat="1" applyFont="1" applyFill="1" applyAlignment="1">
      <alignment horizontal="center"/>
    </xf>
    <xf numFmtId="37" fontId="38" fillId="0" borderId="0" xfId="0" applyNumberFormat="1" applyFont="1" applyFill="1" applyAlignment="1">
      <alignment/>
    </xf>
    <xf numFmtId="37" fontId="38" fillId="0" borderId="0" xfId="0" applyNumberFormat="1" applyFont="1" applyFill="1" applyAlignment="1">
      <alignment horizontal="center"/>
    </xf>
    <xf numFmtId="3" fontId="0" fillId="0" borderId="0" xfId="26" applyNumberFormat="1" applyFont="1" applyBorder="1" applyAlignment="1">
      <alignment/>
    </xf>
    <xf numFmtId="41" fontId="38" fillId="0" borderId="0" xfId="24" applyNumberFormat="1" applyFont="1" applyFill="1">
      <alignment/>
      <protection/>
    </xf>
    <xf numFmtId="0" fontId="38" fillId="0" borderId="0" xfId="0" applyFont="1" applyAlignment="1">
      <alignment horizontal="left"/>
    </xf>
    <xf numFmtId="173" fontId="39" fillId="0" borderId="0" xfId="26" applyNumberFormat="1" applyFont="1" applyAlignment="1">
      <alignment horizontal="left"/>
    </xf>
    <xf numFmtId="165" fontId="31" fillId="0" borderId="0" xfId="15" applyNumberFormat="1" applyFont="1" applyFill="1" applyAlignment="1">
      <alignment horizontal="right"/>
    </xf>
    <xf numFmtId="0" fontId="64" fillId="0" borderId="16" xfId="0" applyFont="1" applyBorder="1" applyAlignment="1">
      <alignment horizontal="center"/>
    </xf>
    <xf numFmtId="0" fontId="65" fillId="0" borderId="16" xfId="0" applyFont="1" applyBorder="1" applyAlignment="1">
      <alignment horizontal="center"/>
    </xf>
    <xf numFmtId="3" fontId="65" fillId="0" borderId="16" xfId="0" applyNumberFormat="1" applyFont="1" applyBorder="1" applyAlignment="1">
      <alignment/>
    </xf>
    <xf numFmtId="3" fontId="65" fillId="0" borderId="17" xfId="0" applyNumberFormat="1" applyFont="1" applyBorder="1" applyAlignment="1">
      <alignment/>
    </xf>
    <xf numFmtId="3" fontId="65" fillId="0" borderId="18" xfId="0" applyNumberFormat="1" applyFont="1" applyBorder="1" applyAlignment="1">
      <alignment/>
    </xf>
    <xf numFmtId="0" fontId="64" fillId="0" borderId="19" xfId="0" applyFont="1" applyBorder="1" applyAlignment="1">
      <alignment horizontal="center"/>
    </xf>
    <xf numFmtId="0" fontId="65" fillId="0" borderId="19" xfId="0" applyFont="1" applyBorder="1" applyAlignment="1">
      <alignment horizontal="center"/>
    </xf>
    <xf numFmtId="3" fontId="65" fillId="0" borderId="19" xfId="0" applyNumberFormat="1" applyFont="1" applyBorder="1" applyAlignment="1">
      <alignment horizontal="centerContinuous"/>
    </xf>
    <xf numFmtId="3" fontId="65" fillId="0" borderId="0" xfId="0" applyNumberFormat="1" applyFont="1" applyBorder="1" applyAlignment="1">
      <alignment horizontal="centerContinuous"/>
    </xf>
    <xf numFmtId="3" fontId="65" fillId="0" borderId="20" xfId="0" applyNumberFormat="1" applyFont="1" applyBorder="1" applyAlignment="1">
      <alignment horizontal="centerContinuous"/>
    </xf>
    <xf numFmtId="0" fontId="65" fillId="0" borderId="19" xfId="0" applyFont="1" applyBorder="1" applyAlignment="1">
      <alignment horizontal="left"/>
    </xf>
    <xf numFmtId="3" fontId="65" fillId="0" borderId="19" xfId="0" applyNumberFormat="1" applyFont="1" applyBorder="1" applyAlignment="1">
      <alignment/>
    </xf>
    <xf numFmtId="3" fontId="65" fillId="0" borderId="0" xfId="0" applyNumberFormat="1" applyFont="1" applyBorder="1" applyAlignment="1">
      <alignment/>
    </xf>
    <xf numFmtId="3" fontId="65" fillId="0" borderId="20" xfId="0" applyNumberFormat="1" applyFont="1" applyBorder="1" applyAlignment="1">
      <alignment/>
    </xf>
    <xf numFmtId="0" fontId="66" fillId="0" borderId="24" xfId="0" applyFont="1" applyBorder="1" applyAlignment="1">
      <alignment horizontal="center"/>
    </xf>
    <xf numFmtId="0" fontId="67" fillId="0" borderId="24" xfId="0" applyFont="1" applyBorder="1" applyAlignment="1">
      <alignment horizontal="center"/>
    </xf>
    <xf numFmtId="3" fontId="65" fillId="0" borderId="24" xfId="0" applyNumberFormat="1" applyFont="1" applyBorder="1" applyAlignment="1">
      <alignment horizontal="center"/>
    </xf>
    <xf numFmtId="1" fontId="66" fillId="0" borderId="25" xfId="0" applyNumberFormat="1" applyFont="1" applyBorder="1" applyAlignment="1">
      <alignment horizontal="center"/>
    </xf>
    <xf numFmtId="1" fontId="67" fillId="0" borderId="25" xfId="0" applyNumberFormat="1" applyFont="1" applyBorder="1" applyAlignment="1">
      <alignment horizontal="center"/>
    </xf>
    <xf numFmtId="1" fontId="65" fillId="0" borderId="25" xfId="0" applyNumberFormat="1" applyFont="1" applyBorder="1" applyAlignment="1">
      <alignment horizontal="center"/>
    </xf>
    <xf numFmtId="0" fontId="68" fillId="0" borderId="26" xfId="0" applyFont="1" applyBorder="1" applyAlignment="1">
      <alignment/>
    </xf>
    <xf numFmtId="0" fontId="68" fillId="0" borderId="26" xfId="0" applyFont="1" applyBorder="1" applyAlignment="1">
      <alignment horizontal="center"/>
    </xf>
    <xf numFmtId="38" fontId="69" fillId="0" borderId="26" xfId="0" applyNumberFormat="1" applyFont="1" applyBorder="1" applyAlignment="1">
      <alignment/>
    </xf>
    <xf numFmtId="38" fontId="68" fillId="0" borderId="27" xfId="0" applyNumberFormat="1" applyFont="1" applyBorder="1" applyAlignment="1">
      <alignment/>
    </xf>
    <xf numFmtId="0" fontId="68" fillId="0" borderId="28" xfId="0" applyFont="1" applyBorder="1" applyAlignment="1">
      <alignment/>
    </xf>
    <xf numFmtId="0" fontId="68" fillId="0" borderId="28" xfId="0" applyFont="1" applyBorder="1" applyAlignment="1">
      <alignment horizontal="center"/>
    </xf>
    <xf numFmtId="38" fontId="69" fillId="0" borderId="28" xfId="0" applyNumberFormat="1" applyFont="1" applyBorder="1" applyAlignment="1">
      <alignment/>
    </xf>
    <xf numFmtId="38" fontId="68" fillId="0" borderId="29" xfId="0" applyNumberFormat="1" applyFont="1" applyBorder="1" applyAlignment="1">
      <alignment/>
    </xf>
    <xf numFmtId="38" fontId="70" fillId="0" borderId="28" xfId="0" applyNumberFormat="1" applyFont="1" applyBorder="1" applyAlignment="1">
      <alignment/>
    </xf>
    <xf numFmtId="0" fontId="68" fillId="0" borderId="30" xfId="0" applyFont="1" applyBorder="1" applyAlignment="1">
      <alignment horizontal="right"/>
    </xf>
    <xf numFmtId="1" fontId="68" fillId="0" borderId="30" xfId="0" applyNumberFormat="1" applyFont="1" applyBorder="1" applyAlignment="1">
      <alignment/>
    </xf>
    <xf numFmtId="38" fontId="68" fillId="0" borderId="30" xfId="0" applyNumberFormat="1" applyFont="1" applyBorder="1" applyAlignment="1">
      <alignment/>
    </xf>
    <xf numFmtId="38" fontId="68" fillId="0" borderId="31" xfId="0" applyNumberFormat="1" applyFont="1" applyBorder="1" applyAlignment="1">
      <alignment/>
    </xf>
    <xf numFmtId="0" fontId="68" fillId="0" borderId="30" xfId="0" applyFont="1" applyBorder="1" applyAlignment="1">
      <alignment/>
    </xf>
    <xf numFmtId="0" fontId="68" fillId="0" borderId="24" xfId="0" applyFont="1" applyBorder="1" applyAlignment="1">
      <alignment horizontal="right"/>
    </xf>
    <xf numFmtId="0" fontId="68" fillId="0" borderId="24" xfId="0" applyFont="1" applyBorder="1" applyAlignment="1">
      <alignment/>
    </xf>
    <xf numFmtId="38" fontId="68" fillId="0" borderId="24" xfId="0" applyNumberFormat="1" applyFont="1" applyBorder="1" applyAlignment="1">
      <alignment/>
    </xf>
    <xf numFmtId="10" fontId="0" fillId="0" borderId="0" xfId="26" applyNumberFormat="1" applyAlignment="1">
      <alignment/>
    </xf>
    <xf numFmtId="165" fontId="2" fillId="0" borderId="0" xfId="15" applyNumberFormat="1" applyFont="1" applyAlignment="1">
      <alignment/>
    </xf>
    <xf numFmtId="184" fontId="31" fillId="0" borderId="0" xfId="0" applyNumberFormat="1" applyFont="1" applyFill="1" applyAlignment="1">
      <alignment horizontal="center"/>
    </xf>
    <xf numFmtId="0" fontId="71" fillId="0" borderId="0" xfId="0" applyFont="1" applyAlignment="1">
      <alignment horizontal="center"/>
    </xf>
    <xf numFmtId="164" fontId="0" fillId="0" borderId="0" xfId="26" applyNumberFormat="1" applyAlignment="1">
      <alignment/>
    </xf>
    <xf numFmtId="0" fontId="3" fillId="0" borderId="0" xfId="0" applyFont="1" applyAlignment="1">
      <alignment horizontal="center"/>
    </xf>
    <xf numFmtId="164" fontId="0" fillId="0" borderId="0" xfId="0" applyNumberFormat="1" applyAlignment="1">
      <alignment/>
    </xf>
    <xf numFmtId="165" fontId="0" fillId="10" borderId="32" xfId="15" applyNumberFormat="1" applyFill="1" applyBorder="1" applyAlignment="1">
      <alignment/>
    </xf>
    <xf numFmtId="0" fontId="0" fillId="0" borderId="0" xfId="0" applyFill="1" applyBorder="1" applyAlignment="1">
      <alignment/>
    </xf>
    <xf numFmtId="165" fontId="0" fillId="0" borderId="0" xfId="15" applyNumberFormat="1" applyFill="1" applyBorder="1" applyAlignment="1">
      <alignment/>
    </xf>
    <xf numFmtId="0" fontId="0" fillId="9" borderId="33" xfId="0" applyFill="1" applyBorder="1" applyAlignment="1">
      <alignment/>
    </xf>
    <xf numFmtId="0" fontId="0" fillId="9" borderId="34" xfId="0" applyFill="1" applyBorder="1" applyAlignment="1">
      <alignment/>
    </xf>
    <xf numFmtId="3" fontId="0" fillId="0" borderId="0" xfId="0" applyNumberFormat="1" applyAlignment="1">
      <alignment/>
    </xf>
    <xf numFmtId="0" fontId="19" fillId="0" borderId="0" xfId="0" applyFont="1" applyFill="1" applyAlignment="1">
      <alignment/>
    </xf>
    <xf numFmtId="3" fontId="18" fillId="0" borderId="0" xfId="15" applyNumberFormat="1" applyFont="1" applyFill="1" applyAlignment="1">
      <alignment/>
    </xf>
    <xf numFmtId="165" fontId="18" fillId="0" borderId="0" xfId="15" applyNumberFormat="1" applyFont="1" applyFill="1" applyBorder="1" applyAlignment="1">
      <alignment/>
    </xf>
    <xf numFmtId="10" fontId="0" fillId="0" borderId="0" xfId="26" applyNumberFormat="1" applyFont="1" applyBorder="1" applyAlignment="1">
      <alignment horizontal="center"/>
    </xf>
    <xf numFmtId="5" fontId="0" fillId="0" borderId="0" xfId="0" applyNumberFormat="1" applyFont="1" applyFill="1" applyAlignment="1" applyProtection="1">
      <alignment horizontal="center"/>
      <protection/>
    </xf>
    <xf numFmtId="173" fontId="0" fillId="0" borderId="0" xfId="26" applyNumberFormat="1" applyFont="1" applyAlignment="1">
      <alignment horizontal="center"/>
    </xf>
    <xf numFmtId="0" fontId="0" fillId="0" borderId="0" xfId="0" applyFont="1" applyAlignment="1">
      <alignment horizontal="left"/>
    </xf>
    <xf numFmtId="0" fontId="38" fillId="0" borderId="0" xfId="0" applyFont="1" applyAlignment="1">
      <alignment/>
    </xf>
    <xf numFmtId="0" fontId="0" fillId="0" borderId="0" xfId="0" applyFont="1" applyAlignment="1">
      <alignment horizontal="right"/>
    </xf>
    <xf numFmtId="185" fontId="0" fillId="0" borderId="0" xfId="15" applyNumberFormat="1" applyFont="1" applyAlignment="1">
      <alignment horizontal="center"/>
    </xf>
    <xf numFmtId="165" fontId="24" fillId="0" borderId="0" xfId="15" applyNumberFormat="1" applyFont="1" applyFill="1" applyAlignment="1">
      <alignment/>
    </xf>
    <xf numFmtId="41" fontId="31" fillId="0" borderId="0" xfId="0" applyNumberFormat="1" applyFont="1" applyFill="1" applyAlignment="1">
      <alignment horizontal="center"/>
    </xf>
    <xf numFmtId="188" fontId="0" fillId="0" borderId="0" xfId="0" applyNumberFormat="1" applyAlignment="1">
      <alignment/>
    </xf>
    <xf numFmtId="165" fontId="31" fillId="0" borderId="0" xfId="15" applyNumberFormat="1" applyFont="1" applyFill="1" applyAlignment="1">
      <alignment horizontal="center"/>
    </xf>
    <xf numFmtId="0" fontId="9" fillId="0" borderId="0" xfId="0" applyFont="1" applyAlignment="1">
      <alignment horizontal="center"/>
    </xf>
    <xf numFmtId="185" fontId="72" fillId="0" borderId="0" xfId="15" applyNumberFormat="1" applyFont="1" applyAlignment="1">
      <alignment/>
    </xf>
    <xf numFmtId="0" fontId="73" fillId="0" borderId="0" xfId="0" applyFont="1" applyFill="1" applyAlignment="1">
      <alignment/>
    </xf>
    <xf numFmtId="41" fontId="24" fillId="0" borderId="0" xfId="0" applyNumberFormat="1" applyFont="1" applyFill="1" applyAlignment="1">
      <alignment/>
    </xf>
    <xf numFmtId="9" fontId="24" fillId="0" borderId="0" xfId="0" applyNumberFormat="1" applyFont="1" applyFill="1" applyAlignment="1">
      <alignment/>
    </xf>
    <xf numFmtId="173" fontId="24" fillId="0" borderId="0" xfId="26" applyNumberFormat="1" applyFont="1" applyFill="1" applyAlignment="1">
      <alignment/>
    </xf>
    <xf numFmtId="3" fontId="24" fillId="0" borderId="0" xfId="15" applyNumberFormat="1" applyFont="1" applyFill="1" applyAlignment="1">
      <alignment/>
    </xf>
    <xf numFmtId="3" fontId="24" fillId="0" borderId="0" xfId="0" applyNumberFormat="1" applyFont="1" applyFill="1" applyAlignment="1">
      <alignment/>
    </xf>
    <xf numFmtId="0" fontId="76" fillId="0" borderId="0" xfId="0" applyFont="1" applyFill="1" applyAlignment="1">
      <alignment/>
    </xf>
    <xf numFmtId="38" fontId="0" fillId="0" borderId="0" xfId="0" applyNumberFormat="1" applyAlignment="1">
      <alignment/>
    </xf>
    <xf numFmtId="0" fontId="15" fillId="0" borderId="0" xfId="0" applyFont="1" applyFill="1" applyAlignment="1">
      <alignment/>
    </xf>
    <xf numFmtId="0" fontId="5" fillId="0" borderId="0" xfId="0" applyFont="1" applyFill="1" applyAlignment="1">
      <alignment horizontal="right"/>
    </xf>
    <xf numFmtId="0" fontId="16" fillId="0" borderId="0" xfId="0" applyFont="1" applyFill="1" applyAlignment="1">
      <alignment/>
    </xf>
    <xf numFmtId="0" fontId="22" fillId="0" borderId="0" xfId="0" applyFont="1" applyFill="1" applyAlignment="1">
      <alignment/>
    </xf>
    <xf numFmtId="1" fontId="36" fillId="0" borderId="0" xfId="0" applyNumberFormat="1" applyFont="1" applyFill="1" applyAlignment="1">
      <alignment/>
    </xf>
    <xf numFmtId="0" fontId="20" fillId="0" borderId="0" xfId="0" applyFont="1" applyFill="1" applyAlignment="1">
      <alignment/>
    </xf>
    <xf numFmtId="41" fontId="5" fillId="0" borderId="0" xfId="0" applyNumberFormat="1" applyFont="1" applyFill="1" applyAlignment="1">
      <alignment/>
    </xf>
    <xf numFmtId="1" fontId="5" fillId="0" borderId="0" xfId="0" applyNumberFormat="1" applyFont="1" applyFill="1" applyAlignment="1">
      <alignment/>
    </xf>
    <xf numFmtId="9" fontId="5" fillId="0" borderId="0" xfId="0" applyNumberFormat="1" applyFont="1" applyFill="1" applyAlignment="1">
      <alignment/>
    </xf>
    <xf numFmtId="173" fontId="5" fillId="0" borderId="0" xfId="26" applyNumberFormat="1" applyFont="1" applyFill="1" applyAlignment="1">
      <alignment/>
    </xf>
    <xf numFmtId="3" fontId="5" fillId="0" borderId="0" xfId="15" applyNumberFormat="1" applyFont="1" applyFill="1" applyAlignment="1">
      <alignment/>
    </xf>
    <xf numFmtId="3" fontId="5" fillId="0" borderId="12" xfId="0" applyNumberFormat="1" applyFont="1" applyFill="1" applyBorder="1" applyAlignment="1">
      <alignment/>
    </xf>
    <xf numFmtId="3" fontId="5" fillId="0" borderId="0" xfId="0" applyNumberFormat="1" applyFont="1" applyFill="1" applyAlignment="1">
      <alignment/>
    </xf>
    <xf numFmtId="191" fontId="5" fillId="0" borderId="0" xfId="0" applyNumberFormat="1" applyFont="1" applyFill="1" applyAlignment="1">
      <alignment/>
    </xf>
    <xf numFmtId="0" fontId="14" fillId="0" borderId="0" xfId="0" applyFont="1" applyFill="1" applyAlignment="1">
      <alignment/>
    </xf>
    <xf numFmtId="0" fontId="22" fillId="0" borderId="0" xfId="0" applyFont="1" applyFill="1" applyAlignment="1">
      <alignment horizontal="right"/>
    </xf>
    <xf numFmtId="0" fontId="77" fillId="0" borderId="0" xfId="0" applyFont="1" applyFill="1" applyAlignment="1">
      <alignment/>
    </xf>
    <xf numFmtId="41" fontId="5" fillId="0" borderId="0" xfId="15" applyNumberFormat="1" applyFont="1" applyFill="1" applyAlignment="1">
      <alignment/>
    </xf>
    <xf numFmtId="41" fontId="13" fillId="0" borderId="0" xfId="15" applyNumberFormat="1" applyFont="1" applyFill="1" applyAlignment="1">
      <alignment/>
    </xf>
    <xf numFmtId="41" fontId="5" fillId="0" borderId="6" xfId="15" applyNumberFormat="1" applyFont="1" applyFill="1" applyBorder="1" applyAlignment="1">
      <alignment/>
    </xf>
    <xf numFmtId="41" fontId="55" fillId="0" borderId="0" xfId="0" applyNumberFormat="1" applyFont="1" applyFill="1" applyAlignment="1">
      <alignment/>
    </xf>
    <xf numFmtId="165" fontId="5" fillId="0" borderId="0" xfId="15" applyNumberFormat="1" applyFont="1" applyAlignment="1">
      <alignment horizontal="left" indent="1"/>
    </xf>
    <xf numFmtId="0" fontId="71" fillId="0" borderId="0" xfId="0" applyFont="1" applyAlignment="1">
      <alignment horizontal="centerContinuous"/>
    </xf>
    <xf numFmtId="8" fontId="0" fillId="0" borderId="0" xfId="0" applyNumberFormat="1" applyAlignment="1">
      <alignment/>
    </xf>
    <xf numFmtId="0" fontId="2" fillId="0" borderId="0" xfId="0" applyFont="1" applyAlignment="1">
      <alignment/>
    </xf>
    <xf numFmtId="14" fontId="4" fillId="0" borderId="0" xfId="0" applyNumberFormat="1" applyFont="1" applyAlignment="1">
      <alignment horizontal="center"/>
    </xf>
    <xf numFmtId="194" fontId="0" fillId="0" borderId="0" xfId="0" applyNumberFormat="1" applyFill="1" applyAlignment="1">
      <alignment/>
    </xf>
    <xf numFmtId="6" fontId="0" fillId="0" borderId="0" xfId="0" applyNumberFormat="1" applyFill="1" applyAlignment="1">
      <alignment/>
    </xf>
    <xf numFmtId="37" fontId="5" fillId="0" borderId="0" xfId="0" applyNumberFormat="1" applyFont="1" applyFill="1" applyAlignment="1">
      <alignment/>
    </xf>
    <xf numFmtId="183" fontId="5" fillId="0" borderId="0" xfId="0" applyNumberFormat="1" applyFont="1" applyFill="1" applyAlignment="1">
      <alignment/>
    </xf>
    <xf numFmtId="0" fontId="17" fillId="0" borderId="0" xfId="0" applyFont="1" applyFill="1" applyBorder="1" applyAlignment="1">
      <alignment horizontal="left"/>
    </xf>
    <xf numFmtId="0" fontId="15" fillId="0" borderId="0" xfId="0" applyFont="1" applyFill="1" applyAlignment="1" applyProtection="1">
      <alignment/>
      <protection/>
    </xf>
    <xf numFmtId="0" fontId="18" fillId="0" borderId="0" xfId="0" applyFont="1" applyFill="1" applyAlignment="1" applyProtection="1">
      <alignment/>
      <protection/>
    </xf>
    <xf numFmtId="7" fontId="18" fillId="0" borderId="0" xfId="0" applyNumberFormat="1" applyFont="1" applyFill="1" applyAlignment="1" applyProtection="1">
      <alignment/>
      <protection/>
    </xf>
    <xf numFmtId="0" fontId="18" fillId="0" borderId="0" xfId="0" applyFont="1" applyFill="1" applyAlignment="1" applyProtection="1">
      <alignment horizontal="center"/>
      <protection/>
    </xf>
    <xf numFmtId="0" fontId="19" fillId="0" borderId="0" xfId="0" applyFont="1" applyFill="1" applyAlignment="1" applyProtection="1">
      <alignment horizontal="center"/>
      <protection/>
    </xf>
    <xf numFmtId="0" fontId="18" fillId="0" borderId="0" xfId="0" applyFont="1" applyFill="1" applyAlignment="1" applyProtection="1">
      <alignment horizontal="right"/>
      <protection/>
    </xf>
    <xf numFmtId="1" fontId="78" fillId="0" borderId="0" xfId="0" applyNumberFormat="1" applyFont="1" applyFill="1" applyAlignment="1" applyProtection="1">
      <alignment horizontal="right"/>
      <protection/>
    </xf>
    <xf numFmtId="1" fontId="19" fillId="0" borderId="0" xfId="0" applyNumberFormat="1" applyFont="1" applyFill="1" applyAlignment="1" applyProtection="1">
      <alignment horizontal="right"/>
      <protection/>
    </xf>
    <xf numFmtId="0" fontId="18" fillId="0" borderId="0" xfId="0" applyFont="1" applyFill="1" applyAlignment="1" applyProtection="1">
      <alignment/>
      <protection/>
    </xf>
    <xf numFmtId="5" fontId="18" fillId="0" borderId="0" xfId="0" applyNumberFormat="1" applyFont="1" applyFill="1" applyAlignment="1" applyProtection="1">
      <alignment/>
      <protection/>
    </xf>
    <xf numFmtId="5" fontId="18" fillId="0" borderId="6" xfId="0" applyNumberFormat="1" applyFont="1" applyFill="1" applyBorder="1" applyAlignment="1" applyProtection="1">
      <alignment/>
      <protection/>
    </xf>
    <xf numFmtId="41" fontId="18" fillId="0" borderId="0" xfId="0" applyNumberFormat="1" applyFont="1" applyFill="1" applyAlignment="1" applyProtection="1">
      <alignment/>
      <protection/>
    </xf>
    <xf numFmtId="0" fontId="80" fillId="0" borderId="0" xfId="0" applyFont="1" applyFill="1" applyAlignment="1">
      <alignment/>
    </xf>
    <xf numFmtId="3" fontId="19" fillId="0" borderId="0" xfId="0" applyNumberFormat="1" applyFont="1" applyFill="1" applyAlignment="1" applyProtection="1">
      <alignment/>
      <protection/>
    </xf>
    <xf numFmtId="3" fontId="18" fillId="0" borderId="0" xfId="0" applyNumberFormat="1" applyFont="1" applyFill="1" applyAlignment="1" applyProtection="1">
      <alignment/>
      <protection/>
    </xf>
    <xf numFmtId="10" fontId="78" fillId="0" borderId="0" xfId="26" applyNumberFormat="1" applyFont="1" applyFill="1" applyAlignment="1" applyProtection="1">
      <alignment horizontal="right"/>
      <protection/>
    </xf>
    <xf numFmtId="0" fontId="18" fillId="0" borderId="0" xfId="0" applyFont="1" applyFill="1" applyAlignment="1">
      <alignment/>
    </xf>
    <xf numFmtId="3" fontId="81" fillId="0" borderId="0" xfId="0" applyNumberFormat="1" applyFont="1" applyFill="1" applyBorder="1" applyAlignment="1" applyProtection="1">
      <alignment horizontal="right"/>
      <protection/>
    </xf>
    <xf numFmtId="3" fontId="0" fillId="0" borderId="0" xfId="0" applyNumberFormat="1" applyFill="1" applyAlignment="1">
      <alignment/>
    </xf>
    <xf numFmtId="5" fontId="82" fillId="0" borderId="0" xfId="0" applyNumberFormat="1" applyFont="1" applyFill="1" applyAlignment="1" applyProtection="1">
      <alignment/>
      <protection/>
    </xf>
    <xf numFmtId="165" fontId="82" fillId="0" borderId="0" xfId="15" applyNumberFormat="1" applyFont="1" applyFill="1" applyAlignment="1" applyProtection="1">
      <alignment horizontal="right"/>
      <protection/>
    </xf>
    <xf numFmtId="165" fontId="83" fillId="0" borderId="0" xfId="15" applyNumberFormat="1" applyFont="1" applyFill="1" applyAlignment="1" applyProtection="1">
      <alignment/>
      <protection/>
    </xf>
    <xf numFmtId="165" fontId="82" fillId="0" borderId="0" xfId="0" applyNumberFormat="1" applyFont="1" applyFill="1" applyAlignment="1" applyProtection="1">
      <alignment/>
      <protection/>
    </xf>
    <xf numFmtId="10" fontId="83" fillId="0" borderId="0" xfId="26" applyNumberFormat="1" applyFont="1" applyFill="1" applyAlignment="1" applyProtection="1">
      <alignment horizontal="right"/>
      <protection/>
    </xf>
    <xf numFmtId="3" fontId="82" fillId="0" borderId="0" xfId="0" applyNumberFormat="1" applyFont="1" applyFill="1" applyBorder="1" applyAlignment="1" applyProtection="1">
      <alignment horizontal="right"/>
      <protection/>
    </xf>
    <xf numFmtId="5" fontId="82" fillId="0" borderId="6" xfId="0" applyNumberFormat="1" applyFont="1" applyFill="1" applyBorder="1" applyAlignment="1" applyProtection="1">
      <alignment/>
      <protection/>
    </xf>
    <xf numFmtId="0" fontId="82" fillId="0" borderId="0" xfId="0" applyFont="1" applyFill="1" applyAlignment="1" applyProtection="1">
      <alignment/>
      <protection/>
    </xf>
    <xf numFmtId="5" fontId="83" fillId="0" borderId="0" xfId="0" applyNumberFormat="1" applyFont="1" applyFill="1" applyAlignment="1" applyProtection="1">
      <alignment/>
      <protection/>
    </xf>
    <xf numFmtId="3" fontId="82" fillId="0" borderId="0" xfId="0" applyNumberFormat="1" applyFont="1" applyFill="1" applyAlignment="1" applyProtection="1">
      <alignment/>
      <protection/>
    </xf>
    <xf numFmtId="3" fontId="83" fillId="0" borderId="0" xfId="0" applyNumberFormat="1" applyFont="1" applyFill="1" applyAlignment="1" applyProtection="1">
      <alignment/>
      <protection/>
    </xf>
    <xf numFmtId="0" fontId="31" fillId="0" borderId="0" xfId="0" applyFont="1" applyFill="1" applyAlignment="1">
      <alignment horizontal="left"/>
    </xf>
    <xf numFmtId="1" fontId="84" fillId="0" borderId="0" xfId="0" applyNumberFormat="1" applyFont="1" applyFill="1" applyAlignment="1">
      <alignment/>
    </xf>
    <xf numFmtId="3" fontId="35" fillId="0" borderId="0" xfId="15" applyNumberFormat="1" applyFont="1" applyFill="1" applyAlignment="1">
      <alignment/>
    </xf>
    <xf numFmtId="3" fontId="74" fillId="0" borderId="0" xfId="15" applyNumberFormat="1" applyFont="1" applyFill="1" applyAlignment="1">
      <alignment/>
    </xf>
    <xf numFmtId="1" fontId="33" fillId="0" borderId="0" xfId="0" applyNumberFormat="1" applyFont="1" applyFill="1" applyAlignment="1">
      <alignment/>
    </xf>
    <xf numFmtId="3" fontId="35" fillId="0" borderId="0" xfId="0" applyNumberFormat="1" applyFont="1" applyFill="1" applyAlignment="1">
      <alignment/>
    </xf>
    <xf numFmtId="41" fontId="82" fillId="0" borderId="0" xfId="0" applyNumberFormat="1" applyFont="1" applyFill="1" applyAlignment="1" applyProtection="1">
      <alignment/>
      <protection/>
    </xf>
    <xf numFmtId="41" fontId="82" fillId="0" borderId="6" xfId="0" applyNumberFormat="1" applyFont="1" applyFill="1" applyBorder="1" applyAlignment="1" applyProtection="1">
      <alignment/>
      <protection/>
    </xf>
    <xf numFmtId="0" fontId="85" fillId="0" borderId="0" xfId="0" applyFont="1" applyAlignment="1">
      <alignment horizontal="centerContinuous"/>
    </xf>
    <xf numFmtId="0" fontId="2" fillId="0" borderId="0" xfId="0" applyFont="1" applyBorder="1" applyAlignment="1">
      <alignment horizontal="centerContinuous"/>
    </xf>
    <xf numFmtId="0" fontId="2" fillId="0" borderId="11" xfId="0" applyFont="1" applyBorder="1" applyAlignment="1">
      <alignment horizontal="center"/>
    </xf>
    <xf numFmtId="0" fontId="2" fillId="0" borderId="8" xfId="0" applyFont="1" applyBorder="1" applyAlignment="1">
      <alignment horizontal="center"/>
    </xf>
    <xf numFmtId="0" fontId="2" fillId="0" borderId="11" xfId="0" applyFont="1" applyBorder="1" applyAlignment="1">
      <alignment horizontal="center" wrapText="1"/>
    </xf>
    <xf numFmtId="0" fontId="2" fillId="0" borderId="28" xfId="0" applyFont="1" applyBorder="1" applyAlignment="1">
      <alignment horizontal="center"/>
    </xf>
    <xf numFmtId="0" fontId="86" fillId="0" borderId="8" xfId="0" applyFont="1" applyBorder="1" applyAlignment="1">
      <alignment/>
    </xf>
    <xf numFmtId="0" fontId="86" fillId="0" borderId="9" xfId="0" applyFont="1" applyBorder="1" applyAlignment="1">
      <alignment/>
    </xf>
    <xf numFmtId="0" fontId="0" fillId="0" borderId="9" xfId="0" applyBorder="1" applyAlignment="1">
      <alignment/>
    </xf>
    <xf numFmtId="44" fontId="0" fillId="0" borderId="0" xfId="18" applyBorder="1" applyAlignment="1">
      <alignment/>
    </xf>
    <xf numFmtId="44" fontId="0" fillId="0" borderId="3" xfId="18" applyBorder="1" applyAlignment="1">
      <alignment/>
    </xf>
    <xf numFmtId="196" fontId="0" fillId="0" borderId="0" xfId="18" applyNumberFormat="1" applyAlignment="1">
      <alignment/>
    </xf>
    <xf numFmtId="196" fontId="0" fillId="0" borderId="0" xfId="18" applyNumberFormat="1" applyBorder="1" applyAlignment="1">
      <alignment/>
    </xf>
    <xf numFmtId="44" fontId="0" fillId="0" borderId="0" xfId="0" applyNumberFormat="1" applyBorder="1" applyAlignment="1">
      <alignment/>
    </xf>
    <xf numFmtId="196" fontId="0" fillId="0" borderId="6" xfId="18" applyNumberFormat="1" applyBorder="1" applyAlignment="1">
      <alignment/>
    </xf>
    <xf numFmtId="44" fontId="0" fillId="0" borderId="5" xfId="18" applyBorder="1" applyAlignment="1">
      <alignment/>
    </xf>
    <xf numFmtId="0" fontId="86" fillId="0" borderId="0" xfId="0" applyFont="1" applyBorder="1" applyAlignment="1">
      <alignment/>
    </xf>
    <xf numFmtId="0" fontId="86" fillId="0" borderId="0" xfId="0" applyFont="1" applyAlignment="1">
      <alignment/>
    </xf>
    <xf numFmtId="196" fontId="0" fillId="0" borderId="0" xfId="18" applyNumberFormat="1" applyFont="1" applyAlignment="1">
      <alignment/>
    </xf>
    <xf numFmtId="196" fontId="0" fillId="0" borderId="0" xfId="18" applyNumberFormat="1" applyFont="1" applyBorder="1" applyAlignment="1">
      <alignment/>
    </xf>
    <xf numFmtId="44" fontId="0" fillId="0" borderId="3" xfId="18" applyFont="1" applyBorder="1" applyAlignment="1">
      <alignment/>
    </xf>
    <xf numFmtId="44" fontId="0" fillId="0" borderId="0" xfId="0" applyNumberFormat="1" applyFont="1" applyBorder="1" applyAlignment="1">
      <alignment/>
    </xf>
    <xf numFmtId="0" fontId="86" fillId="0" borderId="6" xfId="0" applyFont="1" applyBorder="1" applyAlignment="1">
      <alignment/>
    </xf>
    <xf numFmtId="196" fontId="0" fillId="0" borderId="5" xfId="18" applyNumberFormat="1" applyBorder="1" applyAlignment="1">
      <alignment/>
    </xf>
    <xf numFmtId="196" fontId="0" fillId="0" borderId="6" xfId="0" applyNumberFormat="1" applyBorder="1" applyAlignment="1">
      <alignment/>
    </xf>
    <xf numFmtId="196" fontId="0" fillId="0" borderId="0" xfId="0" applyNumberFormat="1" applyAlignment="1">
      <alignment/>
    </xf>
    <xf numFmtId="196" fontId="0" fillId="0" borderId="12" xfId="18" applyNumberFormat="1" applyBorder="1" applyAlignment="1">
      <alignment/>
    </xf>
    <xf numFmtId="196" fontId="0" fillId="0" borderId="2" xfId="18" applyNumberFormat="1" applyBorder="1" applyAlignment="1">
      <alignment/>
    </xf>
    <xf numFmtId="196" fontId="0" fillId="0" borderId="35" xfId="18" applyNumberFormat="1" applyBorder="1" applyAlignment="1">
      <alignment/>
    </xf>
    <xf numFmtId="44" fontId="0" fillId="0" borderId="0" xfId="18" applyAlignment="1">
      <alignment/>
    </xf>
    <xf numFmtId="44" fontId="86" fillId="0" borderId="16" xfId="0" applyNumberFormat="1" applyFont="1" applyBorder="1" applyAlignment="1">
      <alignment horizontal="right"/>
    </xf>
    <xf numFmtId="43" fontId="86" fillId="0" borderId="18" xfId="0" applyNumberFormat="1" applyFont="1" applyBorder="1" applyAlignment="1">
      <alignment/>
    </xf>
    <xf numFmtId="196" fontId="86" fillId="0" borderId="0" xfId="18" applyNumberFormat="1" applyFont="1" applyBorder="1" applyAlignment="1">
      <alignment/>
    </xf>
    <xf numFmtId="0" fontId="86" fillId="0" borderId="21" xfId="0" applyFont="1" applyBorder="1" applyAlignment="1">
      <alignment horizontal="right"/>
    </xf>
    <xf numFmtId="43" fontId="86" fillId="0" borderId="22" xfId="0" applyNumberFormat="1" applyFont="1" applyBorder="1" applyAlignment="1">
      <alignment/>
    </xf>
    <xf numFmtId="196" fontId="86" fillId="0" borderId="0" xfId="18" applyNumberFormat="1" applyFont="1" applyAlignment="1">
      <alignment/>
    </xf>
    <xf numFmtId="0" fontId="0" fillId="0" borderId="0" xfId="0" applyAlignment="1" quotePrefix="1">
      <alignment/>
    </xf>
    <xf numFmtId="0" fontId="0" fillId="0" borderId="0" xfId="0" applyFont="1" applyBorder="1" applyAlignment="1">
      <alignment/>
    </xf>
    <xf numFmtId="0" fontId="3" fillId="0" borderId="0" xfId="0" applyFont="1" applyBorder="1" applyAlignment="1">
      <alignment horizontal="left"/>
    </xf>
    <xf numFmtId="0" fontId="2" fillId="0" borderId="0" xfId="0" applyFont="1" applyBorder="1" applyAlignment="1">
      <alignment/>
    </xf>
    <xf numFmtId="0" fontId="0" fillId="0" borderId="0" xfId="0" applyFont="1" applyFill="1" applyBorder="1" applyAlignment="1">
      <alignment horizontal="left"/>
    </xf>
    <xf numFmtId="0" fontId="0" fillId="0" borderId="0" xfId="0" applyAlignment="1">
      <alignment horizontal="left"/>
    </xf>
    <xf numFmtId="0" fontId="0" fillId="0" borderId="15" xfId="0" applyFill="1" applyBorder="1" applyAlignment="1">
      <alignment horizontal="center"/>
    </xf>
    <xf numFmtId="0" fontId="0" fillId="0" borderId="15" xfId="0" applyFill="1" applyBorder="1" applyAlignment="1">
      <alignment/>
    </xf>
    <xf numFmtId="0" fontId="0" fillId="0" borderId="15" xfId="0" applyFill="1" applyBorder="1" applyAlignment="1">
      <alignment horizontal="right"/>
    </xf>
    <xf numFmtId="0" fontId="0" fillId="0" borderId="15" xfId="0" applyBorder="1" applyAlignment="1">
      <alignment horizontal="center"/>
    </xf>
    <xf numFmtId="0" fontId="0" fillId="0" borderId="15" xfId="0" applyBorder="1" applyAlignment="1">
      <alignment/>
    </xf>
    <xf numFmtId="0" fontId="0" fillId="0" borderId="15" xfId="0" applyBorder="1" applyAlignment="1">
      <alignment horizontal="right"/>
    </xf>
    <xf numFmtId="0" fontId="68" fillId="0" borderId="0" xfId="0" applyFont="1" applyBorder="1" applyAlignment="1">
      <alignment/>
    </xf>
    <xf numFmtId="0" fontId="68" fillId="0" borderId="0" xfId="0" applyFont="1" applyBorder="1" applyAlignment="1">
      <alignment horizontal="center"/>
    </xf>
    <xf numFmtId="38" fontId="69" fillId="0" borderId="0" xfId="0" applyNumberFormat="1" applyFont="1" applyBorder="1" applyAlignment="1">
      <alignment/>
    </xf>
    <xf numFmtId="38" fontId="68" fillId="0" borderId="36" xfId="0" applyNumberFormat="1" applyFont="1" applyBorder="1" applyAlignment="1">
      <alignment/>
    </xf>
    <xf numFmtId="165" fontId="13" fillId="0" borderId="0" xfId="15" applyNumberFormat="1" applyFont="1" applyFill="1" applyBorder="1" applyAlignment="1">
      <alignment/>
    </xf>
    <xf numFmtId="165" fontId="13" fillId="0" borderId="0" xfId="15" applyNumberFormat="1" applyFont="1" applyFill="1" applyAlignment="1">
      <alignment/>
    </xf>
    <xf numFmtId="165" fontId="31" fillId="0" borderId="0" xfId="15" applyNumberFormat="1" applyFont="1" applyFill="1" applyAlignment="1">
      <alignment/>
    </xf>
    <xf numFmtId="43" fontId="42" fillId="0" borderId="0" xfId="15" applyFont="1" applyAlignment="1">
      <alignment/>
    </xf>
    <xf numFmtId="165" fontId="87" fillId="0" borderId="6" xfId="15" applyNumberFormat="1" applyFont="1" applyBorder="1" applyAlignment="1">
      <alignment/>
    </xf>
    <xf numFmtId="165" fontId="5" fillId="0" borderId="0" xfId="15" applyNumberFormat="1" applyFont="1" applyFill="1" applyAlignment="1">
      <alignment/>
    </xf>
    <xf numFmtId="0" fontId="88" fillId="0" borderId="0" xfId="0" applyFont="1" applyAlignment="1">
      <alignment horizontal="centerContinuous"/>
    </xf>
    <xf numFmtId="0" fontId="0" fillId="0" borderId="0" xfId="0" applyFont="1" applyAlignment="1">
      <alignment horizontal="centerContinuous"/>
    </xf>
    <xf numFmtId="0" fontId="89" fillId="0" borderId="0" xfId="0" applyFont="1" applyAlignment="1" quotePrefix="1">
      <alignment horizontal="centerContinuous"/>
    </xf>
    <xf numFmtId="0" fontId="38" fillId="0" borderId="0" xfId="0" applyFont="1" applyAlignment="1">
      <alignment horizontal="left"/>
    </xf>
    <xf numFmtId="0" fontId="38" fillId="0" borderId="0" xfId="0" applyFont="1" applyAlignment="1">
      <alignment horizontal="center"/>
    </xf>
    <xf numFmtId="0" fontId="38" fillId="0" borderId="0" xfId="0" applyFont="1" applyAlignment="1">
      <alignment horizontal="right"/>
    </xf>
    <xf numFmtId="0" fontId="90" fillId="0" borderId="15" xfId="0" applyFont="1" applyBorder="1" applyAlignment="1">
      <alignment horizontal="center"/>
    </xf>
    <xf numFmtId="0" fontId="91" fillId="0" borderId="0" xfId="0" applyFont="1" applyAlignment="1">
      <alignment horizontal="right"/>
    </xf>
    <xf numFmtId="0" fontId="39" fillId="0" borderId="0" xfId="0" applyFont="1" applyAlignment="1">
      <alignment horizontal="left"/>
    </xf>
    <xf numFmtId="0" fontId="90" fillId="0" borderId="0" xfId="0" applyFont="1" applyAlignment="1">
      <alignment/>
    </xf>
    <xf numFmtId="0" fontId="38" fillId="0" borderId="0" xfId="0" applyFont="1" applyAlignment="1">
      <alignment/>
    </xf>
    <xf numFmtId="0" fontId="92" fillId="0" borderId="0" xfId="0" applyFont="1" applyAlignment="1">
      <alignment horizontal="center"/>
    </xf>
    <xf numFmtId="0" fontId="38" fillId="0" borderId="0" xfId="0" applyFont="1" applyBorder="1" applyAlignment="1">
      <alignment/>
    </xf>
    <xf numFmtId="0" fontId="38" fillId="0" borderId="0" xfId="0" applyFont="1" applyBorder="1" applyAlignment="1">
      <alignment horizontal="center"/>
    </xf>
    <xf numFmtId="37" fontId="38" fillId="0" borderId="0" xfId="0" applyNumberFormat="1" applyFont="1" applyBorder="1" applyAlignment="1">
      <alignment/>
    </xf>
    <xf numFmtId="2" fontId="38" fillId="0" borderId="0" xfId="0" applyNumberFormat="1" applyFont="1" applyBorder="1" applyAlignment="1">
      <alignment/>
    </xf>
    <xf numFmtId="2" fontId="91" fillId="0" borderId="0" xfId="0" applyNumberFormat="1" applyFont="1" applyBorder="1" applyAlignment="1">
      <alignment horizontal="center"/>
    </xf>
    <xf numFmtId="37" fontId="38" fillId="0" borderId="6" xfId="0" applyNumberFormat="1" applyFont="1" applyBorder="1" applyAlignment="1">
      <alignment/>
    </xf>
    <xf numFmtId="37" fontId="38" fillId="0" borderId="6" xfId="0" applyNumberFormat="1" applyFont="1" applyBorder="1" applyAlignment="1">
      <alignment horizontal="right"/>
    </xf>
    <xf numFmtId="0" fontId="38" fillId="0" borderId="0" xfId="0" applyFont="1" applyBorder="1" applyAlignment="1">
      <alignment/>
    </xf>
    <xf numFmtId="164" fontId="39" fillId="0" borderId="0" xfId="26" applyNumberFormat="1" applyFont="1" applyAlignment="1" quotePrefix="1">
      <alignment/>
    </xf>
    <xf numFmtId="164" fontId="0" fillId="0" borderId="6" xfId="0" applyNumberFormat="1" applyFont="1" applyBorder="1" applyAlignment="1">
      <alignment/>
    </xf>
    <xf numFmtId="3" fontId="0" fillId="0" borderId="0" xfId="15" applyNumberFormat="1" applyFont="1" applyAlignment="1">
      <alignment/>
    </xf>
    <xf numFmtId="37" fontId="0" fillId="0" borderId="0" xfId="15" applyNumberFormat="1" applyFont="1" applyAlignment="1">
      <alignment/>
    </xf>
    <xf numFmtId="41" fontId="13" fillId="0" borderId="0" xfId="0" applyNumberFormat="1" applyFont="1" applyBorder="1" applyAlignment="1">
      <alignment/>
    </xf>
    <xf numFmtId="0" fontId="1" fillId="0" borderId="0" xfId="0" applyFont="1" applyAlignment="1">
      <alignment/>
    </xf>
    <xf numFmtId="3" fontId="0" fillId="0" borderId="6" xfId="15" applyNumberFormat="1" applyFont="1" applyBorder="1" applyAlignment="1">
      <alignment/>
    </xf>
    <xf numFmtId="8" fontId="0" fillId="0" borderId="0" xfId="0" applyNumberFormat="1" applyFont="1" applyAlignment="1">
      <alignment/>
    </xf>
    <xf numFmtId="3" fontId="0" fillId="0" borderId="13" xfId="15" applyNumberFormat="1" applyFont="1" applyBorder="1" applyAlignment="1">
      <alignment/>
    </xf>
    <xf numFmtId="0" fontId="38" fillId="0" borderId="0" xfId="0" applyFont="1" applyAlignment="1">
      <alignment horizontal="right"/>
    </xf>
    <xf numFmtId="165" fontId="38" fillId="0" borderId="0" xfId="15" applyNumberFormat="1" applyFont="1" applyAlignment="1">
      <alignment horizontal="right"/>
    </xf>
    <xf numFmtId="165" fontId="0" fillId="0" borderId="0" xfId="15" applyNumberFormat="1" applyFont="1" applyAlignment="1">
      <alignment/>
    </xf>
    <xf numFmtId="44" fontId="93" fillId="0" borderId="0" xfId="18" applyFont="1" applyAlignment="1">
      <alignment horizontal="right"/>
    </xf>
    <xf numFmtId="41" fontId="13" fillId="0" borderId="0" xfId="0" applyNumberFormat="1" applyFont="1" applyFill="1" applyBorder="1" applyAlignment="1">
      <alignment/>
    </xf>
    <xf numFmtId="37" fontId="0" fillId="0" borderId="0" xfId="15" applyNumberFormat="1" applyFont="1" applyFill="1" applyAlignment="1">
      <alignment/>
    </xf>
    <xf numFmtId="37" fontId="39" fillId="0" borderId="0" xfId="15" applyNumberFormat="1" applyFont="1" applyFill="1" applyAlignment="1">
      <alignment/>
    </xf>
    <xf numFmtId="41" fontId="28" fillId="0" borderId="0" xfId="0" applyNumberFormat="1" applyFont="1" applyFill="1" applyBorder="1" applyAlignment="1">
      <alignment/>
    </xf>
    <xf numFmtId="37" fontId="38" fillId="0" borderId="0" xfId="0" applyNumberFormat="1" applyFont="1" applyAlignment="1">
      <alignment horizontal="right"/>
    </xf>
    <xf numFmtId="3" fontId="0" fillId="0" borderId="0" xfId="0" applyNumberFormat="1" applyFont="1" applyAlignment="1">
      <alignment/>
    </xf>
    <xf numFmtId="37" fontId="9" fillId="0" borderId="7" xfId="0" applyNumberFormat="1" applyFont="1" applyFill="1" applyBorder="1" applyAlignment="1">
      <alignment/>
    </xf>
    <xf numFmtId="37" fontId="9" fillId="0" borderId="10" xfId="0" applyNumberFormat="1" applyFont="1" applyFill="1" applyBorder="1" applyAlignment="1">
      <alignment/>
    </xf>
    <xf numFmtId="0" fontId="0" fillId="0" borderId="2" xfId="0" applyFont="1" applyFill="1" applyBorder="1" applyAlignment="1">
      <alignment/>
    </xf>
    <xf numFmtId="166" fontId="10" fillId="0" borderId="7" xfId="0" applyNumberFormat="1" applyFont="1" applyFill="1" applyBorder="1" applyAlignment="1">
      <alignment/>
    </xf>
    <xf numFmtId="37" fontId="10" fillId="0" borderId="7" xfId="0" applyNumberFormat="1" applyFont="1" applyFill="1" applyBorder="1" applyAlignment="1">
      <alignment/>
    </xf>
    <xf numFmtId="0" fontId="0" fillId="0" borderId="5" xfId="0" applyFont="1" applyFill="1" applyBorder="1" applyAlignment="1">
      <alignment/>
    </xf>
    <xf numFmtId="0" fontId="0" fillId="0" borderId="6" xfId="0" applyFont="1" applyFill="1" applyBorder="1" applyAlignment="1">
      <alignment/>
    </xf>
    <xf numFmtId="37" fontId="11" fillId="0" borderId="23" xfId="0" applyNumberFormat="1" applyFont="1" applyFill="1" applyBorder="1" applyAlignment="1">
      <alignment/>
    </xf>
    <xf numFmtId="37" fontId="11" fillId="0" borderId="7" xfId="0" applyNumberFormat="1" applyFont="1" applyFill="1" applyBorder="1" applyAlignment="1">
      <alignment/>
    </xf>
    <xf numFmtId="37" fontId="2" fillId="0" borderId="7" xfId="0" applyNumberFormat="1" applyFont="1" applyFill="1" applyBorder="1" applyAlignment="1">
      <alignment/>
    </xf>
    <xf numFmtId="37" fontId="82" fillId="0" borderId="0" xfId="0" applyNumberFormat="1" applyFont="1" applyFill="1" applyBorder="1" applyAlignment="1">
      <alignment/>
    </xf>
    <xf numFmtId="37" fontId="5" fillId="0" borderId="0" xfId="0" applyNumberFormat="1" applyFont="1" applyBorder="1" applyAlignment="1">
      <alignment/>
    </xf>
    <xf numFmtId="37" fontId="94" fillId="0" borderId="0" xfId="0" applyNumberFormat="1" applyFont="1" applyFill="1" applyAlignment="1">
      <alignment/>
    </xf>
    <xf numFmtId="0" fontId="2" fillId="0" borderId="1" xfId="0" applyFont="1" applyFill="1" applyBorder="1" applyAlignment="1">
      <alignment/>
    </xf>
    <xf numFmtId="0" fontId="2" fillId="0" borderId="3" xfId="0" applyFont="1" applyFill="1" applyBorder="1" applyAlignment="1">
      <alignment/>
    </xf>
    <xf numFmtId="167" fontId="19" fillId="0" borderId="0" xfId="25" applyFont="1" applyFill="1" applyAlignment="1" applyProtection="1">
      <alignment horizontal="center"/>
      <protection/>
    </xf>
    <xf numFmtId="0" fontId="0" fillId="0" borderId="1" xfId="23" applyFont="1" applyBorder="1" applyAlignment="1">
      <alignment horizontal="left"/>
      <protection/>
    </xf>
    <xf numFmtId="37" fontId="0" fillId="0" borderId="2" xfId="0" applyNumberFormat="1" applyFont="1" applyBorder="1" applyAlignment="1">
      <alignment/>
    </xf>
    <xf numFmtId="37" fontId="0" fillId="0" borderId="23" xfId="0" applyNumberFormat="1" applyFont="1" applyBorder="1" applyAlignment="1">
      <alignment/>
    </xf>
    <xf numFmtId="0" fontId="38" fillId="0" borderId="3" xfId="0" applyFont="1" applyBorder="1" applyAlignment="1">
      <alignment horizontal="left"/>
    </xf>
    <xf numFmtId="0" fontId="0" fillId="0" borderId="0" xfId="0" applyFont="1" applyBorder="1" applyAlignment="1">
      <alignment horizontal="center"/>
    </xf>
    <xf numFmtId="0" fontId="0" fillId="0" borderId="7" xfId="0" applyFont="1" applyBorder="1" applyAlignment="1">
      <alignment/>
    </xf>
    <xf numFmtId="3" fontId="0" fillId="0" borderId="7" xfId="15" applyNumberFormat="1" applyFont="1" applyBorder="1" applyAlignment="1">
      <alignment/>
    </xf>
    <xf numFmtId="0" fontId="38" fillId="0" borderId="5" xfId="0" applyFont="1" applyBorder="1" applyAlignment="1">
      <alignment horizontal="left"/>
    </xf>
    <xf numFmtId="164" fontId="0" fillId="0" borderId="6" xfId="26" applyNumberFormat="1" applyFont="1" applyBorder="1" applyAlignment="1">
      <alignment/>
    </xf>
    <xf numFmtId="164" fontId="0" fillId="0" borderId="4" xfId="26" applyNumberFormat="1" applyFont="1" applyBorder="1" applyAlignment="1">
      <alignment/>
    </xf>
    <xf numFmtId="37" fontId="38" fillId="0" borderId="2" xfId="0" applyNumberFormat="1" applyFont="1" applyFill="1" applyBorder="1" applyAlignment="1">
      <alignment/>
    </xf>
    <xf numFmtId="37" fontId="38" fillId="0" borderId="23" xfId="0" applyNumberFormat="1" applyFont="1" applyFill="1" applyBorder="1" applyAlignment="1">
      <alignment/>
    </xf>
    <xf numFmtId="9" fontId="0" fillId="0" borderId="0" xfId="0" applyNumberFormat="1" applyFont="1" applyBorder="1" applyAlignment="1">
      <alignment/>
    </xf>
    <xf numFmtId="0" fontId="0" fillId="9" borderId="3" xfId="0" applyFont="1" applyFill="1" applyBorder="1" applyAlignment="1">
      <alignment/>
    </xf>
    <xf numFmtId="0" fontId="0" fillId="9" borderId="0" xfId="0" applyFont="1" applyFill="1" applyBorder="1" applyAlignment="1">
      <alignment/>
    </xf>
    <xf numFmtId="9" fontId="0" fillId="9" borderId="0" xfId="0" applyNumberFormat="1" applyFont="1" applyFill="1" applyBorder="1" applyAlignment="1">
      <alignment/>
    </xf>
    <xf numFmtId="3" fontId="0" fillId="0" borderId="7" xfId="26" applyNumberFormat="1" applyFont="1" applyBorder="1" applyAlignment="1">
      <alignment/>
    </xf>
    <xf numFmtId="0" fontId="0" fillId="0" borderId="0" xfId="0" applyFont="1" applyFill="1" applyBorder="1" applyAlignment="1" applyProtection="1">
      <alignment/>
      <protection/>
    </xf>
    <xf numFmtId="41" fontId="38" fillId="0" borderId="0" xfId="24" applyNumberFormat="1" applyFont="1" applyFill="1" applyBorder="1">
      <alignment/>
      <protection/>
    </xf>
    <xf numFmtId="41" fontId="38" fillId="0" borderId="7" xfId="24" applyNumberFormat="1" applyFont="1" applyFill="1" applyBorder="1">
      <alignment/>
      <protection/>
    </xf>
    <xf numFmtId="43" fontId="38" fillId="0" borderId="0" xfId="15" applyFont="1" applyFill="1" applyBorder="1" applyAlignment="1">
      <alignment/>
    </xf>
    <xf numFmtId="43" fontId="38" fillId="0" borderId="7" xfId="15" applyFont="1" applyFill="1" applyBorder="1" applyAlignment="1">
      <alignment/>
    </xf>
    <xf numFmtId="0" fontId="0" fillId="0" borderId="0" xfId="0" applyFont="1" applyFill="1" applyBorder="1" applyAlignment="1" applyProtection="1">
      <alignment horizontal="center"/>
      <protection/>
    </xf>
    <xf numFmtId="0" fontId="4" fillId="0" borderId="3" xfId="0" applyFont="1" applyBorder="1" applyAlignment="1">
      <alignment/>
    </xf>
    <xf numFmtId="165" fontId="0" fillId="0" borderId="0" xfId="15" applyNumberFormat="1" applyFont="1" applyFill="1" applyBorder="1" applyAlignment="1" applyProtection="1">
      <alignment horizontal="center"/>
      <protection/>
    </xf>
    <xf numFmtId="41" fontId="38" fillId="0" borderId="6" xfId="24" applyNumberFormat="1" applyFont="1" applyFill="1" applyBorder="1">
      <alignment/>
      <protection/>
    </xf>
    <xf numFmtId="0" fontId="2" fillId="0" borderId="0" xfId="0" applyFont="1" applyFill="1" applyAlignment="1">
      <alignment horizontal="centerContinuous"/>
    </xf>
    <xf numFmtId="14" fontId="2" fillId="11" borderId="0" xfId="0" applyNumberFormat="1" applyFont="1" applyFill="1" applyAlignment="1">
      <alignment horizontal="centerContinuous"/>
    </xf>
    <xf numFmtId="0" fontId="2" fillId="0" borderId="0" xfId="0" applyFont="1" applyAlignment="1">
      <alignment horizontal="left"/>
    </xf>
    <xf numFmtId="44" fontId="2" fillId="0" borderId="0" xfId="0" applyNumberFormat="1" applyFont="1" applyFill="1" applyAlignment="1">
      <alignment/>
    </xf>
    <xf numFmtId="5" fontId="9" fillId="0" borderId="0" xfId="0" applyNumberFormat="1" applyFont="1" applyAlignment="1">
      <alignment/>
    </xf>
    <xf numFmtId="43" fontId="13" fillId="0" borderId="0" xfId="24" applyNumberFormat="1" applyFont="1" applyFill="1">
      <alignment/>
      <protection/>
    </xf>
    <xf numFmtId="165" fontId="5" fillId="0" borderId="0" xfId="15" applyNumberFormat="1" applyFont="1" applyFill="1" applyAlignment="1">
      <alignment/>
    </xf>
    <xf numFmtId="3" fontId="24" fillId="0" borderId="33" xfId="0" applyNumberFormat="1" applyFont="1" applyFill="1" applyBorder="1" applyAlignment="1">
      <alignment/>
    </xf>
    <xf numFmtId="165" fontId="35" fillId="0" borderId="32" xfId="15" applyNumberFormat="1" applyFont="1" applyFill="1" applyBorder="1" applyAlignment="1">
      <alignment/>
    </xf>
    <xf numFmtId="165" fontId="9" fillId="0" borderId="0" xfId="15" applyNumberFormat="1" applyFont="1" applyAlignment="1">
      <alignment/>
    </xf>
    <xf numFmtId="37" fontId="10" fillId="0" borderId="0" xfId="0" applyNumberFormat="1" applyFont="1" applyAlignment="1">
      <alignment/>
    </xf>
    <xf numFmtId="0" fontId="0" fillId="0" borderId="6" xfId="0" applyFill="1" applyBorder="1" applyAlignment="1">
      <alignment horizontal="center"/>
    </xf>
    <xf numFmtId="0" fontId="0" fillId="0" borderId="6" xfId="0" applyFill="1" applyBorder="1" applyAlignment="1">
      <alignment/>
    </xf>
    <xf numFmtId="0" fontId="0" fillId="0" borderId="6" xfId="0" applyFill="1" applyBorder="1" applyAlignment="1">
      <alignment horizontal="right"/>
    </xf>
    <xf numFmtId="44" fontId="0" fillId="0" borderId="6" xfId="18" applyFill="1" applyBorder="1" applyAlignment="1">
      <alignment/>
    </xf>
    <xf numFmtId="0" fontId="0" fillId="0" borderId="6" xfId="0" applyBorder="1" applyAlignment="1">
      <alignment horizontal="right"/>
    </xf>
    <xf numFmtId="44" fontId="0" fillId="0" borderId="6" xfId="18" applyBorder="1" applyAlignment="1">
      <alignment/>
    </xf>
    <xf numFmtId="0" fontId="0" fillId="0" borderId="0" xfId="0" applyFill="1" applyBorder="1" applyAlignment="1">
      <alignment horizontal="center"/>
    </xf>
    <xf numFmtId="0" fontId="2" fillId="0" borderId="0" xfId="0" applyFont="1" applyFill="1" applyBorder="1" applyAlignment="1">
      <alignment horizontal="right"/>
    </xf>
    <xf numFmtId="44" fontId="2" fillId="0" borderId="15" xfId="18" applyFont="1" applyFill="1" applyBorder="1" applyAlignment="1">
      <alignment/>
    </xf>
    <xf numFmtId="0" fontId="0" fillId="0" borderId="0" xfId="0" applyFill="1" applyBorder="1" applyAlignment="1">
      <alignment horizontal="right"/>
    </xf>
    <xf numFmtId="44" fontId="2" fillId="0" borderId="0" xfId="18" applyFont="1" applyFill="1" applyBorder="1" applyAlignment="1">
      <alignment/>
    </xf>
    <xf numFmtId="0" fontId="2" fillId="0" borderId="15" xfId="0" applyFont="1" applyFill="1" applyBorder="1" applyAlignment="1">
      <alignment horizontal="right"/>
    </xf>
    <xf numFmtId="0" fontId="2" fillId="0" borderId="15" xfId="0" applyFont="1" applyFill="1" applyBorder="1" applyAlignment="1">
      <alignment horizontal="center"/>
    </xf>
    <xf numFmtId="0" fontId="0" fillId="0" borderId="0" xfId="0" applyBorder="1" applyAlignment="1">
      <alignment horizontal="right"/>
    </xf>
    <xf numFmtId="0" fontId="38" fillId="0" borderId="0" xfId="0" applyFont="1" applyFill="1" applyBorder="1" applyAlignment="1">
      <alignment horizontal="right"/>
    </xf>
    <xf numFmtId="0" fontId="13" fillId="0" borderId="0" xfId="0" applyFont="1" applyBorder="1" applyAlignment="1">
      <alignment horizontal="right"/>
    </xf>
    <xf numFmtId="0" fontId="38" fillId="0" borderId="0" xfId="0" applyFont="1" applyFill="1" applyBorder="1" applyAlignment="1">
      <alignment horizontal="left"/>
    </xf>
    <xf numFmtId="165" fontId="5" fillId="0" borderId="0" xfId="15" applyNumberFormat="1" applyFont="1" applyBorder="1" applyAlignment="1">
      <alignment/>
    </xf>
    <xf numFmtId="0" fontId="69" fillId="0" borderId="0" xfId="0" applyFont="1" applyAlignment="1">
      <alignment/>
    </xf>
    <xf numFmtId="0" fontId="95" fillId="0" borderId="0" xfId="0" applyFont="1" applyAlignment="1">
      <alignment/>
    </xf>
    <xf numFmtId="39" fontId="95" fillId="0" borderId="0" xfId="0" applyNumberFormat="1" applyFont="1" applyAlignment="1">
      <alignment/>
    </xf>
    <xf numFmtId="37" fontId="95" fillId="0" borderId="0" xfId="0" applyNumberFormat="1" applyFont="1" applyAlignment="1" applyProtection="1">
      <alignment/>
      <protection/>
    </xf>
    <xf numFmtId="37" fontId="95" fillId="0" borderId="0" xfId="0" applyNumberFormat="1" applyFont="1" applyAlignment="1" applyProtection="1">
      <alignment horizontal="center"/>
      <protection/>
    </xf>
    <xf numFmtId="37" fontId="96" fillId="0" borderId="0" xfId="0" applyNumberFormat="1" applyFont="1" applyAlignment="1" applyProtection="1">
      <alignment horizontal="center"/>
      <protection/>
    </xf>
    <xf numFmtId="37" fontId="95" fillId="0" borderId="0" xfId="0" applyNumberFormat="1" applyFont="1" applyAlignment="1" applyProtection="1">
      <alignment horizontal="right"/>
      <protection/>
    </xf>
    <xf numFmtId="180" fontId="95" fillId="0" borderId="0" xfId="0" applyNumberFormat="1" applyFont="1" applyAlignment="1" applyProtection="1">
      <alignment horizontal="right"/>
      <protection/>
    </xf>
    <xf numFmtId="0" fontId="95" fillId="0" borderId="0" xfId="0" applyFont="1" applyAlignment="1" applyProtection="1">
      <alignment horizontal="left"/>
      <protection/>
    </xf>
    <xf numFmtId="0" fontId="95" fillId="0" borderId="0" xfId="0" applyFont="1" applyAlignment="1" applyProtection="1">
      <alignment horizontal="right"/>
      <protection/>
    </xf>
    <xf numFmtId="0" fontId="97" fillId="0" borderId="0" xfId="0" applyFont="1" applyAlignment="1" applyProtection="1">
      <alignment horizontal="right"/>
      <protection/>
    </xf>
    <xf numFmtId="3" fontId="95" fillId="0" borderId="0" xfId="0" applyNumberFormat="1" applyFont="1" applyAlignment="1">
      <alignment/>
    </xf>
    <xf numFmtId="193" fontId="95" fillId="0" borderId="0" xfId="0" applyNumberFormat="1" applyFont="1" applyAlignment="1">
      <alignment/>
    </xf>
    <xf numFmtId="3" fontId="95" fillId="0" borderId="0" xfId="15" applyNumberFormat="1" applyFont="1" applyAlignment="1">
      <alignment/>
    </xf>
    <xf numFmtId="168" fontId="13" fillId="0" borderId="0" xfId="24" applyNumberFormat="1" applyFont="1" applyFill="1">
      <alignment/>
      <protection/>
    </xf>
    <xf numFmtId="165" fontId="0" fillId="0" borderId="0" xfId="0" applyNumberFormat="1" applyFont="1" applyAlignment="1">
      <alignment/>
    </xf>
    <xf numFmtId="43" fontId="0" fillId="0" borderId="0" xfId="15" applyNumberFormat="1" applyFill="1" applyAlignment="1">
      <alignment/>
    </xf>
    <xf numFmtId="0" fontId="0" fillId="0" borderId="2" xfId="0" applyFill="1" applyBorder="1" applyAlignment="1">
      <alignment/>
    </xf>
    <xf numFmtId="3" fontId="0" fillId="0" borderId="2" xfId="0" applyNumberFormat="1" applyFill="1" applyBorder="1" applyAlignment="1">
      <alignment/>
    </xf>
    <xf numFmtId="0" fontId="0" fillId="0" borderId="23" xfId="0" applyFill="1" applyBorder="1" applyAlignment="1">
      <alignment/>
    </xf>
    <xf numFmtId="0" fontId="3" fillId="0" borderId="0" xfId="0" applyFont="1" applyBorder="1" applyAlignment="1">
      <alignment horizontal="center"/>
    </xf>
    <xf numFmtId="0" fontId="3" fillId="0" borderId="7" xfId="0" applyFont="1" applyBorder="1" applyAlignment="1">
      <alignment horizontal="center"/>
    </xf>
    <xf numFmtId="3" fontId="0" fillId="0" borderId="0" xfId="0" applyNumberFormat="1" applyBorder="1" applyAlignment="1">
      <alignment/>
    </xf>
    <xf numFmtId="3" fontId="3" fillId="0" borderId="0" xfId="0" applyNumberFormat="1" applyFont="1" applyBorder="1" applyAlignment="1">
      <alignment/>
    </xf>
    <xf numFmtId="3" fontId="0" fillId="0" borderId="7" xfId="0" applyNumberFormat="1" applyBorder="1" applyAlignment="1">
      <alignment/>
    </xf>
    <xf numFmtId="3" fontId="5" fillId="0" borderId="0" xfId="15" applyNumberFormat="1" applyFont="1" applyBorder="1" applyAlignment="1">
      <alignment/>
    </xf>
    <xf numFmtId="3" fontId="5" fillId="0" borderId="7" xfId="15" applyNumberFormat="1" applyFont="1" applyBorder="1" applyAlignment="1">
      <alignment/>
    </xf>
    <xf numFmtId="3" fontId="0" fillId="0" borderId="6" xfId="0" applyNumberFormat="1" applyBorder="1" applyAlignment="1">
      <alignment/>
    </xf>
    <xf numFmtId="0" fontId="24" fillId="0" borderId="8" xfId="0" applyFont="1" applyFill="1" applyBorder="1" applyAlignment="1">
      <alignment/>
    </xf>
    <xf numFmtId="165" fontId="24" fillId="0" borderId="10" xfId="15" applyNumberFormat="1" applyFont="1" applyFill="1" applyBorder="1" applyAlignment="1">
      <alignment/>
    </xf>
    <xf numFmtId="165" fontId="0" fillId="0" borderId="0" xfId="15" applyNumberFormat="1" applyBorder="1" applyAlignment="1">
      <alignment/>
    </xf>
    <xf numFmtId="173" fontId="5" fillId="9" borderId="0" xfId="26" applyNumberFormat="1" applyFont="1" applyFill="1" applyAlignment="1">
      <alignment/>
    </xf>
    <xf numFmtId="184" fontId="0" fillId="0" borderId="2" xfId="15" applyNumberFormat="1" applyFont="1" applyFill="1" applyBorder="1" applyAlignment="1">
      <alignment/>
    </xf>
    <xf numFmtId="9" fontId="38" fillId="0" borderId="0" xfId="26" applyFont="1" applyFill="1" applyAlignment="1">
      <alignment/>
    </xf>
    <xf numFmtId="9" fontId="0" fillId="0" borderId="0" xfId="0" applyNumberFormat="1" applyAlignment="1">
      <alignment/>
    </xf>
    <xf numFmtId="0" fontId="2" fillId="12" borderId="0" xfId="0" applyFont="1" applyFill="1" applyAlignment="1">
      <alignment horizontal="centerContinuous"/>
    </xf>
    <xf numFmtId="14" fontId="2" fillId="12" borderId="0" xfId="0" applyNumberFormat="1" applyFont="1" applyFill="1" applyAlignment="1">
      <alignment horizontal="centerContinuous"/>
    </xf>
    <xf numFmtId="14" fontId="2" fillId="0" borderId="0" xfId="0" applyNumberFormat="1" applyFont="1" applyBorder="1" applyAlignment="1">
      <alignment horizontal="center"/>
    </xf>
    <xf numFmtId="43" fontId="41" fillId="0" borderId="0" xfId="15" applyFont="1" applyBorder="1" applyAlignment="1">
      <alignment/>
    </xf>
    <xf numFmtId="43" fontId="2" fillId="4" borderId="0" xfId="0" applyNumberFormat="1" applyFont="1" applyFill="1" applyBorder="1" applyAlignment="1">
      <alignment/>
    </xf>
    <xf numFmtId="0" fontId="39" fillId="0" borderId="0" xfId="0" applyFont="1" applyAlignment="1">
      <alignment/>
    </xf>
    <xf numFmtId="43" fontId="2" fillId="0" borderId="0" xfId="0" applyNumberFormat="1" applyFont="1" applyAlignment="1">
      <alignment horizontal="left"/>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9" xfId="0" applyBorder="1" applyAlignment="1">
      <alignment horizontal="right"/>
    </xf>
    <xf numFmtId="0" fontId="0" fillId="0" borderId="21" xfId="0" applyBorder="1" applyAlignment="1">
      <alignment/>
    </xf>
    <xf numFmtId="0" fontId="0" fillId="0" borderId="22" xfId="0" applyBorder="1" applyAlignment="1">
      <alignment/>
    </xf>
    <xf numFmtId="6" fontId="5" fillId="0" borderId="0" xfId="18" applyNumberFormat="1" applyFont="1" applyFill="1" applyBorder="1" applyAlignment="1">
      <alignment/>
    </xf>
    <xf numFmtId="3" fontId="21" fillId="0" borderId="0" xfId="0" applyNumberFormat="1" applyFont="1" applyBorder="1" applyAlignment="1">
      <alignment horizontal="center"/>
    </xf>
    <xf numFmtId="6" fontId="13" fillId="0" borderId="0" xfId="18" applyNumberFormat="1" applyFont="1" applyBorder="1" applyAlignment="1">
      <alignment/>
    </xf>
    <xf numFmtId="8" fontId="38" fillId="0" borderId="0" xfId="18" applyNumberFormat="1" applyFont="1" applyBorder="1" applyAlignment="1">
      <alignment/>
    </xf>
    <xf numFmtId="6" fontId="5" fillId="0" borderId="7" xfId="18" applyNumberFormat="1" applyFont="1" applyFill="1" applyBorder="1" applyAlignment="1">
      <alignment/>
    </xf>
    <xf numFmtId="43" fontId="0" fillId="0" borderId="0" xfId="0" applyNumberFormat="1" applyFont="1" applyAlignment="1">
      <alignment/>
    </xf>
    <xf numFmtId="203" fontId="0" fillId="0" borderId="0" xfId="18" applyNumberFormat="1" applyFont="1" applyAlignment="1">
      <alignment/>
    </xf>
    <xf numFmtId="10" fontId="0" fillId="0" borderId="0" xfId="0" applyNumberFormat="1" applyFont="1" applyAlignment="1">
      <alignment/>
    </xf>
    <xf numFmtId="10" fontId="0" fillId="0" borderId="0" xfId="26" applyNumberFormat="1" applyFont="1" applyAlignment="1">
      <alignment/>
    </xf>
    <xf numFmtId="173" fontId="0" fillId="0" borderId="0" xfId="26" applyNumberFormat="1" applyFont="1" applyAlignment="1">
      <alignment/>
    </xf>
    <xf numFmtId="37" fontId="10" fillId="0" borderId="0" xfId="0" applyNumberFormat="1" applyFont="1" applyFill="1" applyBorder="1" applyAlignment="1">
      <alignment/>
    </xf>
    <xf numFmtId="41" fontId="98" fillId="0" borderId="0" xfId="24" applyNumberFormat="1" applyFont="1" applyFill="1">
      <alignment/>
      <protection/>
    </xf>
    <xf numFmtId="164" fontId="0" fillId="0" borderId="7" xfId="26" applyNumberFormat="1" applyFont="1" applyBorder="1" applyAlignment="1">
      <alignment/>
    </xf>
    <xf numFmtId="0" fontId="2" fillId="0" borderId="1" xfId="0" applyFont="1" applyBorder="1" applyAlignment="1">
      <alignment/>
    </xf>
    <xf numFmtId="10" fontId="0" fillId="0" borderId="0" xfId="0" applyNumberFormat="1" applyFont="1" applyBorder="1" applyAlignment="1">
      <alignment horizontal="center"/>
    </xf>
    <xf numFmtId="9" fontId="50" fillId="0" borderId="0" xfId="26" applyFont="1" applyBorder="1" applyAlignment="1">
      <alignment/>
    </xf>
    <xf numFmtId="9" fontId="0" fillId="0" borderId="0" xfId="26" applyFont="1" applyBorder="1" applyAlignment="1">
      <alignment/>
    </xf>
    <xf numFmtId="10" fontId="0" fillId="0" borderId="6" xfId="0" applyNumberFormat="1" applyFont="1" applyBorder="1" applyAlignment="1">
      <alignment horizontal="center"/>
    </xf>
    <xf numFmtId="9" fontId="0" fillId="0" borderId="6" xfId="26" applyFont="1" applyBorder="1" applyAlignment="1">
      <alignment/>
    </xf>
    <xf numFmtId="9" fontId="50" fillId="0" borderId="6" xfId="26" applyFont="1" applyBorder="1" applyAlignment="1">
      <alignment/>
    </xf>
    <xf numFmtId="9" fontId="0" fillId="0" borderId="4" xfId="26" applyFont="1" applyBorder="1" applyAlignment="1">
      <alignment/>
    </xf>
    <xf numFmtId="0" fontId="2" fillId="0" borderId="1" xfId="0" applyFont="1" applyBorder="1" applyAlignment="1">
      <alignment horizontal="left"/>
    </xf>
    <xf numFmtId="165" fontId="0" fillId="0" borderId="23" xfId="15" applyNumberFormat="1" applyFont="1" applyBorder="1" applyAlignment="1">
      <alignment/>
    </xf>
    <xf numFmtId="0" fontId="0" fillId="0" borderId="3" xfId="0" applyFont="1" applyBorder="1" applyAlignment="1">
      <alignment horizontal="left"/>
    </xf>
    <xf numFmtId="0" fontId="40" fillId="0" borderId="5" xfId="0" applyFont="1" applyBorder="1" applyAlignment="1">
      <alignment horizontal="left"/>
    </xf>
    <xf numFmtId="165" fontId="0" fillId="0" borderId="0" xfId="15" applyNumberFormat="1" applyFont="1" applyBorder="1" applyAlignment="1">
      <alignment/>
    </xf>
    <xf numFmtId="0" fontId="0" fillId="0" borderId="5" xfId="0" applyFont="1" applyBorder="1" applyAlignment="1">
      <alignment horizontal="left"/>
    </xf>
    <xf numFmtId="165" fontId="0" fillId="0" borderId="6" xfId="15" applyNumberFormat="1" applyFont="1" applyBorder="1" applyAlignment="1">
      <alignment/>
    </xf>
    <xf numFmtId="0" fontId="0" fillId="0" borderId="4" xfId="0" applyFont="1" applyBorder="1" applyAlignment="1">
      <alignment/>
    </xf>
    <xf numFmtId="0" fontId="90" fillId="0" borderId="1" xfId="0" applyFont="1" applyBorder="1" applyAlignment="1">
      <alignment horizontal="left"/>
    </xf>
    <xf numFmtId="165" fontId="0" fillId="0" borderId="23" xfId="15" applyNumberFormat="1" applyFont="1" applyFill="1" applyBorder="1" applyAlignment="1" applyProtection="1">
      <alignment horizontal="center"/>
      <protection/>
    </xf>
    <xf numFmtId="0" fontId="0" fillId="0" borderId="7" xfId="0" applyFont="1" applyFill="1" applyBorder="1" applyAlignment="1" applyProtection="1">
      <alignment horizontal="center"/>
      <protection/>
    </xf>
    <xf numFmtId="0" fontId="38" fillId="0" borderId="3" xfId="0" applyFont="1" applyFill="1" applyBorder="1" applyAlignment="1">
      <alignment horizontal="left"/>
    </xf>
    <xf numFmtId="5" fontId="0" fillId="0" borderId="7" xfId="0" applyNumberFormat="1" applyFont="1" applyFill="1" applyBorder="1" applyAlignment="1" applyProtection="1">
      <alignment horizontal="center"/>
      <protection/>
    </xf>
    <xf numFmtId="5" fontId="0" fillId="0" borderId="4" xfId="0" applyNumberFormat="1" applyFont="1" applyFill="1" applyBorder="1" applyAlignment="1" applyProtection="1">
      <alignment horizontal="center"/>
      <protection/>
    </xf>
    <xf numFmtId="0" fontId="0" fillId="0" borderId="1" xfId="0" applyBorder="1" applyAlignment="1">
      <alignment/>
    </xf>
    <xf numFmtId="0" fontId="0" fillId="0" borderId="4" xfId="0" applyBorder="1" applyAlignment="1">
      <alignment/>
    </xf>
    <xf numFmtId="165" fontId="0" fillId="0" borderId="0" xfId="15" applyNumberFormat="1" applyFont="1" applyFill="1" applyAlignment="1">
      <alignment/>
    </xf>
    <xf numFmtId="203" fontId="0" fillId="0" borderId="0" xfId="0" applyNumberFormat="1" applyAlignment="1">
      <alignment/>
    </xf>
    <xf numFmtId="203" fontId="13" fillId="0" borderId="2" xfId="0" applyNumberFormat="1" applyFont="1" applyFill="1" applyBorder="1" applyAlignment="1">
      <alignment/>
    </xf>
    <xf numFmtId="0" fontId="0" fillId="10" borderId="0" xfId="0" applyFill="1" applyAlignment="1">
      <alignment/>
    </xf>
    <xf numFmtId="198" fontId="0" fillId="10" borderId="0" xfId="0" applyNumberFormat="1" applyFill="1" applyAlignment="1">
      <alignment/>
    </xf>
    <xf numFmtId="165" fontId="95" fillId="0" borderId="0" xfId="15" applyNumberFormat="1" applyFont="1" applyAlignment="1" applyProtection="1">
      <alignment/>
      <protection/>
    </xf>
    <xf numFmtId="165" fontId="96" fillId="0" borderId="0" xfId="15" applyNumberFormat="1" applyFont="1" applyAlignment="1" applyProtection="1">
      <alignment/>
      <protection locked="0"/>
    </xf>
    <xf numFmtId="165" fontId="96" fillId="0" borderId="0" xfId="15" applyNumberFormat="1" applyFont="1" applyAlignment="1" applyProtection="1">
      <alignment/>
      <protection/>
    </xf>
    <xf numFmtId="165" fontId="96" fillId="0" borderId="0" xfId="15" applyNumberFormat="1" applyFont="1" applyAlignment="1" applyProtection="1">
      <alignment/>
      <protection/>
    </xf>
    <xf numFmtId="165" fontId="95" fillId="0" borderId="0" xfId="15" applyNumberFormat="1" applyFont="1" applyAlignment="1" applyProtection="1">
      <alignment horizontal="fill"/>
      <protection/>
    </xf>
    <xf numFmtId="9" fontId="96" fillId="0" borderId="0" xfId="26" applyFont="1" applyAlignment="1" applyProtection="1">
      <alignment/>
      <protection/>
    </xf>
    <xf numFmtId="9" fontId="95" fillId="0" borderId="0" xfId="26" applyFont="1" applyAlignment="1" applyProtection="1">
      <alignment/>
      <protection/>
    </xf>
    <xf numFmtId="164" fontId="95" fillId="0" borderId="0" xfId="26" applyNumberFormat="1" applyFont="1" applyAlignment="1" applyProtection="1">
      <alignment/>
      <protection/>
    </xf>
    <xf numFmtId="0" fontId="99" fillId="0" borderId="0" xfId="0" applyFont="1" applyFill="1" applyAlignment="1">
      <alignment/>
    </xf>
    <xf numFmtId="0" fontId="24" fillId="0" borderId="0" xfId="0" applyFont="1" applyFill="1" applyBorder="1" applyAlignment="1">
      <alignment/>
    </xf>
    <xf numFmtId="165" fontId="24" fillId="0" borderId="0" xfId="15" applyNumberFormat="1" applyFont="1" applyFill="1" applyBorder="1" applyAlignment="1">
      <alignment/>
    </xf>
    <xf numFmtId="0" fontId="24" fillId="0" borderId="2" xfId="0" applyFont="1" applyFill="1" applyBorder="1" applyAlignment="1">
      <alignment/>
    </xf>
    <xf numFmtId="0" fontId="3" fillId="0" borderId="2" xfId="0" applyFont="1" applyBorder="1" applyAlignment="1">
      <alignment horizontal="center"/>
    </xf>
    <xf numFmtId="0" fontId="3" fillId="0" borderId="23" xfId="0" applyFont="1" applyBorder="1" applyAlignment="1">
      <alignment horizontal="center"/>
    </xf>
    <xf numFmtId="0" fontId="85" fillId="0" borderId="3" xfId="0" applyFont="1" applyBorder="1" applyAlignment="1">
      <alignment/>
    </xf>
    <xf numFmtId="165" fontId="85" fillId="0" borderId="0" xfId="15" applyNumberFormat="1" applyFont="1" applyFill="1" applyBorder="1" applyAlignment="1">
      <alignment/>
    </xf>
    <xf numFmtId="9" fontId="0" fillId="0" borderId="0" xfId="0" applyNumberFormat="1" applyFont="1" applyFill="1" applyBorder="1" applyAlignment="1">
      <alignment/>
    </xf>
    <xf numFmtId="0" fontId="0" fillId="0" borderId="7" xfId="0" applyFont="1" applyFill="1" applyBorder="1" applyAlignment="1">
      <alignment/>
    </xf>
    <xf numFmtId="0" fontId="85" fillId="0" borderId="3" xfId="0" applyFont="1" applyFill="1" applyBorder="1" applyAlignment="1">
      <alignment/>
    </xf>
    <xf numFmtId="165" fontId="100" fillId="0" borderId="0" xfId="15" applyNumberFormat="1" applyFont="1" applyFill="1" applyBorder="1" applyAlignment="1">
      <alignment/>
    </xf>
    <xf numFmtId="41" fontId="0" fillId="0" borderId="0" xfId="0" applyNumberFormat="1" applyFont="1" applyBorder="1" applyAlignment="1">
      <alignment/>
    </xf>
    <xf numFmtId="165" fontId="0" fillId="0" borderId="0" xfId="0" applyNumberFormat="1" applyFont="1" applyBorder="1" applyAlignment="1">
      <alignment/>
    </xf>
    <xf numFmtId="0" fontId="24" fillId="0" borderId="6" xfId="0" applyFont="1" applyFill="1" applyBorder="1" applyAlignment="1">
      <alignment/>
    </xf>
    <xf numFmtId="165" fontId="24" fillId="0" borderId="6" xfId="15" applyNumberFormat="1" applyFont="1" applyFill="1" applyBorder="1" applyAlignment="1">
      <alignment/>
    </xf>
    <xf numFmtId="0" fontId="24" fillId="0" borderId="4" xfId="0" applyFont="1" applyFill="1" applyBorder="1" applyAlignment="1">
      <alignment/>
    </xf>
    <xf numFmtId="0" fontId="4" fillId="0" borderId="0" xfId="0" applyFont="1" applyBorder="1" applyAlignment="1">
      <alignment/>
    </xf>
    <xf numFmtId="0" fontId="101" fillId="0" borderId="2" xfId="0" applyFont="1" applyFill="1" applyBorder="1" applyAlignment="1">
      <alignment/>
    </xf>
    <xf numFmtId="165" fontId="0" fillId="0" borderId="7" xfId="0" applyNumberFormat="1" applyBorder="1" applyAlignment="1">
      <alignment/>
    </xf>
    <xf numFmtId="165" fontId="0" fillId="0" borderId="7" xfId="15" applyNumberFormat="1" applyBorder="1" applyAlignment="1">
      <alignment/>
    </xf>
    <xf numFmtId="165" fontId="0" fillId="0" borderId="4" xfId="15" applyNumberFormat="1" applyBorder="1" applyAlignment="1">
      <alignment/>
    </xf>
    <xf numFmtId="3" fontId="3" fillId="0" borderId="7" xfId="0" applyNumberFormat="1" applyFont="1" applyBorder="1" applyAlignment="1">
      <alignment/>
    </xf>
    <xf numFmtId="10" fontId="21" fillId="0" borderId="0" xfId="26" applyNumberFormat="1" applyFont="1" applyFill="1" applyAlignment="1">
      <alignment/>
    </xf>
    <xf numFmtId="165" fontId="24" fillId="0" borderId="6" xfId="0" applyNumberFormat="1" applyFont="1" applyFill="1" applyBorder="1" applyAlignment="1">
      <alignment/>
    </xf>
    <xf numFmtId="41" fontId="24" fillId="0" borderId="6" xfId="0" applyNumberFormat="1" applyFont="1" applyFill="1" applyBorder="1" applyAlignment="1">
      <alignment/>
    </xf>
    <xf numFmtId="41" fontId="0" fillId="0" borderId="8" xfId="0" applyNumberFormat="1" applyFont="1" applyBorder="1" applyAlignment="1">
      <alignment/>
    </xf>
    <xf numFmtId="165" fontId="0" fillId="0" borderId="10" xfId="15" applyNumberFormat="1" applyFont="1" applyBorder="1" applyAlignment="1">
      <alignment/>
    </xf>
    <xf numFmtId="165" fontId="21" fillId="0" borderId="0" xfId="15" applyNumberFormat="1" applyFont="1" applyFill="1" applyAlignment="1">
      <alignment/>
    </xf>
    <xf numFmtId="39" fontId="97" fillId="0" borderId="0" xfId="0" applyNumberFormat="1" applyFont="1" applyAlignment="1">
      <alignment/>
    </xf>
    <xf numFmtId="14" fontId="0" fillId="0" borderId="0" xfId="0" applyNumberFormat="1" applyAlignment="1">
      <alignment horizontal="center"/>
    </xf>
    <xf numFmtId="37" fontId="0" fillId="0" borderId="30" xfId="0" applyNumberFormat="1" applyBorder="1" applyAlignment="1">
      <alignment/>
    </xf>
    <xf numFmtId="10" fontId="3" fillId="0" borderId="0" xfId="26" applyNumberFormat="1" applyFont="1" applyAlignment="1">
      <alignment/>
    </xf>
    <xf numFmtId="5" fontId="3" fillId="0" borderId="0" xfId="0" applyNumberFormat="1" applyFont="1" applyAlignment="1">
      <alignment/>
    </xf>
    <xf numFmtId="165" fontId="0" fillId="0" borderId="30" xfId="0" applyNumberFormat="1" applyBorder="1" applyAlignment="1">
      <alignment/>
    </xf>
    <xf numFmtId="0" fontId="0" fillId="0" borderId="1" xfId="0" applyBorder="1" applyAlignment="1">
      <alignment horizontal="center"/>
    </xf>
    <xf numFmtId="167" fontId="5" fillId="0" borderId="2" xfId="24" applyFont="1" applyFill="1" applyBorder="1">
      <alignment/>
      <protection/>
    </xf>
    <xf numFmtId="41" fontId="13" fillId="0" borderId="2" xfId="24" applyNumberFormat="1" applyFont="1" applyFill="1" applyBorder="1">
      <alignment/>
      <protection/>
    </xf>
    <xf numFmtId="5" fontId="13" fillId="0" borderId="2" xfId="24" applyNumberFormat="1" applyFont="1" applyFill="1" applyBorder="1">
      <alignment/>
      <protection/>
    </xf>
    <xf numFmtId="5" fontId="13" fillId="0" borderId="23" xfId="24" applyNumberFormat="1" applyFont="1" applyFill="1" applyBorder="1">
      <alignment/>
      <protection/>
    </xf>
    <xf numFmtId="0" fontId="0" fillId="0" borderId="3" xfId="0" applyBorder="1" applyAlignment="1">
      <alignment horizontal="center"/>
    </xf>
    <xf numFmtId="167" fontId="5" fillId="0" borderId="0" xfId="24" applyFont="1" applyFill="1" applyBorder="1">
      <alignment/>
      <protection/>
    </xf>
    <xf numFmtId="167" fontId="0" fillId="0" borderId="0" xfId="24" applyFont="1" applyFill="1" applyBorder="1">
      <alignment/>
      <protection/>
    </xf>
    <xf numFmtId="167" fontId="0" fillId="0" borderId="7" xfId="24" applyFont="1" applyFill="1" applyBorder="1">
      <alignment/>
      <protection/>
    </xf>
    <xf numFmtId="41" fontId="5" fillId="0" borderId="0" xfId="24" applyNumberFormat="1" applyFont="1" applyFill="1" applyBorder="1">
      <alignment/>
      <protection/>
    </xf>
    <xf numFmtId="41" fontId="5" fillId="0" borderId="7" xfId="24" applyNumberFormat="1" applyFont="1" applyFill="1" applyBorder="1">
      <alignment/>
      <protection/>
    </xf>
    <xf numFmtId="41" fontId="13" fillId="0" borderId="7" xfId="24" applyNumberFormat="1" applyFont="1" applyFill="1" applyBorder="1">
      <alignment/>
      <protection/>
    </xf>
    <xf numFmtId="41" fontId="50" fillId="0" borderId="0" xfId="0" applyNumberFormat="1" applyFont="1" applyBorder="1" applyAlignment="1">
      <alignment/>
    </xf>
    <xf numFmtId="0" fontId="0" fillId="0" borderId="5" xfId="0" applyBorder="1" applyAlignment="1">
      <alignment horizontal="center"/>
    </xf>
    <xf numFmtId="41" fontId="0" fillId="0" borderId="6" xfId="0" applyNumberFormat="1" applyBorder="1" applyAlignment="1">
      <alignment/>
    </xf>
    <xf numFmtId="1" fontId="78" fillId="0" borderId="0" xfId="15" applyNumberFormat="1" applyFont="1" applyFill="1" applyBorder="1" applyAlignment="1" applyProtection="1">
      <alignment horizontal="right"/>
      <protection/>
    </xf>
    <xf numFmtId="167" fontId="0" fillId="0" borderId="0" xfId="24" applyFont="1" applyFill="1" applyBorder="1" applyAlignment="1">
      <alignment horizontal="center" vertical="center"/>
      <protection/>
    </xf>
    <xf numFmtId="41" fontId="13" fillId="9" borderId="11" xfId="24" applyNumberFormat="1" applyFont="1" applyFill="1" applyBorder="1">
      <alignment/>
      <protection/>
    </xf>
    <xf numFmtId="0" fontId="102" fillId="0" borderId="0" xfId="0" applyFont="1" applyAlignment="1">
      <alignment/>
    </xf>
    <xf numFmtId="9" fontId="17" fillId="0" borderId="0" xfId="26" applyFont="1" applyFill="1" applyAlignment="1" applyProtection="1">
      <alignment/>
      <protection/>
    </xf>
    <xf numFmtId="167" fontId="0" fillId="0" borderId="6" xfId="24" applyFill="1" applyBorder="1">
      <alignment/>
      <protection/>
    </xf>
    <xf numFmtId="0" fontId="103" fillId="10" borderId="2" xfId="0" applyFont="1" applyFill="1" applyBorder="1" applyAlignment="1">
      <alignment horizontal="center"/>
    </xf>
    <xf numFmtId="165" fontId="5" fillId="0" borderId="0" xfId="15" applyNumberFormat="1" applyFont="1" applyFill="1" applyAlignment="1" applyProtection="1">
      <alignment/>
      <protection/>
    </xf>
    <xf numFmtId="184" fontId="38" fillId="0" borderId="0" xfId="15" applyNumberFormat="1" applyFont="1" applyFill="1" applyBorder="1" applyAlignment="1">
      <alignment/>
    </xf>
    <xf numFmtId="0" fontId="69" fillId="0" borderId="0" xfId="0" applyFont="1" applyAlignment="1">
      <alignment/>
    </xf>
    <xf numFmtId="0" fontId="68" fillId="0" borderId="0" xfId="0" applyFont="1" applyAlignment="1">
      <alignment/>
    </xf>
    <xf numFmtId="44" fontId="69" fillId="0" borderId="0" xfId="0" applyNumberFormat="1" applyFont="1" applyAlignment="1">
      <alignment/>
    </xf>
    <xf numFmtId="44" fontId="68" fillId="0" borderId="0" xfId="18" applyFont="1" applyAlignment="1">
      <alignment/>
    </xf>
    <xf numFmtId="173" fontId="69" fillId="0" borderId="0" xfId="26" applyNumberFormat="1" applyFont="1" applyAlignment="1">
      <alignment/>
    </xf>
    <xf numFmtId="164" fontId="69" fillId="0" borderId="0" xfId="26" applyNumberFormat="1" applyFont="1" applyAlignment="1">
      <alignment/>
    </xf>
    <xf numFmtId="0" fontId="104" fillId="0" borderId="0" xfId="0" applyFont="1" applyAlignment="1">
      <alignment horizontal="center"/>
    </xf>
    <xf numFmtId="165" fontId="69" fillId="0" borderId="0" xfId="0" applyNumberFormat="1" applyFont="1" applyAlignment="1">
      <alignment/>
    </xf>
    <xf numFmtId="165" fontId="69" fillId="0" borderId="0" xfId="15" applyNumberFormat="1" applyFont="1" applyAlignment="1">
      <alignment/>
    </xf>
    <xf numFmtId="43" fontId="68" fillId="0" borderId="0" xfId="0" applyNumberFormat="1" applyFont="1" applyAlignment="1">
      <alignment/>
    </xf>
    <xf numFmtId="43" fontId="69" fillId="0" borderId="0" xfId="15" applyFont="1" applyAlignment="1">
      <alignment/>
    </xf>
    <xf numFmtId="44" fontId="13" fillId="0" borderId="0" xfId="18" applyFont="1" applyFill="1" applyAlignment="1">
      <alignment/>
    </xf>
    <xf numFmtId="10" fontId="38" fillId="0" borderId="0" xfId="26" applyNumberFormat="1" applyFont="1" applyFill="1" applyBorder="1" applyAlignment="1">
      <alignment/>
    </xf>
    <xf numFmtId="10" fontId="38" fillId="0" borderId="7" xfId="26" applyNumberFormat="1" applyFont="1" applyFill="1" applyBorder="1" applyAlignment="1">
      <alignment/>
    </xf>
    <xf numFmtId="44" fontId="69" fillId="0" borderId="0" xfId="0" applyNumberFormat="1" applyFont="1" applyBorder="1" applyAlignment="1">
      <alignment/>
    </xf>
    <xf numFmtId="37" fontId="69" fillId="0" borderId="0" xfId="0" applyNumberFormat="1" applyFont="1" applyAlignment="1">
      <alignment/>
    </xf>
    <xf numFmtId="203" fontId="0" fillId="0" borderId="0" xfId="0" applyNumberFormat="1" applyFont="1" applyAlignment="1">
      <alignment/>
    </xf>
    <xf numFmtId="37" fontId="9" fillId="0" borderId="23" xfId="0" applyNumberFormat="1" applyFont="1" applyFill="1" applyBorder="1" applyAlignment="1">
      <alignment/>
    </xf>
    <xf numFmtId="9" fontId="0" fillId="0" borderId="0" xfId="26" applyFont="1" applyFill="1" applyAlignment="1">
      <alignment/>
    </xf>
    <xf numFmtId="37" fontId="0" fillId="0" borderId="0" xfId="0" applyNumberFormat="1" applyFont="1" applyFill="1" applyBorder="1" applyAlignment="1">
      <alignment/>
    </xf>
    <xf numFmtId="166" fontId="10" fillId="0" borderId="0" xfId="0" applyNumberFormat="1" applyFont="1" applyFill="1" applyBorder="1" applyAlignment="1">
      <alignment/>
    </xf>
    <xf numFmtId="0" fontId="2" fillId="0" borderId="6" xfId="0" applyFont="1" applyFill="1" applyBorder="1" applyAlignment="1">
      <alignment/>
    </xf>
    <xf numFmtId="165" fontId="39" fillId="0" borderId="0" xfId="15" applyNumberFormat="1" applyFont="1" applyFill="1" applyBorder="1" applyAlignment="1">
      <alignment/>
    </xf>
    <xf numFmtId="0" fontId="0" fillId="0" borderId="2" xfId="0" applyFont="1" applyFill="1" applyBorder="1" applyAlignment="1" applyProtection="1">
      <alignment/>
      <protection/>
    </xf>
    <xf numFmtId="0" fontId="3" fillId="0" borderId="0" xfId="0" applyFont="1" applyFill="1" applyBorder="1" applyAlignment="1" applyProtection="1">
      <alignment horizontal="right"/>
      <protection/>
    </xf>
    <xf numFmtId="0" fontId="3" fillId="0" borderId="0" xfId="0" applyFont="1" applyFill="1" applyBorder="1" applyAlignment="1" applyProtection="1">
      <alignment/>
      <protection/>
    </xf>
    <xf numFmtId="164" fontId="0" fillId="0" borderId="0" xfId="26" applyNumberFormat="1" applyFont="1" applyFill="1" applyBorder="1" applyAlignment="1" applyProtection="1">
      <alignment/>
      <protection/>
    </xf>
    <xf numFmtId="10" fontId="0"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right"/>
      <protection/>
    </xf>
    <xf numFmtId="167" fontId="0" fillId="0" borderId="0" xfId="25" applyFont="1" applyFill="1" applyBorder="1" applyAlignment="1" applyProtection="1">
      <alignment horizontal="right"/>
      <protection/>
    </xf>
    <xf numFmtId="10" fontId="0" fillId="0" borderId="0" xfId="25" applyNumberFormat="1" applyFont="1" applyFill="1" applyBorder="1" applyAlignment="1" applyProtection="1" quotePrefix="1">
      <alignment horizontal="left"/>
      <protection/>
    </xf>
    <xf numFmtId="0" fontId="2" fillId="0" borderId="6" xfId="0" applyFont="1" applyFill="1" applyBorder="1" applyAlignment="1" applyProtection="1">
      <alignment/>
      <protection/>
    </xf>
    <xf numFmtId="0" fontId="0" fillId="0" borderId="6" xfId="0" applyFont="1" applyFill="1" applyBorder="1" applyAlignment="1" applyProtection="1">
      <alignment/>
      <protection/>
    </xf>
    <xf numFmtId="0" fontId="0" fillId="0" borderId="6" xfId="0" applyFont="1" applyFill="1" applyBorder="1" applyAlignment="1" applyProtection="1">
      <alignment horizontal="right"/>
      <protection/>
    </xf>
    <xf numFmtId="10" fontId="0" fillId="0" borderId="6" xfId="0" applyNumberFormat="1" applyFont="1" applyFill="1" applyBorder="1" applyAlignment="1" applyProtection="1">
      <alignment horizontal="left"/>
      <protection/>
    </xf>
    <xf numFmtId="3" fontId="0" fillId="0" borderId="0" xfId="15" applyNumberFormat="1" applyFont="1" applyFill="1" applyAlignment="1" applyProtection="1">
      <alignment horizontal="center"/>
      <protection/>
    </xf>
    <xf numFmtId="164" fontId="0" fillId="0" borderId="0" xfId="26" applyNumberFormat="1" applyFont="1" applyAlignment="1">
      <alignment horizontal="center"/>
    </xf>
    <xf numFmtId="3" fontId="0" fillId="0" borderId="0" xfId="15" applyNumberFormat="1" applyFont="1" applyFill="1" applyBorder="1" applyAlignment="1" applyProtection="1">
      <alignment horizontal="center"/>
      <protection/>
    </xf>
    <xf numFmtId="3" fontId="0" fillId="0" borderId="6" xfId="15" applyNumberFormat="1" applyFont="1" applyFill="1" applyBorder="1" applyAlignment="1" applyProtection="1">
      <alignment horizontal="center"/>
      <protection/>
    </xf>
    <xf numFmtId="3" fontId="0" fillId="0" borderId="2" xfId="0" applyNumberFormat="1" applyFont="1" applyBorder="1" applyAlignment="1">
      <alignment horizontal="center"/>
    </xf>
    <xf numFmtId="3" fontId="0" fillId="0" borderId="0" xfId="15" applyNumberFormat="1" applyFont="1" applyBorder="1" applyAlignment="1">
      <alignment horizontal="center"/>
    </xf>
    <xf numFmtId="3" fontId="0" fillId="0" borderId="0" xfId="0" applyNumberFormat="1" applyFont="1" applyBorder="1" applyAlignment="1">
      <alignment/>
    </xf>
    <xf numFmtId="3" fontId="0" fillId="0" borderId="6" xfId="0" applyNumberFormat="1" applyFont="1" applyBorder="1" applyAlignment="1">
      <alignment/>
    </xf>
    <xf numFmtId="4" fontId="0" fillId="0" borderId="0" xfId="0" applyNumberFormat="1" applyFont="1" applyBorder="1" applyAlignment="1">
      <alignment horizontal="center"/>
    </xf>
    <xf numFmtId="3" fontId="0" fillId="0" borderId="6" xfId="15" applyNumberFormat="1" applyFont="1" applyBorder="1" applyAlignment="1">
      <alignment horizontal="center"/>
    </xf>
    <xf numFmtId="3" fontId="0" fillId="0" borderId="2" xfId="15" applyNumberFormat="1" applyFont="1" applyBorder="1" applyAlignment="1">
      <alignment horizontal="center"/>
    </xf>
    <xf numFmtId="3" fontId="0" fillId="0" borderId="7" xfId="0" applyNumberFormat="1" applyFont="1" applyBorder="1" applyAlignment="1">
      <alignment horizontal="center"/>
    </xf>
    <xf numFmtId="3" fontId="0" fillId="0" borderId="7" xfId="15" applyNumberFormat="1" applyFont="1" applyBorder="1" applyAlignment="1">
      <alignment horizontal="center"/>
    </xf>
    <xf numFmtId="38" fontId="0" fillId="0" borderId="7" xfId="15" applyNumberFormat="1" applyFont="1" applyBorder="1" applyAlignment="1">
      <alignment horizontal="center"/>
    </xf>
    <xf numFmtId="167" fontId="20" fillId="0" borderId="0" xfId="0" applyNumberFormat="1" applyFont="1" applyAlignment="1">
      <alignment/>
    </xf>
    <xf numFmtId="165" fontId="5" fillId="0" borderId="0" xfId="15" applyNumberFormat="1" applyFont="1" applyAlignment="1">
      <alignment/>
    </xf>
    <xf numFmtId="165" fontId="5" fillId="0" borderId="9" xfId="15" applyNumberFormat="1" applyFont="1" applyBorder="1" applyAlignment="1">
      <alignment/>
    </xf>
    <xf numFmtId="10" fontId="0" fillId="0" borderId="6" xfId="0" applyNumberFormat="1" applyBorder="1" applyAlignment="1">
      <alignment/>
    </xf>
    <xf numFmtId="0" fontId="3" fillId="0" borderId="0" xfId="0" applyFont="1" applyBorder="1" applyAlignment="1">
      <alignment horizontal="right"/>
    </xf>
    <xf numFmtId="0" fontId="5" fillId="0" borderId="0" xfId="0" applyFont="1" applyAlignment="1">
      <alignment horizontal="right"/>
    </xf>
    <xf numFmtId="0" fontId="5" fillId="0" borderId="0" xfId="0" applyFont="1" applyAlignment="1">
      <alignment horizontal="center"/>
    </xf>
    <xf numFmtId="10" fontId="0" fillId="0" borderId="0" xfId="0" applyNumberFormat="1" applyBorder="1" applyAlignment="1">
      <alignment/>
    </xf>
    <xf numFmtId="0" fontId="5" fillId="0" borderId="0" xfId="0" applyFont="1" applyAlignment="1">
      <alignment horizontal="left"/>
    </xf>
    <xf numFmtId="165" fontId="105" fillId="0" borderId="0" xfId="15" applyNumberFormat="1" applyFont="1" applyAlignment="1">
      <alignment/>
    </xf>
    <xf numFmtId="10" fontId="38" fillId="0" borderId="0" xfId="26" applyNumberFormat="1" applyFont="1" applyFill="1" applyAlignment="1">
      <alignment/>
    </xf>
    <xf numFmtId="0" fontId="2" fillId="4" borderId="13" xfId="0" applyFont="1" applyFill="1" applyBorder="1" applyAlignment="1">
      <alignment horizontal="left"/>
    </xf>
    <xf numFmtId="0" fontId="2" fillId="4" borderId="13" xfId="0" applyFont="1" applyFill="1" applyBorder="1" applyAlignment="1">
      <alignment horizontal="center"/>
    </xf>
    <xf numFmtId="0" fontId="0" fillId="4" borderId="13" xfId="0" applyFill="1" applyBorder="1" applyAlignment="1">
      <alignment horizontal="right"/>
    </xf>
    <xf numFmtId="0" fontId="0" fillId="4" borderId="13" xfId="0" applyFill="1" applyBorder="1" applyAlignment="1">
      <alignment horizontal="center"/>
    </xf>
    <xf numFmtId="44" fontId="2" fillId="4" borderId="37" xfId="18" applyFont="1" applyFill="1" applyBorder="1" applyAlignment="1">
      <alignment/>
    </xf>
    <xf numFmtId="44" fontId="2" fillId="10" borderId="13" xfId="18" applyFont="1" applyFill="1" applyBorder="1" applyAlignment="1">
      <alignment/>
    </xf>
    <xf numFmtId="44" fontId="2" fillId="4" borderId="13" xfId="18" applyFont="1" applyFill="1" applyBorder="1" applyAlignment="1">
      <alignment/>
    </xf>
    <xf numFmtId="0" fontId="2" fillId="4" borderId="37" xfId="0" applyFont="1" applyFill="1" applyBorder="1" applyAlignment="1">
      <alignment/>
    </xf>
    <xf numFmtId="0" fontId="2" fillId="4" borderId="37" xfId="0" applyFont="1" applyFill="1" applyBorder="1" applyAlignment="1">
      <alignment horizontal="center"/>
    </xf>
    <xf numFmtId="0" fontId="0" fillId="4" borderId="37" xfId="0" applyFill="1" applyBorder="1" applyAlignment="1">
      <alignment/>
    </xf>
    <xf numFmtId="44" fontId="2" fillId="4" borderId="37" xfId="0" applyNumberFormat="1" applyFont="1" applyFill="1" applyBorder="1" applyAlignment="1">
      <alignment/>
    </xf>
    <xf numFmtId="173" fontId="0" fillId="0" borderId="0" xfId="0" applyNumberFormat="1" applyFont="1" applyFill="1" applyBorder="1" applyAlignment="1" applyProtection="1">
      <alignment horizontal="left"/>
      <protection/>
    </xf>
    <xf numFmtId="0" fontId="17" fillId="0" borderId="0" xfId="0" applyFont="1" applyAlignment="1">
      <alignment horizontal="centerContinuous"/>
    </xf>
    <xf numFmtId="0" fontId="16" fillId="0" borderId="0" xfId="0" applyFont="1" applyAlignment="1">
      <alignment/>
    </xf>
    <xf numFmtId="173" fontId="3" fillId="0" borderId="0" xfId="0" applyNumberFormat="1" applyFont="1" applyFill="1" applyBorder="1" applyAlignment="1" applyProtection="1">
      <alignment horizontal="left"/>
      <protection/>
    </xf>
    <xf numFmtId="181" fontId="0" fillId="0" borderId="0" xfId="15" applyNumberFormat="1" applyFill="1" applyAlignment="1">
      <alignment/>
    </xf>
    <xf numFmtId="37" fontId="106" fillId="0" borderId="0" xfId="0" applyNumberFormat="1" applyFont="1" applyFill="1" applyBorder="1" applyAlignment="1">
      <alignment/>
    </xf>
    <xf numFmtId="0" fontId="40" fillId="0" borderId="3" xfId="0" applyFont="1" applyBorder="1" applyAlignment="1">
      <alignment horizontal="left"/>
    </xf>
    <xf numFmtId="3" fontId="0" fillId="9" borderId="0" xfId="15" applyNumberFormat="1" applyFont="1" applyFill="1" applyBorder="1" applyAlignment="1">
      <alignment horizontal="center"/>
    </xf>
    <xf numFmtId="37" fontId="38" fillId="0" borderId="3" xfId="0" applyNumberFormat="1" applyFont="1" applyFill="1" applyBorder="1" applyAlignment="1">
      <alignment/>
    </xf>
    <xf numFmtId="37" fontId="38" fillId="0" borderId="0" xfId="0" applyNumberFormat="1" applyFont="1" applyFill="1" applyBorder="1" applyAlignment="1">
      <alignment/>
    </xf>
    <xf numFmtId="0" fontId="4" fillId="0" borderId="1" xfId="0" applyFont="1" applyBorder="1" applyAlignment="1">
      <alignment horizontal="left"/>
    </xf>
    <xf numFmtId="0" fontId="4" fillId="9" borderId="23" xfId="0" applyFont="1" applyFill="1" applyBorder="1" applyAlignment="1">
      <alignment horizontal="center"/>
    </xf>
    <xf numFmtId="0" fontId="2" fillId="9" borderId="7" xfId="0" applyFont="1" applyFill="1" applyBorder="1" applyAlignment="1">
      <alignment horizontal="center"/>
    </xf>
    <xf numFmtId="3" fontId="0" fillId="9" borderId="6" xfId="15" applyNumberFormat="1" applyFont="1" applyFill="1" applyBorder="1" applyAlignment="1">
      <alignment horizontal="center"/>
    </xf>
    <xf numFmtId="0" fontId="2" fillId="9" borderId="4" xfId="0" applyFont="1" applyFill="1" applyBorder="1" applyAlignment="1">
      <alignment horizontal="center"/>
    </xf>
    <xf numFmtId="167" fontId="17" fillId="0" borderId="9" xfId="25" applyFont="1" applyFill="1" applyBorder="1" applyProtection="1">
      <alignment/>
      <protection/>
    </xf>
    <xf numFmtId="167" fontId="17" fillId="0" borderId="9" xfId="25" applyFont="1" applyFill="1" applyBorder="1" applyProtection="1">
      <alignment/>
      <protection/>
    </xf>
    <xf numFmtId="0" fontId="0" fillId="0" borderId="23" xfId="0" applyFont="1" applyFill="1" applyBorder="1" applyAlignment="1" applyProtection="1">
      <alignment horizontal="center"/>
      <protection/>
    </xf>
    <xf numFmtId="10" fontId="0" fillId="0" borderId="0" xfId="26" applyNumberFormat="1" applyFont="1" applyFill="1" applyBorder="1" applyAlignment="1" applyProtection="1">
      <alignment/>
      <protection/>
    </xf>
    <xf numFmtId="10" fontId="0" fillId="0" borderId="0" xfId="26" applyNumberFormat="1" applyFont="1" applyBorder="1" applyAlignment="1">
      <alignment/>
    </xf>
    <xf numFmtId="10" fontId="3" fillId="0" borderId="0" xfId="26" applyNumberFormat="1" applyFont="1" applyFill="1" applyBorder="1" applyAlignment="1" applyProtection="1">
      <alignment/>
      <protection/>
    </xf>
    <xf numFmtId="10" fontId="0" fillId="0" borderId="0" xfId="0" applyNumberFormat="1" applyFont="1" applyBorder="1" applyAlignment="1">
      <alignment/>
    </xf>
    <xf numFmtId="0" fontId="0" fillId="0" borderId="1" xfId="0" applyFont="1" applyFill="1" applyBorder="1" applyAlignment="1" applyProtection="1">
      <alignment horizontal="center"/>
      <protection/>
    </xf>
    <xf numFmtId="0" fontId="0" fillId="0" borderId="2" xfId="0" applyFont="1" applyFill="1" applyBorder="1" applyAlignment="1" applyProtection="1">
      <alignment horizontal="center"/>
      <protection/>
    </xf>
    <xf numFmtId="0" fontId="0" fillId="0" borderId="3" xfId="0" applyFont="1" applyFill="1" applyBorder="1" applyAlignment="1" applyProtection="1">
      <alignment horizontal="center"/>
      <protection/>
    </xf>
    <xf numFmtId="0" fontId="0" fillId="0" borderId="7" xfId="0" applyFont="1" applyBorder="1" applyAlignment="1">
      <alignment horizontal="center"/>
    </xf>
    <xf numFmtId="10" fontId="0" fillId="0" borderId="3" xfId="26" applyNumberFormat="1" applyFont="1" applyFill="1" applyBorder="1" applyAlignment="1" applyProtection="1">
      <alignment/>
      <protection/>
    </xf>
    <xf numFmtId="10" fontId="3" fillId="0" borderId="3" xfId="26" applyNumberFormat="1" applyFont="1" applyFill="1" applyBorder="1" applyAlignment="1" applyProtection="1">
      <alignment/>
      <protection/>
    </xf>
    <xf numFmtId="10" fontId="3" fillId="0" borderId="7" xfId="26" applyNumberFormat="1" applyFont="1" applyBorder="1" applyAlignment="1">
      <alignment/>
    </xf>
    <xf numFmtId="10" fontId="0" fillId="0" borderId="3" xfId="0" applyNumberFormat="1" applyFont="1" applyFill="1" applyBorder="1" applyAlignment="1" applyProtection="1">
      <alignment/>
      <protection/>
    </xf>
    <xf numFmtId="0" fontId="0" fillId="0" borderId="3" xfId="0" applyFont="1" applyFill="1" applyBorder="1" applyAlignment="1" applyProtection="1">
      <alignment/>
      <protection/>
    </xf>
    <xf numFmtId="0" fontId="0" fillId="0" borderId="5" xfId="0" applyFont="1" applyFill="1" applyBorder="1" applyAlignment="1" applyProtection="1">
      <alignment/>
      <protection/>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167" fontId="0" fillId="0" borderId="8" xfId="24" applyFont="1" applyFill="1" applyBorder="1" applyAlignment="1">
      <alignment horizontal="center" vertical="center"/>
      <protection/>
    </xf>
    <xf numFmtId="167" fontId="0" fillId="0" borderId="9" xfId="24" applyFont="1" applyFill="1" applyBorder="1" applyAlignment="1">
      <alignment horizontal="center" vertical="center"/>
      <protection/>
    </xf>
    <xf numFmtId="167" fontId="0" fillId="0" borderId="10" xfId="24" applyFont="1" applyFill="1" applyBorder="1" applyAlignment="1">
      <alignment horizontal="center" vertical="center"/>
      <protection/>
    </xf>
    <xf numFmtId="0" fontId="48" fillId="0" borderId="0" xfId="0" applyFont="1" applyAlignment="1">
      <alignment horizontal="center"/>
    </xf>
    <xf numFmtId="37" fontId="0" fillId="0" borderId="6" xfId="0" applyNumberFormat="1" applyBorder="1" applyAlignment="1">
      <alignment horizontal="center"/>
    </xf>
  </cellXfs>
  <cellStyles count="13">
    <cellStyle name="Normal" xfId="0"/>
    <cellStyle name="Comma" xfId="15"/>
    <cellStyle name="Comma [0]" xfId="16"/>
    <cellStyle name="Comma_CMC25yrRev Reqt 1_13_991" xfId="17"/>
    <cellStyle name="Currency" xfId="18"/>
    <cellStyle name="Currency [0]" xfId="19"/>
    <cellStyle name="Followed Hyperlink" xfId="20"/>
    <cellStyle name="Hyperlink" xfId="21"/>
    <cellStyle name="Normal_25yrCMC RevReqt" xfId="22"/>
    <cellStyle name="Normal_base wet lime interchng" xfId="23"/>
    <cellStyle name="Normal_CMC25yrRev Reqt 1_13_991" xfId="24"/>
    <cellStyle name="Normal_earnings"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29"/>
  <sheetViews>
    <sheetView tabSelected="1" zoomScale="75" zoomScaleNormal="75" workbookViewId="0" topLeftCell="A1">
      <selection activeCell="A1" sqref="A1"/>
    </sheetView>
  </sheetViews>
  <sheetFormatPr defaultColWidth="9.140625" defaultRowHeight="12.75"/>
  <cols>
    <col min="1" max="1" width="4.7109375" style="122" customWidth="1"/>
    <col min="3" max="3" width="36.140625" style="0" customWidth="1"/>
    <col min="4" max="4" width="14.00390625" style="0" customWidth="1"/>
    <col min="5" max="5" width="13.421875" style="0" customWidth="1"/>
    <col min="6" max="6" width="13.57421875" style="0" customWidth="1"/>
    <col min="7" max="7" width="12.8515625" style="0" customWidth="1"/>
    <col min="8" max="8" width="14.140625" style="0" customWidth="1"/>
    <col min="10" max="10" width="13.8515625" style="0" customWidth="1"/>
  </cols>
  <sheetData>
    <row r="1" spans="2:8" ht="18">
      <c r="B1" s="943" t="s">
        <v>0</v>
      </c>
      <c r="C1" s="944"/>
      <c r="D1" s="944"/>
      <c r="E1" s="944"/>
      <c r="F1" s="944"/>
      <c r="G1" s="944"/>
      <c r="H1" s="945"/>
    </row>
    <row r="2" spans="2:8" ht="12.75">
      <c r="B2" s="550"/>
      <c r="C2" s="1"/>
      <c r="D2" s="1"/>
      <c r="E2" s="1"/>
      <c r="F2" s="1"/>
      <c r="G2" s="1"/>
      <c r="H2" s="1"/>
    </row>
    <row r="3" spans="2:8" ht="12.75">
      <c r="B3" s="145"/>
      <c r="C3" s="2"/>
      <c r="D3" s="2"/>
      <c r="E3" s="2"/>
      <c r="F3" s="2"/>
      <c r="G3" s="1"/>
      <c r="H3" s="3" t="s">
        <v>1</v>
      </c>
    </row>
    <row r="4" spans="2:8" ht="12.75">
      <c r="B4" s="145"/>
      <c r="C4" s="2"/>
      <c r="D4" s="2"/>
      <c r="E4" s="2"/>
      <c r="F4" s="2"/>
      <c r="G4" s="1"/>
      <c r="H4" s="3" t="s">
        <v>2</v>
      </c>
    </row>
    <row r="5" spans="2:8" ht="12.75">
      <c r="B5" s="550"/>
      <c r="C5" s="1"/>
      <c r="D5" s="4"/>
      <c r="E5" s="4"/>
      <c r="F5" s="5" t="s">
        <v>3</v>
      </c>
      <c r="G5" s="5" t="s">
        <v>2</v>
      </c>
      <c r="H5" s="5" t="s">
        <v>4</v>
      </c>
    </row>
    <row r="6" spans="2:8" ht="12.75">
      <c r="B6" s="551" t="s">
        <v>886</v>
      </c>
      <c r="C6" s="1"/>
      <c r="D6" s="7" t="s">
        <v>6</v>
      </c>
      <c r="E6" s="7" t="s">
        <v>7</v>
      </c>
      <c r="F6" s="7" t="s">
        <v>8</v>
      </c>
      <c r="G6" s="7" t="s">
        <v>9</v>
      </c>
      <c r="H6" s="7" t="s">
        <v>10</v>
      </c>
    </row>
    <row r="7" spans="2:8" ht="12.75">
      <c r="B7" s="550"/>
      <c r="C7" s="1"/>
      <c r="D7" s="4"/>
      <c r="E7" s="4"/>
      <c r="F7" s="4"/>
      <c r="G7" s="4"/>
      <c r="H7" s="4"/>
    </row>
    <row r="8" spans="1:8" ht="12.75">
      <c r="A8" s="122">
        <v>1</v>
      </c>
      <c r="B8" s="552" t="s">
        <v>11</v>
      </c>
      <c r="C8" s="1"/>
      <c r="D8" s="4">
        <v>554000000</v>
      </c>
      <c r="E8" s="4"/>
      <c r="F8" s="4"/>
      <c r="G8" s="4"/>
      <c r="H8" s="4"/>
    </row>
    <row r="9" spans="1:8" ht="12.75">
      <c r="A9" s="122">
        <f aca="true" t="shared" si="0" ref="A9:A83">A8+1</f>
        <v>2</v>
      </c>
      <c r="B9" s="18" t="s">
        <v>626</v>
      </c>
      <c r="C9" s="1"/>
      <c r="D9" s="178">
        <f>('PPW PPE'!L16-'PPW PPE'!R16)/Inputs!G7</f>
        <v>2534842.6736842333</v>
      </c>
      <c r="E9" s="4"/>
      <c r="F9" s="4"/>
      <c r="G9" s="4"/>
      <c r="H9" s="4"/>
    </row>
    <row r="10" spans="1:8" ht="12.75">
      <c r="A10" s="122">
        <f t="shared" si="0"/>
        <v>3</v>
      </c>
      <c r="B10" s="18" t="s">
        <v>627</v>
      </c>
      <c r="C10" s="1"/>
      <c r="D10" s="178">
        <f>('PPW PPE'!L39-'PPW PPE'!R39)</f>
        <v>6295100</v>
      </c>
      <c r="E10" s="4"/>
      <c r="F10" s="4"/>
      <c r="G10" s="4"/>
      <c r="H10" s="4"/>
    </row>
    <row r="11" spans="1:8" ht="12.75">
      <c r="A11" s="122">
        <f t="shared" si="0"/>
        <v>4</v>
      </c>
      <c r="B11" s="18" t="s">
        <v>656</v>
      </c>
      <c r="C11" s="1"/>
      <c r="D11" s="178">
        <f>('PPW PPE'!M50/Inputs!G7)</f>
        <v>1017244.736842105</v>
      </c>
      <c r="E11" s="4"/>
      <c r="F11" s="4"/>
      <c r="G11" s="4"/>
      <c r="H11" s="4"/>
    </row>
    <row r="12" spans="1:8" ht="12.75">
      <c r="A12" s="122">
        <f t="shared" si="0"/>
        <v>5</v>
      </c>
      <c r="B12" s="18" t="s">
        <v>657</v>
      </c>
      <c r="C12" s="1"/>
      <c r="D12" s="178">
        <f>('PPW PPE'!M51)</f>
        <v>-1309395.1800000002</v>
      </c>
      <c r="E12" s="4"/>
      <c r="F12" s="4"/>
      <c r="G12" s="4"/>
      <c r="H12" s="4"/>
    </row>
    <row r="13" spans="1:8" ht="12.75">
      <c r="A13" s="122">
        <f t="shared" si="0"/>
        <v>6</v>
      </c>
      <c r="B13" s="18" t="s">
        <v>568</v>
      </c>
      <c r="C13" s="1"/>
      <c r="D13" s="178">
        <f>'Capital Spares'!E32</f>
        <v>470722.2105263158</v>
      </c>
      <c r="E13" s="4"/>
      <c r="F13" s="4"/>
      <c r="G13" s="4"/>
      <c r="H13" s="4"/>
    </row>
    <row r="14" spans="1:8" ht="12.75">
      <c r="A14" s="122">
        <f t="shared" si="0"/>
        <v>7</v>
      </c>
      <c r="B14" s="18" t="s">
        <v>571</v>
      </c>
      <c r="C14" s="1"/>
      <c r="D14" s="741">
        <f>Inputs!G29</f>
        <v>6062997.91</v>
      </c>
      <c r="E14" s="4"/>
      <c r="F14" s="4"/>
      <c r="G14" s="4"/>
      <c r="H14" s="4"/>
    </row>
    <row r="15" spans="1:8" ht="12.75">
      <c r="A15" s="122">
        <f t="shared" si="0"/>
        <v>8</v>
      </c>
      <c r="B15" s="272" t="s">
        <v>785</v>
      </c>
      <c r="C15" s="1"/>
      <c r="D15" s="42">
        <f>SUM(D8:D14)</f>
        <v>569071512.3510528</v>
      </c>
      <c r="E15" s="4"/>
      <c r="F15" s="4"/>
      <c r="G15" s="4"/>
      <c r="H15" s="4"/>
    </row>
    <row r="16" spans="1:8" ht="12.75">
      <c r="A16" s="122">
        <f t="shared" si="0"/>
        <v>9</v>
      </c>
      <c r="B16" s="18" t="s">
        <v>12</v>
      </c>
      <c r="C16" s="10"/>
      <c r="D16" s="178">
        <f>-'Trust Fund'!J31</f>
        <v>-57400445</v>
      </c>
      <c r="E16" s="4"/>
      <c r="F16" s="4"/>
      <c r="G16" s="4"/>
      <c r="H16" s="4"/>
    </row>
    <row r="17" spans="1:8" ht="12.75">
      <c r="A17" s="122">
        <f t="shared" si="0"/>
        <v>10</v>
      </c>
      <c r="B17" s="550" t="s">
        <v>13</v>
      </c>
      <c r="C17" s="1"/>
      <c r="D17" s="50">
        <f>-D96</f>
        <v>-107196462.6435112</v>
      </c>
      <c r="E17" s="4"/>
      <c r="F17" s="4"/>
      <c r="G17" s="4"/>
      <c r="H17" s="4"/>
    </row>
    <row r="18" spans="1:8" ht="12.75">
      <c r="A18" s="122">
        <f t="shared" si="0"/>
        <v>11</v>
      </c>
      <c r="B18" s="550" t="s">
        <v>14</v>
      </c>
      <c r="C18" s="1"/>
      <c r="D18" s="44">
        <f>SUM(D15:D17)</f>
        <v>404474604.7075416</v>
      </c>
      <c r="E18" s="4"/>
      <c r="F18" s="12"/>
      <c r="G18" s="4"/>
      <c r="H18" s="4"/>
    </row>
    <row r="19" spans="1:8" ht="12.75">
      <c r="A19" s="122">
        <f t="shared" si="0"/>
        <v>12</v>
      </c>
      <c r="B19" s="550" t="s">
        <v>15</v>
      </c>
      <c r="C19" s="1"/>
      <c r="D19" s="14">
        <v>0.475</v>
      </c>
      <c r="E19" s="4"/>
      <c r="F19" s="4"/>
      <c r="G19" s="4"/>
      <c r="H19" s="4"/>
    </row>
    <row r="20" spans="1:8" ht="12.75">
      <c r="A20" s="122">
        <f t="shared" si="0"/>
        <v>13</v>
      </c>
      <c r="B20" s="15" t="s">
        <v>16</v>
      </c>
      <c r="C20" s="16"/>
      <c r="D20" s="857">
        <f>D18*D19</f>
        <v>192125437.23608226</v>
      </c>
      <c r="E20" s="12"/>
      <c r="F20" s="12"/>
      <c r="G20" s="4"/>
      <c r="H20" s="4"/>
    </row>
    <row r="21" spans="1:8" ht="12.75">
      <c r="A21" s="122">
        <f t="shared" si="0"/>
        <v>14</v>
      </c>
      <c r="B21" s="17" t="s">
        <v>752</v>
      </c>
      <c r="C21" s="18"/>
      <c r="D21" s="610">
        <f>('Inventory Loss'!J55+'Inventory Loss'!O11)</f>
        <v>7283484.372612827</v>
      </c>
      <c r="E21" s="12"/>
      <c r="F21" s="12"/>
      <c r="G21" s="4"/>
      <c r="H21" s="4"/>
    </row>
    <row r="22" spans="1:8" ht="12.75">
      <c r="A22" s="122">
        <f t="shared" si="0"/>
        <v>15</v>
      </c>
      <c r="B22" s="17" t="s">
        <v>751</v>
      </c>
      <c r="C22" s="550"/>
      <c r="D22" s="610">
        <f>Inputs!G27</f>
        <v>72000</v>
      </c>
      <c r="E22" s="12"/>
      <c r="F22" s="858"/>
      <c r="G22" s="4"/>
      <c r="H22" s="4"/>
    </row>
    <row r="23" spans="1:8" ht="12.75">
      <c r="A23" s="122">
        <f t="shared" si="0"/>
        <v>16</v>
      </c>
      <c r="B23" s="17" t="s">
        <v>17</v>
      </c>
      <c r="C23" s="18"/>
      <c r="D23" s="610">
        <f>-D17</f>
        <v>107196462.6435112</v>
      </c>
      <c r="E23" s="12"/>
      <c r="F23" s="12"/>
      <c r="G23" s="4"/>
      <c r="H23" s="4"/>
    </row>
    <row r="24" spans="1:8" ht="12.75">
      <c r="A24" s="122">
        <f t="shared" si="0"/>
        <v>17</v>
      </c>
      <c r="B24" s="19" t="s">
        <v>18</v>
      </c>
      <c r="C24" s="20"/>
      <c r="D24" s="51">
        <f>-D35</f>
        <v>25305971</v>
      </c>
      <c r="E24" s="12"/>
      <c r="F24" s="12"/>
      <c r="G24" s="4"/>
      <c r="H24" s="4"/>
    </row>
    <row r="25" spans="1:8" ht="12.75">
      <c r="A25" s="122">
        <f t="shared" si="0"/>
        <v>18</v>
      </c>
      <c r="B25" s="22" t="s">
        <v>19</v>
      </c>
      <c r="C25" s="23"/>
      <c r="D25" s="51">
        <f>SUM(D20:D24)</f>
        <v>331983355.2522063</v>
      </c>
      <c r="E25" s="10"/>
      <c r="F25" s="12"/>
      <c r="G25" s="4"/>
      <c r="H25" s="4"/>
    </row>
    <row r="26" spans="1:8" ht="12.75">
      <c r="A26" s="122">
        <f t="shared" si="0"/>
        <v>19</v>
      </c>
      <c r="B26" s="20" t="s">
        <v>20</v>
      </c>
      <c r="C26" s="24"/>
      <c r="D26" s="47">
        <f>-D24</f>
        <v>-25305971</v>
      </c>
      <c r="E26" s="10"/>
      <c r="F26" s="12"/>
      <c r="G26" s="4"/>
      <c r="H26" s="4"/>
    </row>
    <row r="27" spans="1:8" ht="12.75">
      <c r="A27" s="122">
        <f t="shared" si="0"/>
        <v>20</v>
      </c>
      <c r="B27" s="18" t="s">
        <v>675</v>
      </c>
      <c r="C27" s="9"/>
      <c r="D27" s="52">
        <f>D25+D26</f>
        <v>306677384.2522063</v>
      </c>
      <c r="E27" s="52">
        <f>+D27</f>
        <v>306677384.2522063</v>
      </c>
      <c r="F27" s="12"/>
      <c r="G27" s="4"/>
      <c r="H27" s="13"/>
    </row>
    <row r="28" spans="1:8" ht="12.75">
      <c r="A28" s="122">
        <f t="shared" si="0"/>
        <v>21</v>
      </c>
      <c r="B28" s="18" t="s">
        <v>21</v>
      </c>
      <c r="C28" s="9"/>
      <c r="D28" s="916">
        <f>(-'Transaction Cost'!N27)</f>
        <v>-4225147.03</v>
      </c>
      <c r="E28" s="741">
        <f>D28</f>
        <v>-4225147.03</v>
      </c>
      <c r="F28" s="12"/>
      <c r="G28" s="12"/>
      <c r="H28" s="13"/>
    </row>
    <row r="29" spans="1:8" ht="12.75">
      <c r="A29" s="122">
        <f t="shared" si="0"/>
        <v>22</v>
      </c>
      <c r="B29" s="18" t="s">
        <v>676</v>
      </c>
      <c r="C29" s="9"/>
      <c r="D29" s="42">
        <f>SUM(D27:D28)</f>
        <v>302452237.22220635</v>
      </c>
      <c r="E29" s="42">
        <f>SUM(E27:E28)</f>
        <v>302452237.22220635</v>
      </c>
      <c r="F29" s="12"/>
      <c r="G29" s="12"/>
      <c r="H29" s="4"/>
    </row>
    <row r="30" spans="1:10" ht="12.75">
      <c r="A30" s="122">
        <f t="shared" si="0"/>
        <v>23</v>
      </c>
      <c r="B30" s="35" t="s">
        <v>22</v>
      </c>
      <c r="C30" s="12"/>
      <c r="D30" s="12"/>
      <c r="E30" s="12"/>
      <c r="F30" s="10"/>
      <c r="G30" s="25"/>
      <c r="H30" s="4"/>
      <c r="J30" s="119"/>
    </row>
    <row r="31" spans="1:10" ht="12.75">
      <c r="A31" s="122">
        <f t="shared" si="0"/>
        <v>24</v>
      </c>
      <c r="B31" s="20" t="s">
        <v>575</v>
      </c>
      <c r="C31" s="12"/>
      <c r="D31" s="178">
        <f>'PPW PPE'!N10</f>
        <v>63578232.93</v>
      </c>
      <c r="E31" s="178">
        <f>Tax!E12</f>
        <v>25696700</v>
      </c>
      <c r="F31" s="42">
        <f aca="true" t="shared" si="1" ref="F31:F36">+D31-E31</f>
        <v>37881532.93</v>
      </c>
      <c r="G31" s="42">
        <f>F31*$F$51-H31</f>
        <v>11540884.746935</v>
      </c>
      <c r="H31" s="178">
        <f>Tax!J12</f>
        <v>2835157</v>
      </c>
      <c r="J31" s="53"/>
    </row>
    <row r="32" spans="1:10" ht="12.75">
      <c r="A32" s="122">
        <f t="shared" si="0"/>
        <v>25</v>
      </c>
      <c r="B32" s="20" t="s">
        <v>23</v>
      </c>
      <c r="C32" s="24"/>
      <c r="D32" s="178">
        <f>'PPW PPE'!N15</f>
        <v>647319.44</v>
      </c>
      <c r="E32" s="178">
        <f>Tax!E15</f>
        <v>10600</v>
      </c>
      <c r="F32" s="42">
        <f t="shared" si="1"/>
        <v>636719.44</v>
      </c>
      <c r="G32" s="42">
        <f>F32*$F$51-H32</f>
        <v>199014.02748</v>
      </c>
      <c r="H32" s="178">
        <f>Tax!J15</f>
        <v>42621</v>
      </c>
      <c r="J32" s="53"/>
    </row>
    <row r="33" spans="1:10" ht="12.75">
      <c r="A33" s="122">
        <f t="shared" si="0"/>
        <v>26</v>
      </c>
      <c r="B33" s="20" t="s">
        <v>24</v>
      </c>
      <c r="C33" s="24"/>
      <c r="D33" s="42">
        <f>+D98</f>
        <v>37464288.34</v>
      </c>
      <c r="E33" s="178">
        <f>Tax!E17</f>
        <v>14846600</v>
      </c>
      <c r="F33" s="42">
        <f t="shared" si="1"/>
        <v>22617688.340000004</v>
      </c>
      <c r="G33" s="42">
        <f>G98</f>
        <v>6522755.725030001</v>
      </c>
      <c r="H33" s="178">
        <f>Tax!J17</f>
        <v>2060657</v>
      </c>
      <c r="J33" s="53"/>
    </row>
    <row r="34" spans="1:10" ht="12.75">
      <c r="A34" s="122">
        <f t="shared" si="0"/>
        <v>27</v>
      </c>
      <c r="B34" s="20" t="s">
        <v>25</v>
      </c>
      <c r="C34" s="12"/>
      <c r="D34" s="42">
        <f>D99</f>
        <v>34876882.550000004</v>
      </c>
      <c r="E34" s="178">
        <f>Tax!E18</f>
        <v>18202200</v>
      </c>
      <c r="F34" s="42">
        <f t="shared" si="1"/>
        <v>16674682.550000004</v>
      </c>
      <c r="G34" s="42">
        <f>G99</f>
        <v>6274102.027725002</v>
      </c>
      <c r="H34" s="178">
        <f>Tax!J18</f>
        <v>53940</v>
      </c>
      <c r="J34" s="53"/>
    </row>
    <row r="35" spans="1:10" ht="12.75">
      <c r="A35" s="122">
        <f t="shared" si="0"/>
        <v>28</v>
      </c>
      <c r="B35" s="20" t="s">
        <v>26</v>
      </c>
      <c r="C35" s="12"/>
      <c r="D35" s="178">
        <f>-'Trust Fund'!J7</f>
        <v>-25305971</v>
      </c>
      <c r="E35" s="178">
        <f>Tax!E20</f>
        <v>-14083814</v>
      </c>
      <c r="F35" s="42">
        <f t="shared" si="1"/>
        <v>-11222157</v>
      </c>
      <c r="G35" s="42">
        <f>F35*$F$51-H35</f>
        <v>-4742221.5815</v>
      </c>
      <c r="H35" s="178">
        <f>Tax!J20</f>
        <v>483413</v>
      </c>
      <c r="J35" s="53"/>
    </row>
    <row r="36" spans="1:10" ht="12.75">
      <c r="A36" s="122">
        <f t="shared" si="0"/>
        <v>29</v>
      </c>
      <c r="B36" s="20" t="s">
        <v>27</v>
      </c>
      <c r="C36" s="24"/>
      <c r="D36" s="178">
        <f>CMCDefProj99!G29</f>
        <v>11915987.090307973</v>
      </c>
      <c r="E36" s="178">
        <f>Tax!E22</f>
        <v>20226312</v>
      </c>
      <c r="F36" s="42">
        <f t="shared" si="1"/>
        <v>-8310324.909692027</v>
      </c>
      <c r="G36" s="42">
        <f>G100</f>
        <v>-3153768.303228124</v>
      </c>
      <c r="H36" s="10">
        <f>H100</f>
        <v>0</v>
      </c>
      <c r="J36" s="53"/>
    </row>
    <row r="37" spans="1:10" ht="12.75">
      <c r="A37" s="122">
        <f t="shared" si="0"/>
        <v>30</v>
      </c>
      <c r="B37" s="18" t="s">
        <v>576</v>
      </c>
      <c r="C37" s="24"/>
      <c r="D37" s="178">
        <f>'PPW PPE'!P16</f>
        <v>884670.1699999999</v>
      </c>
      <c r="E37" s="178">
        <f>D37</f>
        <v>884670.1699999999</v>
      </c>
      <c r="F37" s="42">
        <f>+D37-E37</f>
        <v>0</v>
      </c>
      <c r="G37" s="42">
        <f>F37*$F$51-H37</f>
        <v>0</v>
      </c>
      <c r="H37" s="10">
        <v>0</v>
      </c>
      <c r="J37" s="53"/>
    </row>
    <row r="38" spans="1:10" ht="12.75">
      <c r="A38" s="122">
        <f t="shared" si="0"/>
        <v>31</v>
      </c>
      <c r="B38" s="18" t="s">
        <v>577</v>
      </c>
      <c r="C38" s="24"/>
      <c r="D38" s="178">
        <f>'PPW PPE'!P39</f>
        <v>0</v>
      </c>
      <c r="E38" s="178">
        <f>D38*0</f>
        <v>0</v>
      </c>
      <c r="F38" s="42">
        <f>+D38-E38</f>
        <v>0</v>
      </c>
      <c r="G38" s="42">
        <f>F38*$F$51-H38</f>
        <v>0</v>
      </c>
      <c r="H38" s="10">
        <v>0</v>
      </c>
      <c r="J38" s="53"/>
    </row>
    <row r="39" spans="1:10" ht="12.75">
      <c r="A39" s="122">
        <f t="shared" si="0"/>
        <v>32</v>
      </c>
      <c r="B39" s="18" t="s">
        <v>738</v>
      </c>
      <c r="C39" s="24"/>
      <c r="D39" s="178">
        <f>D14</f>
        <v>6062997.91</v>
      </c>
      <c r="E39" s="178">
        <f>Tax!E23</f>
        <v>6062997.91</v>
      </c>
      <c r="F39" s="42">
        <f>+D39-E39</f>
        <v>0</v>
      </c>
      <c r="G39" s="42">
        <f>F39*$F$51-H39</f>
        <v>0</v>
      </c>
      <c r="H39" s="10">
        <v>0</v>
      </c>
      <c r="J39" s="53"/>
    </row>
    <row r="40" spans="1:10" ht="12.75">
      <c r="A40" s="122">
        <f t="shared" si="0"/>
        <v>33</v>
      </c>
      <c r="B40" s="18" t="s">
        <v>573</v>
      </c>
      <c r="C40" s="24"/>
      <c r="D40" s="178">
        <f>Inputs!G28</f>
        <v>8757846.09</v>
      </c>
      <c r="E40" s="178">
        <f>Tax!E24</f>
        <v>8432850.09</v>
      </c>
      <c r="F40" s="42">
        <f>+D40-E40</f>
        <v>324996</v>
      </c>
      <c r="G40" s="42">
        <f>F40*$F$51-H40</f>
        <v>123335.982</v>
      </c>
      <c r="H40" s="10">
        <v>0</v>
      </c>
      <c r="J40" s="53"/>
    </row>
    <row r="41" spans="1:10" ht="12.75">
      <c r="A41" s="122">
        <f t="shared" si="0"/>
        <v>34</v>
      </c>
      <c r="B41" s="18" t="s">
        <v>673</v>
      </c>
      <c r="C41" s="24"/>
      <c r="D41" s="178">
        <f>'PPW PPE'!G49</f>
        <v>1244781.726</v>
      </c>
      <c r="E41" s="178">
        <f>D41</f>
        <v>1244781.726</v>
      </c>
      <c r="F41" s="42">
        <v>0</v>
      </c>
      <c r="G41" s="42">
        <v>0</v>
      </c>
      <c r="H41" s="10">
        <v>0</v>
      </c>
      <c r="J41" s="53"/>
    </row>
    <row r="42" spans="1:10" ht="12.75">
      <c r="A42" s="122">
        <f t="shared" si="0"/>
        <v>35</v>
      </c>
      <c r="B42" s="18" t="s">
        <v>874</v>
      </c>
      <c r="C42" s="24"/>
      <c r="D42" s="178">
        <f>'Inventory Loss'!J55+D22</f>
        <v>8464655.720012553</v>
      </c>
      <c r="E42" s="178">
        <f>Tax!E25+D22</f>
        <v>8464655.720012553</v>
      </c>
      <c r="F42" s="42">
        <v>0</v>
      </c>
      <c r="G42" s="42">
        <v>0</v>
      </c>
      <c r="H42" s="10">
        <v>0</v>
      </c>
      <c r="J42" s="53"/>
    </row>
    <row r="43" spans="1:10" ht="12.75">
      <c r="A43" s="122">
        <f t="shared" si="0"/>
        <v>36</v>
      </c>
      <c r="B43" s="18" t="s">
        <v>873</v>
      </c>
      <c r="C43" s="24"/>
      <c r="D43" s="178">
        <f>+D13*D19</f>
        <v>223593.05</v>
      </c>
      <c r="E43" s="178">
        <f>D43</f>
        <v>223593.05</v>
      </c>
      <c r="F43" s="42">
        <v>0</v>
      </c>
      <c r="G43" s="42">
        <v>0</v>
      </c>
      <c r="H43" s="10">
        <v>0</v>
      </c>
      <c r="J43" s="53"/>
    </row>
    <row r="44" spans="1:10" ht="12.75">
      <c r="A44" s="122">
        <f t="shared" si="0"/>
        <v>37</v>
      </c>
      <c r="B44" s="18" t="s">
        <v>875</v>
      </c>
      <c r="C44" s="24"/>
      <c r="D44" s="178">
        <f>Inputs!G32</f>
        <v>5500000</v>
      </c>
      <c r="E44" s="178">
        <f>E102</f>
        <v>0</v>
      </c>
      <c r="F44" s="178">
        <f>F102</f>
        <v>5500000</v>
      </c>
      <c r="G44" s="178">
        <f>G102</f>
        <v>2087250</v>
      </c>
      <c r="H44" s="178">
        <f>H102</f>
        <v>0</v>
      </c>
      <c r="J44" s="53"/>
    </row>
    <row r="45" spans="1:10" ht="12.75">
      <c r="A45" s="122">
        <f t="shared" si="0"/>
        <v>38</v>
      </c>
      <c r="B45" s="18" t="s">
        <v>876</v>
      </c>
      <c r="C45" s="24"/>
      <c r="D45" s="178">
        <f>Inputs!G33*D19</f>
        <v>1092500</v>
      </c>
      <c r="E45" s="178">
        <f>Tax!E28</f>
        <v>0</v>
      </c>
      <c r="F45" s="178">
        <f>Tax!H28</f>
        <v>1092500</v>
      </c>
      <c r="G45" s="178">
        <f>Tax!I28</f>
        <v>414603.75</v>
      </c>
      <c r="H45" s="178">
        <f>Tax!J28</f>
        <v>0</v>
      </c>
      <c r="J45" s="53"/>
    </row>
    <row r="46" spans="1:10" ht="12.75">
      <c r="A46" s="122">
        <f t="shared" si="0"/>
        <v>39</v>
      </c>
      <c r="B46" s="18" t="s">
        <v>786</v>
      </c>
      <c r="C46" s="24"/>
      <c r="D46" s="178">
        <f>Inputs!G36</f>
        <v>2000000</v>
      </c>
      <c r="E46" s="178">
        <f>Tax!E27</f>
        <v>0</v>
      </c>
      <c r="F46" s="178">
        <f>Tax!H27</f>
        <v>2000000</v>
      </c>
      <c r="G46" s="178">
        <f>Tax!I27</f>
        <v>759000</v>
      </c>
      <c r="H46" s="178">
        <f>Tax!J27</f>
        <v>0</v>
      </c>
      <c r="J46" s="53"/>
    </row>
    <row r="47" spans="1:10" ht="12.75">
      <c r="A47" s="122">
        <f t="shared" si="0"/>
        <v>40</v>
      </c>
      <c r="B47" s="18" t="s">
        <v>787</v>
      </c>
      <c r="C47" s="24"/>
      <c r="D47" s="178">
        <f>Inputs!G35</f>
        <v>3000000</v>
      </c>
      <c r="E47" s="178">
        <f>Tax!E26</f>
        <v>0</v>
      </c>
      <c r="F47" s="178">
        <f>Tax!H26</f>
        <v>3000000</v>
      </c>
      <c r="G47" s="178">
        <f>Tax!I26</f>
        <v>1138500</v>
      </c>
      <c r="H47" s="178">
        <f>Tax!J26</f>
        <v>0</v>
      </c>
      <c r="J47" s="53"/>
    </row>
    <row r="48" spans="1:10" ht="12.75">
      <c r="A48" s="122">
        <f t="shared" si="0"/>
        <v>41</v>
      </c>
      <c r="B48" s="553" t="s">
        <v>28</v>
      </c>
      <c r="C48" s="24"/>
      <c r="D48" s="43">
        <f>SUM(D31:D47)</f>
        <v>160407784.01632056</v>
      </c>
      <c r="E48" s="43">
        <f>SUM(E31:E47)</f>
        <v>90212146.66601254</v>
      </c>
      <c r="F48" s="43">
        <f>SUM(F31:F47)</f>
        <v>70195637.35030797</v>
      </c>
      <c r="G48" s="43">
        <f>SUM(G31:G47)</f>
        <v>21163456.374441877</v>
      </c>
      <c r="H48" s="43">
        <f>SUM(H31:H47)</f>
        <v>5475788</v>
      </c>
      <c r="J48" s="53"/>
    </row>
    <row r="49" spans="1:8" ht="12.75">
      <c r="A49" s="122">
        <f t="shared" si="0"/>
        <v>42</v>
      </c>
      <c r="B49" s="20"/>
      <c r="C49" s="12"/>
      <c r="D49" s="12"/>
      <c r="E49" s="12"/>
      <c r="F49" s="12"/>
      <c r="G49" s="12"/>
      <c r="H49" s="12"/>
    </row>
    <row r="50" spans="1:8" ht="12.75">
      <c r="A50" s="122">
        <f t="shared" si="0"/>
        <v>43</v>
      </c>
      <c r="B50" s="623" t="s">
        <v>29</v>
      </c>
      <c r="C50" s="612"/>
      <c r="D50" s="617">
        <f>+D29-D48</f>
        <v>142044453.2058858</v>
      </c>
      <c r="E50" s="42">
        <f>+E29-E48</f>
        <v>212240090.55619383</v>
      </c>
      <c r="F50" s="42">
        <f>+F27-F48</f>
        <v>-70195637.35030797</v>
      </c>
      <c r="G50" s="42"/>
      <c r="H50" s="44"/>
    </row>
    <row r="51" spans="1:8" ht="12.75">
      <c r="A51" s="122">
        <f t="shared" si="0"/>
        <v>44</v>
      </c>
      <c r="B51" s="19" t="s">
        <v>30</v>
      </c>
      <c r="C51" s="20"/>
      <c r="D51" s="613">
        <v>0.3795</v>
      </c>
      <c r="E51" s="45">
        <f>D51</f>
        <v>0.3795</v>
      </c>
      <c r="F51" s="45">
        <f>E51</f>
        <v>0.3795</v>
      </c>
      <c r="G51" s="45"/>
      <c r="H51" s="46"/>
    </row>
    <row r="52" spans="1:8" ht="12.75">
      <c r="A52" s="122">
        <f t="shared" si="0"/>
        <v>45</v>
      </c>
      <c r="B52" s="19" t="s">
        <v>7</v>
      </c>
      <c r="C52" s="30"/>
      <c r="D52" s="610">
        <f>+D50*D51</f>
        <v>53905869.99163366</v>
      </c>
      <c r="E52" s="42">
        <f>+E50*E51</f>
        <v>80545114.36607556</v>
      </c>
      <c r="F52" s="42">
        <f>+F50*F51</f>
        <v>-26639244.374441877</v>
      </c>
      <c r="G52" s="42">
        <f>+G48</f>
        <v>21163456.374441877</v>
      </c>
      <c r="H52" s="44">
        <f>+H48</f>
        <v>5475788</v>
      </c>
    </row>
    <row r="53" spans="1:8" ht="12.75">
      <c r="A53" s="122">
        <f t="shared" si="0"/>
        <v>46</v>
      </c>
      <c r="B53" s="19" t="s">
        <v>31</v>
      </c>
      <c r="C53" s="20"/>
      <c r="D53" s="614">
        <f>+H48</f>
        <v>5475788</v>
      </c>
      <c r="E53" s="42"/>
      <c r="F53" s="42"/>
      <c r="G53" s="42"/>
      <c r="H53" s="44"/>
    </row>
    <row r="54" spans="1:8" ht="12.75">
      <c r="A54" s="122">
        <f t="shared" si="0"/>
        <v>47</v>
      </c>
      <c r="B54" s="624" t="s">
        <v>32</v>
      </c>
      <c r="C54" s="20"/>
      <c r="D54" s="618">
        <f>SUM(D52:D53)</f>
        <v>59381657.99163366</v>
      </c>
      <c r="E54" s="42"/>
      <c r="F54" s="42"/>
      <c r="G54" s="42"/>
      <c r="H54" s="44"/>
    </row>
    <row r="55" spans="1:8" ht="12.75">
      <c r="A55" s="122">
        <f t="shared" si="0"/>
        <v>48</v>
      </c>
      <c r="B55" s="19" t="s">
        <v>33</v>
      </c>
      <c r="C55" s="20"/>
      <c r="D55" s="28"/>
      <c r="E55" s="611">
        <f>+E52</f>
        <v>80545114.36607556</v>
      </c>
      <c r="F55" s="12"/>
      <c r="G55" s="12"/>
      <c r="H55" s="4"/>
    </row>
    <row r="56" spans="1:8" ht="12.75">
      <c r="A56" s="122">
        <f t="shared" si="0"/>
        <v>49</v>
      </c>
      <c r="B56" s="19"/>
      <c r="C56" s="35" t="s">
        <v>653</v>
      </c>
      <c r="D56" s="619">
        <f>D50-D54</f>
        <v>82662795.21425214</v>
      </c>
      <c r="E56" s="610"/>
      <c r="F56" s="12"/>
      <c r="G56" s="12"/>
      <c r="H56" s="4"/>
    </row>
    <row r="57" spans="1:8" ht="12.75">
      <c r="A57" s="122">
        <f t="shared" si="0"/>
        <v>50</v>
      </c>
      <c r="B57" s="19"/>
      <c r="C57" s="20" t="s">
        <v>654</v>
      </c>
      <c r="D57" s="28">
        <f>D87</f>
        <v>82662795.21425211</v>
      </c>
      <c r="E57" s="610"/>
      <c r="F57" s="12"/>
      <c r="G57" s="12"/>
      <c r="H57" s="4"/>
    </row>
    <row r="58" spans="1:8" ht="12.75">
      <c r="A58" s="122">
        <f t="shared" si="0"/>
        <v>51</v>
      </c>
      <c r="B58" s="615"/>
      <c r="C58" s="616" t="s">
        <v>655</v>
      </c>
      <c r="D58" s="21">
        <f>D56-D57</f>
        <v>0</v>
      </c>
      <c r="E58" s="610"/>
      <c r="F58" s="12"/>
      <c r="G58" s="12"/>
      <c r="H58" s="4"/>
    </row>
    <row r="59" spans="1:8" ht="12.75">
      <c r="A59" s="122">
        <f t="shared" si="0"/>
        <v>52</v>
      </c>
      <c r="B59" s="24"/>
      <c r="C59" s="12"/>
      <c r="D59" s="12"/>
      <c r="E59" s="28"/>
      <c r="F59" s="12"/>
      <c r="G59" s="12"/>
      <c r="H59" s="4"/>
    </row>
    <row r="60" spans="1:10" ht="12.75">
      <c r="A60" s="122">
        <f t="shared" si="0"/>
        <v>53</v>
      </c>
      <c r="B60" s="29" t="s">
        <v>34</v>
      </c>
      <c r="C60" s="29"/>
      <c r="D60" s="42">
        <f>+D29</f>
        <v>302452237.22220635</v>
      </c>
      <c r="E60" s="28"/>
      <c r="F60" s="12"/>
      <c r="G60" s="12"/>
      <c r="H60" s="4"/>
      <c r="J60" s="119"/>
    </row>
    <row r="61" spans="1:10" ht="12.75">
      <c r="A61" s="122">
        <f t="shared" si="0"/>
        <v>54</v>
      </c>
      <c r="B61" s="29" t="s">
        <v>7</v>
      </c>
      <c r="C61" s="29"/>
      <c r="D61" s="48">
        <f>-(D29-E48)*D51</f>
        <v>-80545114.36607556</v>
      </c>
      <c r="E61" s="21"/>
      <c r="F61" s="12"/>
      <c r="G61" s="12"/>
      <c r="H61" s="4"/>
      <c r="J61" s="119"/>
    </row>
    <row r="62" spans="1:10" ht="12.75">
      <c r="A62" s="122">
        <f t="shared" si="0"/>
        <v>55</v>
      </c>
      <c r="B62" s="29" t="s">
        <v>35</v>
      </c>
      <c r="C62" s="29"/>
      <c r="D62" s="49"/>
      <c r="E62" s="30"/>
      <c r="F62" s="12"/>
      <c r="G62" s="12"/>
      <c r="H62" s="4"/>
      <c r="J62" s="119"/>
    </row>
    <row r="63" spans="1:10" ht="12.75">
      <c r="A63" s="122">
        <f t="shared" si="0"/>
        <v>56</v>
      </c>
      <c r="B63" s="31" t="s">
        <v>36</v>
      </c>
      <c r="C63" s="1"/>
      <c r="D63" s="49">
        <f>-D31</f>
        <v>-63578232.93</v>
      </c>
      <c r="E63" s="30"/>
      <c r="F63" s="12"/>
      <c r="G63" s="12"/>
      <c r="H63" s="4"/>
      <c r="J63" s="119"/>
    </row>
    <row r="64" spans="1:10" ht="12.75">
      <c r="A64" s="122">
        <f t="shared" si="0"/>
        <v>57</v>
      </c>
      <c r="B64" s="31" t="s">
        <v>37</v>
      </c>
      <c r="C64" s="1"/>
      <c r="D64" s="49">
        <f>-(D33+D34)</f>
        <v>-72341170.89000002</v>
      </c>
      <c r="E64" s="30"/>
      <c r="F64" s="12"/>
      <c r="G64" s="12"/>
      <c r="H64" s="4"/>
      <c r="J64" s="119"/>
    </row>
    <row r="65" spans="1:10" ht="12.75">
      <c r="A65" s="122">
        <f t="shared" si="0"/>
        <v>58</v>
      </c>
      <c r="B65" s="31" t="s">
        <v>38</v>
      </c>
      <c r="C65" s="1"/>
      <c r="D65" s="49">
        <f>-D32</f>
        <v>-647319.44</v>
      </c>
      <c r="E65" s="24"/>
      <c r="F65" s="12"/>
      <c r="G65" s="12"/>
      <c r="H65" s="4"/>
      <c r="J65" s="119"/>
    </row>
    <row r="66" spans="1:10" ht="12.75">
      <c r="A66" s="122">
        <f t="shared" si="0"/>
        <v>59</v>
      </c>
      <c r="B66" s="18" t="s">
        <v>576</v>
      </c>
      <c r="C66" s="1"/>
      <c r="D66" s="49">
        <f>-D37</f>
        <v>-884670.1699999999</v>
      </c>
      <c r="E66" s="24"/>
      <c r="F66" s="12"/>
      <c r="G66" s="12"/>
      <c r="H66" s="4"/>
      <c r="J66" s="119"/>
    </row>
    <row r="67" spans="1:10" ht="12.75">
      <c r="A67" s="122">
        <f t="shared" si="0"/>
        <v>60</v>
      </c>
      <c r="B67" s="18" t="s">
        <v>577</v>
      </c>
      <c r="C67" s="1"/>
      <c r="D67" s="49">
        <f>-D38</f>
        <v>0</v>
      </c>
      <c r="E67" s="24"/>
      <c r="F67" s="12"/>
      <c r="G67" s="12"/>
      <c r="H67" s="4"/>
      <c r="J67" s="119"/>
    </row>
    <row r="68" spans="1:10" ht="12.75">
      <c r="A68" s="122">
        <f t="shared" si="0"/>
        <v>61</v>
      </c>
      <c r="B68" s="9" t="s">
        <v>574</v>
      </c>
      <c r="C68" s="1"/>
      <c r="D68" s="49">
        <f>-D39</f>
        <v>-6062997.91</v>
      </c>
      <c r="E68" s="24"/>
      <c r="F68" s="12"/>
      <c r="G68" s="12"/>
      <c r="H68" s="4"/>
      <c r="J68" s="119"/>
    </row>
    <row r="69" spans="1:10" ht="12.75">
      <c r="A69" s="122">
        <f t="shared" si="0"/>
        <v>62</v>
      </c>
      <c r="B69" s="9" t="s">
        <v>572</v>
      </c>
      <c r="C69" s="1"/>
      <c r="D69" s="49">
        <f>-D40</f>
        <v>-8757846.09</v>
      </c>
      <c r="E69" s="24"/>
      <c r="F69" s="12"/>
      <c r="G69" s="12"/>
      <c r="H69" s="4"/>
      <c r="J69" s="119"/>
    </row>
    <row r="70" spans="1:10" ht="12.75">
      <c r="A70" s="122">
        <f t="shared" si="0"/>
        <v>63</v>
      </c>
      <c r="B70" s="9" t="str">
        <f>B42</f>
        <v>Fuel stock-pile &amp; Oil Inventory </v>
      </c>
      <c r="C70" s="1"/>
      <c r="D70" s="49">
        <f>-D42</f>
        <v>-8464655.720012553</v>
      </c>
      <c r="E70" s="24"/>
      <c r="F70" s="12"/>
      <c r="G70" s="12"/>
      <c r="H70" s="4"/>
      <c r="J70" s="119"/>
    </row>
    <row r="71" spans="1:10" ht="12.75">
      <c r="A71" s="122">
        <f t="shared" si="0"/>
        <v>64</v>
      </c>
      <c r="B71" s="9" t="str">
        <f>B43</f>
        <v>Capitalized Spares</v>
      </c>
      <c r="C71" s="1"/>
      <c r="D71" s="49">
        <f>-D43</f>
        <v>-223593.05</v>
      </c>
      <c r="E71" s="24"/>
      <c r="F71" s="12"/>
      <c r="G71" s="12"/>
      <c r="H71" s="4"/>
      <c r="J71" s="119"/>
    </row>
    <row r="72" spans="1:10" ht="12.75">
      <c r="A72" s="122">
        <f t="shared" si="0"/>
        <v>65</v>
      </c>
      <c r="B72" s="18" t="s">
        <v>673</v>
      </c>
      <c r="C72" s="1"/>
      <c r="D72" s="49">
        <f>-D41</f>
        <v>-1244781.726</v>
      </c>
      <c r="E72" s="24"/>
      <c r="F72" s="12"/>
      <c r="G72" s="12"/>
      <c r="H72" s="4"/>
      <c r="J72" s="119"/>
    </row>
    <row r="73" spans="1:10" ht="12.75">
      <c r="A73" s="122">
        <f t="shared" si="0"/>
        <v>66</v>
      </c>
      <c r="B73" s="18" t="s">
        <v>519</v>
      </c>
      <c r="C73" s="1"/>
      <c r="D73" s="49">
        <f>-D44-D45</f>
        <v>-6592500</v>
      </c>
      <c r="E73" s="24"/>
      <c r="F73" s="12"/>
      <c r="G73" s="12"/>
      <c r="H73" s="4"/>
      <c r="J73" s="119"/>
    </row>
    <row r="74" spans="1:10" ht="12.75">
      <c r="A74" s="122">
        <f t="shared" si="0"/>
        <v>67</v>
      </c>
      <c r="B74" s="18" t="s">
        <v>740</v>
      </c>
      <c r="C74" s="1"/>
      <c r="D74" s="49">
        <f>-D47-D46</f>
        <v>-5000000</v>
      </c>
      <c r="E74" s="24"/>
      <c r="F74" s="12"/>
      <c r="G74" s="12"/>
      <c r="H74" s="4"/>
      <c r="J74" s="119"/>
    </row>
    <row r="75" spans="1:10" ht="12.75">
      <c r="A75" s="122">
        <f t="shared" si="0"/>
        <v>68</v>
      </c>
      <c r="B75" s="29" t="s">
        <v>39</v>
      </c>
      <c r="C75" s="29"/>
      <c r="D75" s="49"/>
      <c r="E75" s="24"/>
      <c r="F75" s="12"/>
      <c r="G75" s="12"/>
      <c r="H75" s="4"/>
      <c r="J75" s="119"/>
    </row>
    <row r="76" spans="1:10" ht="12.75">
      <c r="A76" s="122">
        <f t="shared" si="0"/>
        <v>69</v>
      </c>
      <c r="B76" s="31" t="s">
        <v>36</v>
      </c>
      <c r="C76" s="1"/>
      <c r="D76" s="49">
        <f>G31</f>
        <v>11540884.746935</v>
      </c>
      <c r="E76" s="12"/>
      <c r="F76" s="12"/>
      <c r="G76" s="12"/>
      <c r="H76" s="4"/>
      <c r="J76" s="119"/>
    </row>
    <row r="77" spans="1:10" ht="12.75">
      <c r="A77" s="122">
        <f t="shared" si="0"/>
        <v>70</v>
      </c>
      <c r="B77" s="31" t="s">
        <v>37</v>
      </c>
      <c r="C77" s="1"/>
      <c r="D77" s="49">
        <f>G33+G34+G36</f>
        <v>9643089.44952688</v>
      </c>
      <c r="E77" s="12"/>
      <c r="F77" s="12"/>
      <c r="G77" s="12"/>
      <c r="H77" s="4"/>
      <c r="J77" s="119"/>
    </row>
    <row r="78" spans="1:10" ht="12.75">
      <c r="A78" s="122">
        <f t="shared" si="0"/>
        <v>71</v>
      </c>
      <c r="B78" s="31" t="s">
        <v>726</v>
      </c>
      <c r="C78" s="1"/>
      <c r="D78" s="49">
        <f>G40</f>
        <v>123335.982</v>
      </c>
      <c r="E78" s="12"/>
      <c r="F78" s="12"/>
      <c r="G78" s="12"/>
      <c r="H78" s="4"/>
      <c r="J78" s="119"/>
    </row>
    <row r="79" spans="1:10" ht="12.75">
      <c r="A79" s="122">
        <f t="shared" si="0"/>
        <v>72</v>
      </c>
      <c r="B79" s="31" t="s">
        <v>38</v>
      </c>
      <c r="C79" s="1"/>
      <c r="D79" s="49">
        <f>G32</f>
        <v>199014.02748</v>
      </c>
      <c r="E79" s="30"/>
      <c r="F79" s="12"/>
      <c r="G79" s="12"/>
      <c r="H79" s="4"/>
      <c r="J79" s="119"/>
    </row>
    <row r="80" spans="1:10" ht="12.75">
      <c r="A80" s="122">
        <f t="shared" si="0"/>
        <v>73</v>
      </c>
      <c r="B80" s="18" t="s">
        <v>740</v>
      </c>
      <c r="C80" s="1"/>
      <c r="D80" s="49">
        <f>G47+G46</f>
        <v>1897500</v>
      </c>
      <c r="E80" s="30"/>
      <c r="F80" s="12"/>
      <c r="G80" s="12"/>
      <c r="H80" s="4"/>
      <c r="J80" s="119"/>
    </row>
    <row r="81" spans="1:10" ht="12.75">
      <c r="A81" s="122">
        <f t="shared" si="0"/>
        <v>74</v>
      </c>
      <c r="B81" s="18" t="s">
        <v>519</v>
      </c>
      <c r="C81" s="1"/>
      <c r="D81" s="49">
        <f>(G44+G45)</f>
        <v>2501853.75</v>
      </c>
      <c r="E81" s="30"/>
      <c r="F81" s="12"/>
      <c r="G81" s="12"/>
      <c r="H81" s="4"/>
      <c r="J81" s="119"/>
    </row>
    <row r="82" spans="1:10" ht="12.75">
      <c r="A82" s="122">
        <f t="shared" si="0"/>
        <v>75</v>
      </c>
      <c r="B82" s="29" t="s">
        <v>40</v>
      </c>
      <c r="C82" s="31"/>
      <c r="D82" s="49"/>
      <c r="E82" s="32"/>
      <c r="F82" s="4"/>
      <c r="G82" s="4"/>
      <c r="H82" s="4"/>
      <c r="J82" s="119"/>
    </row>
    <row r="83" spans="1:10" ht="12.75">
      <c r="A83" s="122">
        <f t="shared" si="0"/>
        <v>76</v>
      </c>
      <c r="B83" s="31" t="s">
        <v>41</v>
      </c>
      <c r="C83" s="1"/>
      <c r="D83" s="42">
        <f>G35</f>
        <v>-4742221.5815</v>
      </c>
      <c r="E83" s="32"/>
      <c r="F83" s="4"/>
      <c r="G83" s="4"/>
      <c r="H83" s="4"/>
      <c r="J83" s="119"/>
    </row>
    <row r="84" spans="1:10" ht="12.75">
      <c r="A84" s="122">
        <f>A83+1</f>
        <v>77</v>
      </c>
      <c r="B84" s="31" t="s">
        <v>42</v>
      </c>
      <c r="C84" s="1"/>
      <c r="D84" s="42">
        <f>D24</f>
        <v>25305971</v>
      </c>
      <c r="E84" s="32"/>
      <c r="F84" s="4"/>
      <c r="G84" s="4"/>
      <c r="H84" s="4"/>
      <c r="J84" s="119"/>
    </row>
    <row r="85" spans="1:10" ht="12.75">
      <c r="A85" s="122">
        <f>A84+1</f>
        <v>78</v>
      </c>
      <c r="B85" s="8" t="s">
        <v>43</v>
      </c>
      <c r="C85" s="8"/>
      <c r="D85" s="42"/>
      <c r="E85" s="32"/>
      <c r="F85" s="4"/>
      <c r="G85" s="4"/>
      <c r="H85" s="4"/>
      <c r="J85" s="119"/>
    </row>
    <row r="86" spans="1:10" ht="12.75">
      <c r="A86" s="122">
        <f>A85+1</f>
        <v>79</v>
      </c>
      <c r="B86" s="11" t="s">
        <v>44</v>
      </c>
      <c r="C86" s="1"/>
      <c r="D86" s="42">
        <f>-D36</f>
        <v>-11915987.090307973</v>
      </c>
      <c r="E86" s="32"/>
      <c r="F86" s="4"/>
      <c r="G86" s="4"/>
      <c r="H86" s="4"/>
      <c r="J86" s="119"/>
    </row>
    <row r="87" spans="1:10" ht="12.75">
      <c r="A87" s="122">
        <f>A86+1</f>
        <v>80</v>
      </c>
      <c r="B87" s="33" t="s">
        <v>872</v>
      </c>
      <c r="C87" s="34"/>
      <c r="D87" s="54">
        <f>SUM(D60:D86)</f>
        <v>82662795.21425211</v>
      </c>
      <c r="E87" s="32"/>
      <c r="F87" s="4"/>
      <c r="G87" s="4"/>
      <c r="H87" s="4"/>
      <c r="J87" s="119"/>
    </row>
    <row r="88" spans="2:8" ht="12.75">
      <c r="B88" s="122"/>
      <c r="C88" s="122"/>
      <c r="D88" s="122"/>
      <c r="E88" s="122"/>
      <c r="F88" s="1"/>
      <c r="G88" s="1"/>
      <c r="H88" s="1"/>
    </row>
    <row r="89" spans="1:8" ht="12.75">
      <c r="A89"/>
      <c r="E89" s="1"/>
      <c r="F89" s="1"/>
      <c r="G89" s="1"/>
      <c r="H89" s="1"/>
    </row>
    <row r="90" spans="2:8" ht="18">
      <c r="B90" s="38" t="s">
        <v>46</v>
      </c>
      <c r="C90" s="39"/>
      <c r="D90" s="39"/>
      <c r="E90" s="39"/>
      <c r="F90" s="39"/>
      <c r="G90" s="39"/>
      <c r="H90" s="40"/>
    </row>
    <row r="91" spans="2:8" ht="12.75">
      <c r="B91" s="1"/>
      <c r="C91" s="1"/>
      <c r="D91" s="4"/>
      <c r="E91" s="4"/>
      <c r="F91" s="5" t="s">
        <v>3</v>
      </c>
      <c r="G91" s="5" t="s">
        <v>2</v>
      </c>
      <c r="H91" s="3" t="s">
        <v>1</v>
      </c>
    </row>
    <row r="92" spans="1:8" ht="12.75">
      <c r="A92" s="122">
        <f aca="true" t="shared" si="2" ref="A92:A103">A91+1</f>
        <v>1</v>
      </c>
      <c r="B92" s="6" t="s">
        <v>5</v>
      </c>
      <c r="C92" s="6"/>
      <c r="D92" s="7" t="s">
        <v>6</v>
      </c>
      <c r="E92" s="7" t="s">
        <v>7</v>
      </c>
      <c r="F92" s="7" t="s">
        <v>8</v>
      </c>
      <c r="G92" s="7" t="s">
        <v>9</v>
      </c>
      <c r="H92" s="3" t="s">
        <v>2</v>
      </c>
    </row>
    <row r="93" spans="1:8" ht="12.75">
      <c r="A93" s="122">
        <f t="shared" si="2"/>
        <v>2</v>
      </c>
      <c r="B93" s="1"/>
      <c r="C93" s="4"/>
      <c r="D93" s="10"/>
      <c r="E93" s="4"/>
      <c r="F93" s="4"/>
      <c r="G93" s="4"/>
      <c r="H93" s="5" t="s">
        <v>4</v>
      </c>
    </row>
    <row r="94" spans="1:8" ht="12.75">
      <c r="A94" s="122">
        <f t="shared" si="2"/>
        <v>3</v>
      </c>
      <c r="B94" s="1"/>
      <c r="C94" s="10"/>
      <c r="D94" s="10"/>
      <c r="E94" s="4"/>
      <c r="F94" s="4"/>
      <c r="G94" s="4"/>
      <c r="H94" s="5"/>
    </row>
    <row r="95" spans="1:8" ht="12.75">
      <c r="A95" s="122">
        <f t="shared" si="2"/>
        <v>4</v>
      </c>
      <c r="B95" s="1"/>
      <c r="C95" s="10"/>
      <c r="D95" s="10"/>
      <c r="E95" s="4"/>
      <c r="F95" s="4"/>
      <c r="G95" s="4"/>
      <c r="H95" s="5"/>
    </row>
    <row r="96" spans="1:10" ht="12.75">
      <c r="A96" s="122">
        <f t="shared" si="2"/>
        <v>5</v>
      </c>
      <c r="B96" s="9" t="s">
        <v>47</v>
      </c>
      <c r="C96" s="10"/>
      <c r="D96" s="10">
        <v>107196462.6435112</v>
      </c>
      <c r="E96" s="10">
        <f>D96</f>
        <v>107196462.6435112</v>
      </c>
      <c r="F96" s="42">
        <f>+D96-E96</f>
        <v>0</v>
      </c>
      <c r="G96" s="4"/>
      <c r="H96" s="7" t="s">
        <v>10</v>
      </c>
      <c r="J96" s="10"/>
    </row>
    <row r="97" spans="1:8" ht="12.75">
      <c r="A97" s="122">
        <f t="shared" si="2"/>
        <v>6</v>
      </c>
      <c r="B97" s="24" t="s">
        <v>22</v>
      </c>
      <c r="C97" s="24"/>
      <c r="D97" s="12"/>
      <c r="E97" s="4"/>
      <c r="F97" s="4"/>
      <c r="G97" s="4"/>
      <c r="H97" s="4"/>
    </row>
    <row r="98" spans="1:10" ht="12.75">
      <c r="A98" s="122">
        <f t="shared" si="2"/>
        <v>7</v>
      </c>
      <c r="B98" s="24" t="s">
        <v>48</v>
      </c>
      <c r="C98" s="12"/>
      <c r="D98" s="178">
        <f>'PPW PPE'!N29</f>
        <v>37464288.34</v>
      </c>
      <c r="E98" s="178">
        <f>Tax!E17</f>
        <v>14846600</v>
      </c>
      <c r="F98" s="42">
        <f aca="true" t="shared" si="3" ref="F98:F103">+D98-E98</f>
        <v>22617688.340000004</v>
      </c>
      <c r="G98" s="44">
        <f>F98*$E$109-H98</f>
        <v>6522755.725030001</v>
      </c>
      <c r="H98" s="178">
        <f>Tax!J17</f>
        <v>2060657</v>
      </c>
      <c r="J98" s="119"/>
    </row>
    <row r="99" spans="1:10" ht="12.75">
      <c r="A99" s="122">
        <f t="shared" si="2"/>
        <v>8</v>
      </c>
      <c r="B99" s="24" t="s">
        <v>49</v>
      </c>
      <c r="C99" s="41"/>
      <c r="D99" s="178">
        <f>'PPW PPE'!N37</f>
        <v>34876882.550000004</v>
      </c>
      <c r="E99" s="178">
        <f>Tax!E18</f>
        <v>18202200</v>
      </c>
      <c r="F99" s="42">
        <f t="shared" si="3"/>
        <v>16674682.550000004</v>
      </c>
      <c r="G99" s="44">
        <f>F99*$E$109-H99</f>
        <v>6274102.027725002</v>
      </c>
      <c r="H99" s="178">
        <f>Tax!J18</f>
        <v>53940</v>
      </c>
      <c r="J99" s="119"/>
    </row>
    <row r="100" spans="1:10" ht="12.75">
      <c r="A100" s="122">
        <f t="shared" si="2"/>
        <v>9</v>
      </c>
      <c r="B100" s="24" t="s">
        <v>50</v>
      </c>
      <c r="C100" s="24"/>
      <c r="D100" s="42">
        <f>D36</f>
        <v>11915987.090307973</v>
      </c>
      <c r="E100" s="178">
        <f>Tax!E22</f>
        <v>20226312</v>
      </c>
      <c r="F100" s="42">
        <f t="shared" si="3"/>
        <v>-8310324.909692027</v>
      </c>
      <c r="G100" s="44">
        <f>F100*$E$109-H100</f>
        <v>-3153768.303228124</v>
      </c>
      <c r="H100" s="178">
        <f>-675328*0</f>
        <v>0</v>
      </c>
      <c r="J100" s="119"/>
    </row>
    <row r="101" spans="1:10" ht="12.75">
      <c r="A101" s="122">
        <f t="shared" si="2"/>
        <v>10</v>
      </c>
      <c r="B101" s="24" t="s">
        <v>77</v>
      </c>
      <c r="C101" s="20"/>
      <c r="D101" s="862">
        <f>D38</f>
        <v>0</v>
      </c>
      <c r="E101" s="49">
        <f>D101</f>
        <v>0</v>
      </c>
      <c r="F101" s="10">
        <f t="shared" si="3"/>
        <v>0</v>
      </c>
      <c r="G101" s="12">
        <v>0</v>
      </c>
      <c r="H101" s="10">
        <f>-675328*0</f>
        <v>0</v>
      </c>
      <c r="J101" s="119"/>
    </row>
    <row r="102" spans="1:10" ht="12.75">
      <c r="A102" s="122">
        <f t="shared" si="2"/>
        <v>11</v>
      </c>
      <c r="B102" s="9" t="s">
        <v>519</v>
      </c>
      <c r="C102" s="20"/>
      <c r="D102" s="862">
        <f>D44</f>
        <v>5500000</v>
      </c>
      <c r="E102" s="198">
        <f>Tax!E29</f>
        <v>0</v>
      </c>
      <c r="F102" s="42">
        <f t="shared" si="3"/>
        <v>5500000</v>
      </c>
      <c r="G102" s="44">
        <f>F102*$E$109-H102</f>
        <v>2087250</v>
      </c>
      <c r="H102" s="10">
        <f>-675328*0</f>
        <v>0</v>
      </c>
      <c r="J102" s="119"/>
    </row>
    <row r="103" spans="1:10" ht="12.75">
      <c r="A103" s="122">
        <f t="shared" si="2"/>
        <v>12</v>
      </c>
      <c r="B103" s="9" t="s">
        <v>78</v>
      </c>
      <c r="C103" s="20"/>
      <c r="D103" s="49">
        <f>-(-'Transaction Cost'!N27)*(D64+D101)/(D63+D64+D65+D37+D41)</f>
        <v>2273566.550640765</v>
      </c>
      <c r="E103" s="198">
        <f>D103</f>
        <v>2273566.550640765</v>
      </c>
      <c r="F103" s="42">
        <f t="shared" si="3"/>
        <v>0</v>
      </c>
      <c r="G103" s="12">
        <v>0</v>
      </c>
      <c r="H103" s="10">
        <f>-675328*0</f>
        <v>0</v>
      </c>
      <c r="J103" s="119"/>
    </row>
    <row r="104" spans="1:10" ht="12.75">
      <c r="A104" s="122">
        <f>A103+1</f>
        <v>13</v>
      </c>
      <c r="B104" s="9" t="s">
        <v>572</v>
      </c>
      <c r="C104" s="20"/>
      <c r="D104" s="49">
        <f>D40</f>
        <v>8757846.09</v>
      </c>
      <c r="E104" s="198">
        <f>E40</f>
        <v>8432850.09</v>
      </c>
      <c r="F104" s="42">
        <f>+D104-E104</f>
        <v>324996</v>
      </c>
      <c r="G104" s="44">
        <f>F104*$E$109-H104</f>
        <v>123335.982</v>
      </c>
      <c r="H104" s="10">
        <f>-675328*0</f>
        <v>0</v>
      </c>
      <c r="J104" s="119"/>
    </row>
    <row r="105" spans="1:10" ht="12.75">
      <c r="A105" s="122">
        <f aca="true" t="shared" si="4" ref="A105:A129">A104+1</f>
        <v>14</v>
      </c>
      <c r="B105" s="18" t="s">
        <v>740</v>
      </c>
      <c r="C105" s="20"/>
      <c r="D105" s="859">
        <f>D47</f>
        <v>3000000</v>
      </c>
      <c r="E105" s="198">
        <f>E47</f>
        <v>0</v>
      </c>
      <c r="F105" s="198">
        <f>F47</f>
        <v>3000000</v>
      </c>
      <c r="G105" s="198">
        <f>G47</f>
        <v>1138500</v>
      </c>
      <c r="H105" s="198">
        <f>H47</f>
        <v>0</v>
      </c>
      <c r="J105" s="119"/>
    </row>
    <row r="106" spans="1:10" ht="12.75">
      <c r="A106" s="122">
        <f t="shared" si="4"/>
        <v>15</v>
      </c>
      <c r="B106" s="26" t="s">
        <v>28</v>
      </c>
      <c r="C106" s="30"/>
      <c r="D106" s="43">
        <f>SUM(D98:D105)</f>
        <v>103788570.62094876</v>
      </c>
      <c r="E106" s="43">
        <f>SUM(E98:E105)</f>
        <v>63981528.640640765</v>
      </c>
      <c r="F106" s="43">
        <f>SUM(F98:F105)</f>
        <v>39807041.98030798</v>
      </c>
      <c r="G106" s="43">
        <f>SUM(G98:G105)</f>
        <v>12992175.43152688</v>
      </c>
      <c r="H106" s="43">
        <f>SUM(H98:H105)</f>
        <v>2114597</v>
      </c>
      <c r="J106" s="119"/>
    </row>
    <row r="107" spans="1:10" ht="12.75">
      <c r="A107" s="122">
        <f t="shared" si="4"/>
        <v>16</v>
      </c>
      <c r="B107" s="1"/>
      <c r="C107" s="30"/>
      <c r="D107" s="30"/>
      <c r="E107" s="30"/>
      <c r="F107" s="12"/>
      <c r="G107" s="12"/>
      <c r="H107" s="12"/>
      <c r="J107" s="119"/>
    </row>
    <row r="108" spans="1:8" ht="12.75">
      <c r="A108" s="122">
        <f t="shared" si="4"/>
        <v>17</v>
      </c>
      <c r="B108" s="24" t="s">
        <v>29</v>
      </c>
      <c r="C108" s="20"/>
      <c r="D108" s="49">
        <f>+D96-D106</f>
        <v>3407892.022562444</v>
      </c>
      <c r="E108" s="49">
        <f>+E96-E106</f>
        <v>43214934.00287044</v>
      </c>
      <c r="F108" s="44">
        <f>+F96-F106</f>
        <v>-39807041.98030798</v>
      </c>
      <c r="G108" s="13"/>
      <c r="H108" s="13"/>
    </row>
    <row r="109" spans="1:8" ht="12.75">
      <c r="A109" s="122">
        <f t="shared" si="4"/>
        <v>18</v>
      </c>
      <c r="B109" s="24" t="s">
        <v>30</v>
      </c>
      <c r="C109" s="20"/>
      <c r="D109" s="860">
        <v>0.3795</v>
      </c>
      <c r="E109" s="860">
        <f>D109</f>
        <v>0.3795</v>
      </c>
      <c r="F109" s="46">
        <f>E109</f>
        <v>0.3795</v>
      </c>
      <c r="G109" s="27"/>
      <c r="H109" s="27"/>
    </row>
    <row r="110" spans="1:8" ht="12.75">
      <c r="A110" s="122">
        <f t="shared" si="4"/>
        <v>19</v>
      </c>
      <c r="B110" s="24" t="s">
        <v>7</v>
      </c>
      <c r="C110" s="20"/>
      <c r="D110" s="49">
        <f>+D108*D109</f>
        <v>1293295.0225624477</v>
      </c>
      <c r="E110" s="49">
        <f>+E108*E109</f>
        <v>16400067.454089332</v>
      </c>
      <c r="F110" s="44">
        <f>+F108*F109</f>
        <v>-15106772.431526879</v>
      </c>
      <c r="G110" s="44">
        <f>+G106</f>
        <v>12992175.43152688</v>
      </c>
      <c r="H110" s="44">
        <f>+H106</f>
        <v>2114597</v>
      </c>
    </row>
    <row r="111" spans="1:8" ht="12.75">
      <c r="A111" s="122">
        <f t="shared" si="4"/>
        <v>20</v>
      </c>
      <c r="B111" s="24" t="s">
        <v>31</v>
      </c>
      <c r="C111" s="20"/>
      <c r="D111" s="741">
        <f>+H106</f>
        <v>2114597</v>
      </c>
      <c r="E111" s="49"/>
      <c r="F111" s="44"/>
      <c r="G111" s="13"/>
      <c r="H111" s="13"/>
    </row>
    <row r="112" spans="1:8" ht="12.75">
      <c r="A112" s="122">
        <f t="shared" si="4"/>
        <v>21</v>
      </c>
      <c r="B112" s="24" t="s">
        <v>32</v>
      </c>
      <c r="C112" s="20"/>
      <c r="D112" s="49">
        <f>SUM(D110:D111)</f>
        <v>3407892.022562448</v>
      </c>
      <c r="E112" s="49"/>
      <c r="F112" s="44"/>
      <c r="G112" s="13"/>
      <c r="H112" s="13"/>
    </row>
    <row r="113" spans="1:8" ht="12.75">
      <c r="A113" s="122">
        <f t="shared" si="4"/>
        <v>22</v>
      </c>
      <c r="B113" s="24" t="s">
        <v>33</v>
      </c>
      <c r="C113" s="20"/>
      <c r="D113" s="30"/>
      <c r="E113" s="48">
        <f>+E110</f>
        <v>16400067.454089332</v>
      </c>
      <c r="F113" s="4"/>
      <c r="G113" s="4"/>
      <c r="H113" s="4"/>
    </row>
    <row r="114" spans="1:8" ht="12.75">
      <c r="A114" s="122">
        <f t="shared" si="4"/>
        <v>23</v>
      </c>
      <c r="B114" s="24"/>
      <c r="C114" s="20"/>
      <c r="D114" s="30"/>
      <c r="E114" s="28"/>
      <c r="F114" s="4"/>
      <c r="G114" s="4"/>
      <c r="H114" s="4"/>
    </row>
    <row r="115" spans="1:8" ht="12.75">
      <c r="A115" s="122">
        <f t="shared" si="4"/>
        <v>24</v>
      </c>
      <c r="B115" s="29" t="s">
        <v>51</v>
      </c>
      <c r="C115" s="35"/>
      <c r="D115" s="49">
        <f>D96</f>
        <v>107196462.6435112</v>
      </c>
      <c r="E115" s="28"/>
      <c r="F115" s="4"/>
      <c r="G115" s="4"/>
      <c r="H115" s="4"/>
    </row>
    <row r="116" spans="1:8" ht="12.75">
      <c r="A116" s="122">
        <f t="shared" si="4"/>
        <v>25</v>
      </c>
      <c r="B116" s="29" t="s">
        <v>7</v>
      </c>
      <c r="C116" s="861"/>
      <c r="D116" s="48">
        <f>-(D96-E106)*D109</f>
        <v>-16400067.454089332</v>
      </c>
      <c r="E116" s="21"/>
      <c r="F116" s="4"/>
      <c r="G116" s="4"/>
      <c r="H116" s="4"/>
    </row>
    <row r="117" spans="1:8" ht="12.75">
      <c r="A117" s="122">
        <f t="shared" si="4"/>
        <v>26</v>
      </c>
      <c r="B117" s="29" t="s">
        <v>35</v>
      </c>
      <c r="C117" s="29"/>
      <c r="D117" s="49"/>
      <c r="E117" s="32"/>
      <c r="F117" s="4"/>
      <c r="G117" s="4"/>
      <c r="H117" s="4"/>
    </row>
    <row r="118" spans="1:8" ht="12.75">
      <c r="A118" s="122">
        <f t="shared" si="4"/>
        <v>27</v>
      </c>
      <c r="B118" s="29"/>
      <c r="C118" s="31" t="s">
        <v>37</v>
      </c>
      <c r="D118" s="49">
        <f>-(D98+D99)</f>
        <v>-72341170.89000002</v>
      </c>
      <c r="E118" s="32"/>
      <c r="F118" s="4"/>
      <c r="G118" s="4"/>
      <c r="H118" s="4"/>
    </row>
    <row r="119" spans="1:8" ht="12.75">
      <c r="A119" s="122">
        <f t="shared" si="4"/>
        <v>28</v>
      </c>
      <c r="B119" s="24" t="s">
        <v>77</v>
      </c>
      <c r="C119" s="31"/>
      <c r="D119" s="49">
        <f>-D101</f>
        <v>0</v>
      </c>
      <c r="E119" s="32"/>
      <c r="F119" s="4"/>
      <c r="G119" s="4"/>
      <c r="H119" s="4"/>
    </row>
    <row r="120" spans="1:8" ht="12.75">
      <c r="A120" s="122">
        <f t="shared" si="4"/>
        <v>29</v>
      </c>
      <c r="B120" s="9" t="s">
        <v>519</v>
      </c>
      <c r="C120" s="31"/>
      <c r="D120" s="49">
        <f>-D102</f>
        <v>-5500000</v>
      </c>
      <c r="E120" s="32"/>
      <c r="F120" s="4"/>
      <c r="G120" s="4"/>
      <c r="H120" s="4"/>
    </row>
    <row r="121" spans="1:8" ht="12.75">
      <c r="A121" s="122">
        <f t="shared" si="4"/>
        <v>30</v>
      </c>
      <c r="B121" s="9" t="s">
        <v>78</v>
      </c>
      <c r="C121" s="31"/>
      <c r="D121" s="49">
        <f>-D103</f>
        <v>-2273566.550640765</v>
      </c>
      <c r="E121" s="32"/>
      <c r="F121" s="4"/>
      <c r="G121" s="4"/>
      <c r="H121" s="4"/>
    </row>
    <row r="122" spans="1:8" ht="12.75">
      <c r="A122" s="122">
        <f t="shared" si="4"/>
        <v>31</v>
      </c>
      <c r="B122" s="9" t="s">
        <v>572</v>
      </c>
      <c r="C122" s="31"/>
      <c r="D122" s="49">
        <f>-D104</f>
        <v>-8757846.09</v>
      </c>
      <c r="E122" s="32"/>
      <c r="F122" s="4"/>
      <c r="G122" s="4"/>
      <c r="H122" s="4"/>
    </row>
    <row r="123" spans="1:8" ht="12.75">
      <c r="A123" s="122">
        <f t="shared" si="4"/>
        <v>32</v>
      </c>
      <c r="B123" s="18" t="s">
        <v>740</v>
      </c>
      <c r="C123" s="31"/>
      <c r="D123" s="49">
        <f>-D105</f>
        <v>-3000000</v>
      </c>
      <c r="E123" s="32"/>
      <c r="F123" s="4"/>
      <c r="G123" s="4"/>
      <c r="H123" s="4"/>
    </row>
    <row r="124" spans="1:8" ht="12.75">
      <c r="A124" s="122">
        <f t="shared" si="4"/>
        <v>33</v>
      </c>
      <c r="B124" s="29" t="s">
        <v>39</v>
      </c>
      <c r="C124" s="31" t="s">
        <v>37</v>
      </c>
      <c r="D124" s="49">
        <f>G98+G99+G100</f>
        <v>9643089.44952688</v>
      </c>
      <c r="E124" s="32"/>
      <c r="F124" s="4"/>
      <c r="G124" s="4"/>
      <c r="H124" s="4"/>
    </row>
    <row r="125" spans="1:8" ht="12.75">
      <c r="A125" s="122">
        <f t="shared" si="4"/>
        <v>34</v>
      </c>
      <c r="B125" s="29"/>
      <c r="C125" s="31" t="s">
        <v>726</v>
      </c>
      <c r="D125" s="49">
        <f>D78</f>
        <v>123335.982</v>
      </c>
      <c r="E125" s="32"/>
      <c r="F125" s="4"/>
      <c r="G125" s="4"/>
      <c r="H125" s="4"/>
    </row>
    <row r="126" spans="1:8" ht="12.75">
      <c r="A126" s="122">
        <f t="shared" si="4"/>
        <v>35</v>
      </c>
      <c r="B126" s="29"/>
      <c r="C126" s="31" t="s">
        <v>519</v>
      </c>
      <c r="D126" s="49">
        <f>G102</f>
        <v>2087250</v>
      </c>
      <c r="E126" s="32"/>
      <c r="F126" s="4"/>
      <c r="G126" s="4"/>
      <c r="H126" s="4"/>
    </row>
    <row r="127" spans="1:8" ht="12.75">
      <c r="A127" s="122">
        <f t="shared" si="4"/>
        <v>36</v>
      </c>
      <c r="B127" s="18" t="s">
        <v>740</v>
      </c>
      <c r="C127" s="8"/>
      <c r="D127" s="42">
        <f>G105</f>
        <v>1138500</v>
      </c>
      <c r="E127" s="4"/>
      <c r="F127" s="4"/>
      <c r="G127" s="4"/>
      <c r="H127" s="4"/>
    </row>
    <row r="128" spans="1:8" ht="12.75">
      <c r="A128" s="122">
        <f t="shared" si="4"/>
        <v>37</v>
      </c>
      <c r="B128" s="8" t="s">
        <v>43</v>
      </c>
      <c r="C128" s="11" t="s">
        <v>44</v>
      </c>
      <c r="D128" s="42">
        <f>-D100</f>
        <v>-11915987.090307973</v>
      </c>
      <c r="E128" s="4"/>
      <c r="F128" s="4"/>
      <c r="G128" s="4"/>
      <c r="H128" s="4"/>
    </row>
    <row r="129" spans="1:8" ht="12.75">
      <c r="A129" s="122">
        <f t="shared" si="4"/>
        <v>38</v>
      </c>
      <c r="B129" s="33" t="s">
        <v>45</v>
      </c>
      <c r="C129" s="34"/>
      <c r="D129" s="54">
        <f>(+D108-D112)*0+SUM(D115:D128)</f>
        <v>0</v>
      </c>
      <c r="E129" s="4"/>
      <c r="F129" s="4"/>
      <c r="G129" s="4"/>
      <c r="H129" s="4"/>
    </row>
  </sheetData>
  <mergeCells count="1">
    <mergeCell ref="B1:H1"/>
  </mergeCells>
  <printOptions/>
  <pageMargins left="0.5" right="0.5" top="0.5" bottom="0.5" header="0.25" footer="0.25"/>
  <pageSetup horizontalDpi="600" verticalDpi="600" orientation="portrait" scale="65" r:id="rId3"/>
  <headerFooter alignWithMargins="0">
    <oddHeader>&amp;RConfidential-Subject to Protective Agreement</oddHeader>
    <oddFooter>&amp;L&amp;D
&amp;T&amp;C&amp;P+7 of 24&amp;RCentralia Plant and Mine Analysis
&amp;F</oddFooter>
  </headerFooter>
  <rowBreaks count="1" manualBreakCount="1">
    <brk id="89" max="255" man="1"/>
  </rowBreaks>
  <legacyDrawing r:id="rId2"/>
</worksheet>
</file>

<file path=xl/worksheets/sheet10.xml><?xml version="1.0" encoding="utf-8"?>
<worksheet xmlns="http://schemas.openxmlformats.org/spreadsheetml/2006/main" xmlns:r="http://schemas.openxmlformats.org/officeDocument/2006/relationships">
  <dimension ref="A1:AO293"/>
  <sheetViews>
    <sheetView zoomScale="75" zoomScaleNormal="75" workbookViewId="0" topLeftCell="A1">
      <pane ySplit="4515" topLeftCell="BM118" activePane="topLeft" state="split"/>
      <selection pane="topLeft" activeCell="A1" sqref="A1"/>
      <selection pane="bottomLeft" activeCell="K147" sqref="K147"/>
    </sheetView>
  </sheetViews>
  <sheetFormatPr defaultColWidth="9.140625" defaultRowHeight="12.75"/>
  <cols>
    <col min="1" max="1" width="5.421875" style="0" customWidth="1"/>
    <col min="2" max="2" width="4.7109375" style="0" customWidth="1"/>
    <col min="3" max="3" width="11.7109375" style="0" customWidth="1"/>
    <col min="4" max="4" width="12.00390625" style="0" customWidth="1"/>
    <col min="5" max="5" width="13.57421875" style="0" customWidth="1"/>
    <col min="6" max="6" width="12.8515625" style="0" customWidth="1"/>
    <col min="7" max="7" width="11.00390625" style="0" customWidth="1"/>
    <col min="8" max="8" width="11.28125" style="0" bestFit="1" customWidth="1"/>
    <col min="9" max="9" width="10.421875" style="0" customWidth="1"/>
    <col min="10" max="10" width="12.00390625" style="0" customWidth="1"/>
    <col min="11" max="19" width="11.28125" style="0" bestFit="1" customWidth="1"/>
    <col min="20" max="32" width="12.28125" style="0" bestFit="1" customWidth="1"/>
    <col min="33" max="33" width="11.28125" style="0" bestFit="1" customWidth="1"/>
  </cols>
  <sheetData>
    <row r="1" spans="3:41" ht="12.75">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row>
    <row r="2" spans="1:41" ht="18">
      <c r="A2" s="781" t="s">
        <v>772</v>
      </c>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row>
    <row r="3" spans="3:41" ht="12.75">
      <c r="C3" s="338"/>
      <c r="D3" s="338"/>
      <c r="E3" s="338"/>
      <c r="F3" s="338"/>
      <c r="G3" s="338"/>
      <c r="H3" s="338"/>
      <c r="I3" s="338"/>
      <c r="J3" s="481">
        <v>1998</v>
      </c>
      <c r="K3" s="482">
        <f aca="true" t="shared" si="0" ref="K3:AO3">J3+1</f>
        <v>1999</v>
      </c>
      <c r="L3" s="482">
        <f t="shared" si="0"/>
        <v>2000</v>
      </c>
      <c r="M3" s="482">
        <f t="shared" si="0"/>
        <v>2001</v>
      </c>
      <c r="N3" s="482">
        <f t="shared" si="0"/>
        <v>2002</v>
      </c>
      <c r="O3" s="482">
        <f t="shared" si="0"/>
        <v>2003</v>
      </c>
      <c r="P3" s="482">
        <f t="shared" si="0"/>
        <v>2004</v>
      </c>
      <c r="Q3" s="482">
        <f t="shared" si="0"/>
        <v>2005</v>
      </c>
      <c r="R3" s="482">
        <f t="shared" si="0"/>
        <v>2006</v>
      </c>
      <c r="S3" s="482">
        <f t="shared" si="0"/>
        <v>2007</v>
      </c>
      <c r="T3" s="482">
        <f t="shared" si="0"/>
        <v>2008</v>
      </c>
      <c r="U3" s="482">
        <f t="shared" si="0"/>
        <v>2009</v>
      </c>
      <c r="V3" s="482">
        <f t="shared" si="0"/>
        <v>2010</v>
      </c>
      <c r="W3" s="482">
        <f t="shared" si="0"/>
        <v>2011</v>
      </c>
      <c r="X3" s="482">
        <f t="shared" si="0"/>
        <v>2012</v>
      </c>
      <c r="Y3" s="482">
        <f t="shared" si="0"/>
        <v>2013</v>
      </c>
      <c r="Z3" s="482">
        <f t="shared" si="0"/>
        <v>2014</v>
      </c>
      <c r="AA3" s="482">
        <f t="shared" si="0"/>
        <v>2015</v>
      </c>
      <c r="AB3" s="482">
        <f t="shared" si="0"/>
        <v>2016</v>
      </c>
      <c r="AC3" s="482">
        <f t="shared" si="0"/>
        <v>2017</v>
      </c>
      <c r="AD3" s="482">
        <f t="shared" si="0"/>
        <v>2018</v>
      </c>
      <c r="AE3" s="482">
        <f t="shared" si="0"/>
        <v>2019</v>
      </c>
      <c r="AF3" s="482">
        <f t="shared" si="0"/>
        <v>2020</v>
      </c>
      <c r="AG3" s="482">
        <f t="shared" si="0"/>
        <v>2021</v>
      </c>
      <c r="AH3" s="482">
        <f t="shared" si="0"/>
        <v>2022</v>
      </c>
      <c r="AI3" s="482">
        <f t="shared" si="0"/>
        <v>2023</v>
      </c>
      <c r="AJ3" s="482">
        <f t="shared" si="0"/>
        <v>2024</v>
      </c>
      <c r="AK3" s="482">
        <f t="shared" si="0"/>
        <v>2025</v>
      </c>
      <c r="AL3" s="482">
        <f t="shared" si="0"/>
        <v>2026</v>
      </c>
      <c r="AM3" s="482">
        <f t="shared" si="0"/>
        <v>2027</v>
      </c>
      <c r="AN3" s="482">
        <f t="shared" si="0"/>
        <v>2028</v>
      </c>
      <c r="AO3" s="482">
        <f t="shared" si="0"/>
        <v>2029</v>
      </c>
    </row>
    <row r="4" spans="3:41" ht="13.5" thickBot="1">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row>
    <row r="5" spans="1:41" ht="13.5" thickBot="1">
      <c r="A5" s="175"/>
      <c r="B5" s="53"/>
      <c r="C5" s="442" t="s">
        <v>509</v>
      </c>
      <c r="D5" s="338"/>
      <c r="E5" s="338"/>
      <c r="F5" s="338"/>
      <c r="G5" s="338"/>
      <c r="H5" s="659">
        <f>I6+I7+I8+I9</f>
        <v>602874.9080491018</v>
      </c>
      <c r="I5" s="660">
        <f>H5*0.475</f>
        <v>286365.58132332336</v>
      </c>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row>
    <row r="6" spans="1:41" ht="12.75">
      <c r="A6" s="175"/>
      <c r="B6" s="53"/>
      <c r="C6" s="338"/>
      <c r="D6" s="338" t="s">
        <v>467</v>
      </c>
      <c r="E6" s="338"/>
      <c r="F6" s="338"/>
      <c r="G6" s="338"/>
      <c r="H6" s="338"/>
      <c r="I6" s="507">
        <f aca="true" t="shared" si="1" ref="I6:I16">SUM(J6:AO6)</f>
        <v>328892.1518931056</v>
      </c>
      <c r="J6" s="510">
        <f aca="true" t="shared" si="2" ref="J6:AO6">J100</f>
        <v>0</v>
      </c>
      <c r="K6" s="510">
        <f t="shared" si="2"/>
        <v>300.93059999999997</v>
      </c>
      <c r="L6" s="510">
        <f t="shared" si="2"/>
        <v>375.1764333333333</v>
      </c>
      <c r="M6" s="510">
        <f t="shared" si="2"/>
        <v>6824.350776985597</v>
      </c>
      <c r="N6" s="510">
        <f t="shared" si="2"/>
        <v>10296.205741897416</v>
      </c>
      <c r="O6" s="510">
        <f t="shared" si="2"/>
        <v>10533.205739888845</v>
      </c>
      <c r="P6" s="510">
        <f t="shared" si="2"/>
        <v>10736.078702891344</v>
      </c>
      <c r="Q6" s="510">
        <f t="shared" si="2"/>
        <v>10956.035704883529</v>
      </c>
      <c r="R6" s="510">
        <f t="shared" si="2"/>
        <v>11195.177845382808</v>
      </c>
      <c r="S6" s="510">
        <f t="shared" si="2"/>
        <v>11455.983450374377</v>
      </c>
      <c r="T6" s="510">
        <f t="shared" si="2"/>
        <v>11741.402584337024</v>
      </c>
      <c r="U6" s="510">
        <f t="shared" si="2"/>
        <v>12054.983072850651</v>
      </c>
      <c r="V6" s="510">
        <f t="shared" si="2"/>
        <v>12401.041540531764</v>
      </c>
      <c r="W6" s="510">
        <f t="shared" si="2"/>
        <v>12784.900240836503</v>
      </c>
      <c r="X6" s="510">
        <f t="shared" si="2"/>
        <v>13213.222573926543</v>
      </c>
      <c r="Y6" s="510">
        <f t="shared" si="2"/>
        <v>13694.50112274408</v>
      </c>
      <c r="Z6" s="510">
        <f t="shared" si="2"/>
        <v>14239.789718554346</v>
      </c>
      <c r="AA6" s="510">
        <f t="shared" si="2"/>
        <v>14863.842222648318</v>
      </c>
      <c r="AB6" s="510">
        <f t="shared" si="2"/>
        <v>15586.963061767208</v>
      </c>
      <c r="AC6" s="510">
        <f t="shared" si="2"/>
        <v>16438.17959238716</v>
      </c>
      <c r="AD6" s="510">
        <f t="shared" si="2"/>
        <v>17461.058123348805</v>
      </c>
      <c r="AE6" s="510">
        <f t="shared" si="2"/>
        <v>18725.335987617393</v>
      </c>
      <c r="AF6" s="510">
        <f t="shared" si="2"/>
        <v>19946.15430030175</v>
      </c>
      <c r="AG6" s="510">
        <f t="shared" si="2"/>
        <v>20784.449541678343</v>
      </c>
      <c r="AH6" s="510">
        <f t="shared" si="2"/>
        <v>21108.241078660052</v>
      </c>
      <c r="AI6" s="510">
        <f t="shared" si="2"/>
        <v>21174.94213527837</v>
      </c>
      <c r="AJ6" s="441">
        <f t="shared" si="2"/>
        <v>0</v>
      </c>
      <c r="AK6" s="441">
        <f t="shared" si="2"/>
        <v>0</v>
      </c>
      <c r="AL6" s="441">
        <f t="shared" si="2"/>
        <v>0</v>
      </c>
      <c r="AM6" s="441">
        <f t="shared" si="2"/>
        <v>0</v>
      </c>
      <c r="AN6" s="441">
        <f t="shared" si="2"/>
        <v>0</v>
      </c>
      <c r="AO6" s="441">
        <f t="shared" si="2"/>
        <v>0</v>
      </c>
    </row>
    <row r="7" spans="1:41" ht="12.75">
      <c r="A7" s="175"/>
      <c r="B7" s="53"/>
      <c r="C7" s="338"/>
      <c r="D7" s="338" t="s">
        <v>510</v>
      </c>
      <c r="E7" s="338"/>
      <c r="F7" s="338"/>
      <c r="G7" s="338"/>
      <c r="H7" s="441"/>
      <c r="I7" s="507">
        <f t="shared" si="1"/>
        <v>15856.641099541186</v>
      </c>
      <c r="J7" s="510">
        <f aca="true" t="shared" si="3" ref="J7:AO7">J137</f>
        <v>0</v>
      </c>
      <c r="K7" s="510">
        <f t="shared" si="3"/>
        <v>18.57298053729617</v>
      </c>
      <c r="L7" s="510">
        <f t="shared" si="3"/>
        <v>164.6370978594562</v>
      </c>
      <c r="M7" s="510">
        <f t="shared" si="3"/>
        <v>515.524638467224</v>
      </c>
      <c r="N7" s="510">
        <f t="shared" si="3"/>
        <v>673.8779699513898</v>
      </c>
      <c r="O7" s="510">
        <f t="shared" si="3"/>
        <v>689.7156387012296</v>
      </c>
      <c r="P7" s="510">
        <f t="shared" si="3"/>
        <v>689.7156387012296</v>
      </c>
      <c r="Q7" s="510">
        <f t="shared" si="3"/>
        <v>689.7156387012296</v>
      </c>
      <c r="R7" s="510">
        <f t="shared" si="3"/>
        <v>689.7156387012296</v>
      </c>
      <c r="S7" s="510">
        <f t="shared" si="3"/>
        <v>689.7156387012296</v>
      </c>
      <c r="T7" s="510">
        <f t="shared" si="3"/>
        <v>689.7156387012296</v>
      </c>
      <c r="U7" s="510">
        <f t="shared" si="3"/>
        <v>689.7156387012296</v>
      </c>
      <c r="V7" s="510">
        <f t="shared" si="3"/>
        <v>689.7156387012296</v>
      </c>
      <c r="W7" s="510">
        <f t="shared" si="3"/>
        <v>689.7156387012296</v>
      </c>
      <c r="X7" s="510">
        <f t="shared" si="3"/>
        <v>689.7156387012296</v>
      </c>
      <c r="Y7" s="510">
        <f t="shared" si="3"/>
        <v>689.7156387012296</v>
      </c>
      <c r="Z7" s="510">
        <f t="shared" si="3"/>
        <v>689.7156387012296</v>
      </c>
      <c r="AA7" s="510">
        <f t="shared" si="3"/>
        <v>689.7156387012296</v>
      </c>
      <c r="AB7" s="510">
        <f t="shared" si="3"/>
        <v>689.7156387012296</v>
      </c>
      <c r="AC7" s="510">
        <f t="shared" si="3"/>
        <v>689.7156387012296</v>
      </c>
      <c r="AD7" s="510">
        <f t="shared" si="3"/>
        <v>689.7156387012296</v>
      </c>
      <c r="AE7" s="510">
        <f t="shared" si="3"/>
        <v>689.7156387012296</v>
      </c>
      <c r="AF7" s="510">
        <f t="shared" si="3"/>
        <v>689.7156387012296</v>
      </c>
      <c r="AG7" s="510">
        <f t="shared" si="3"/>
        <v>689.7156387012296</v>
      </c>
      <c r="AH7" s="510">
        <f t="shared" si="3"/>
        <v>689.7156387012296</v>
      </c>
      <c r="AI7" s="510">
        <f t="shared" si="3"/>
        <v>689.7156387012351</v>
      </c>
      <c r="AJ7" s="441">
        <f t="shared" si="3"/>
        <v>0</v>
      </c>
      <c r="AK7" s="441">
        <f t="shared" si="3"/>
        <v>0</v>
      </c>
      <c r="AL7" s="441">
        <f t="shared" si="3"/>
        <v>0</v>
      </c>
      <c r="AM7" s="441">
        <f t="shared" si="3"/>
        <v>0</v>
      </c>
      <c r="AN7" s="441">
        <f t="shared" si="3"/>
        <v>0</v>
      </c>
      <c r="AO7" s="441">
        <f t="shared" si="3"/>
        <v>0</v>
      </c>
    </row>
    <row r="8" spans="1:41" ht="12.75">
      <c r="A8" s="175"/>
      <c r="B8" s="53"/>
      <c r="C8" s="338"/>
      <c r="D8" s="338" t="s">
        <v>468</v>
      </c>
      <c r="E8" s="338"/>
      <c r="F8" s="338"/>
      <c r="G8" s="338"/>
      <c r="H8" s="338"/>
      <c r="I8" s="507">
        <f t="shared" si="1"/>
        <v>139065.02435789473</v>
      </c>
      <c r="J8" s="507">
        <v>0</v>
      </c>
      <c r="K8" s="507">
        <f aca="true" t="shared" si="4" ref="K8:Y8">K146</f>
        <v>8182.8</v>
      </c>
      <c r="L8" s="507">
        <f t="shared" si="4"/>
        <v>9348.730311278194</v>
      </c>
      <c r="M8" s="507">
        <f t="shared" si="4"/>
        <v>9348.730311278194</v>
      </c>
      <c r="N8" s="507">
        <f t="shared" si="4"/>
        <v>9348.730311278194</v>
      </c>
      <c r="O8" s="507">
        <f t="shared" si="4"/>
        <v>9348.730311278194</v>
      </c>
      <c r="P8" s="507">
        <f t="shared" si="4"/>
        <v>9348.730311278194</v>
      </c>
      <c r="Q8" s="507">
        <f t="shared" si="4"/>
        <v>9348.730311278194</v>
      </c>
      <c r="R8" s="507">
        <f t="shared" si="4"/>
        <v>9348.730311278194</v>
      </c>
      <c r="S8" s="507">
        <f t="shared" si="4"/>
        <v>9348.730311278194</v>
      </c>
      <c r="T8" s="507">
        <f t="shared" si="4"/>
        <v>9348.730311278194</v>
      </c>
      <c r="U8" s="507">
        <f t="shared" si="4"/>
        <v>9348.730311278194</v>
      </c>
      <c r="V8" s="507">
        <f t="shared" si="4"/>
        <v>9348.730311278194</v>
      </c>
      <c r="W8" s="507">
        <f t="shared" si="4"/>
        <v>9348.730311278194</v>
      </c>
      <c r="X8" s="507">
        <f t="shared" si="4"/>
        <v>9348.730311278194</v>
      </c>
      <c r="Y8" s="507">
        <f t="shared" si="4"/>
        <v>9348.730311278194</v>
      </c>
      <c r="Z8" s="507">
        <f aca="true" t="shared" si="5" ref="Z8:AI8">Z145</f>
        <v>0</v>
      </c>
      <c r="AA8" s="507">
        <f t="shared" si="5"/>
        <v>0</v>
      </c>
      <c r="AB8" s="507">
        <f t="shared" si="5"/>
        <v>0</v>
      </c>
      <c r="AC8" s="507">
        <f t="shared" si="5"/>
        <v>0</v>
      </c>
      <c r="AD8" s="507">
        <f t="shared" si="5"/>
        <v>0</v>
      </c>
      <c r="AE8" s="507">
        <f t="shared" si="5"/>
        <v>0</v>
      </c>
      <c r="AF8" s="507">
        <f t="shared" si="5"/>
        <v>0</v>
      </c>
      <c r="AG8" s="507">
        <f t="shared" si="5"/>
        <v>0</v>
      </c>
      <c r="AH8" s="507">
        <f t="shared" si="5"/>
        <v>0</v>
      </c>
      <c r="AI8" s="507">
        <f t="shared" si="5"/>
        <v>0</v>
      </c>
      <c r="AJ8" s="507">
        <f aca="true" t="shared" si="6" ref="AJ8:AO8">AJ145</f>
        <v>0</v>
      </c>
      <c r="AK8" s="507">
        <f t="shared" si="6"/>
        <v>0</v>
      </c>
      <c r="AL8" s="507">
        <f t="shared" si="6"/>
        <v>0</v>
      </c>
      <c r="AM8" s="507">
        <f t="shared" si="6"/>
        <v>0</v>
      </c>
      <c r="AN8" s="507">
        <f t="shared" si="6"/>
        <v>0</v>
      </c>
      <c r="AO8" s="507">
        <f t="shared" si="6"/>
        <v>0</v>
      </c>
    </row>
    <row r="9" spans="1:41" ht="12.75">
      <c r="A9" s="175"/>
      <c r="B9" s="53"/>
      <c r="C9" s="338"/>
      <c r="D9" s="338" t="s">
        <v>511</v>
      </c>
      <c r="E9" s="338"/>
      <c r="F9" s="338"/>
      <c r="G9" s="709" t="s">
        <v>720</v>
      </c>
      <c r="H9" s="710">
        <f>I9*Inputs!G7</f>
        <v>56554.018081816146</v>
      </c>
      <c r="I9" s="507">
        <f t="shared" si="1"/>
        <v>119061.0906985603</v>
      </c>
      <c r="J9" s="507">
        <v>0</v>
      </c>
      <c r="K9" s="507">
        <f>Inputs!$G$22/25</f>
        <v>4762.4436279424135</v>
      </c>
      <c r="L9" s="507">
        <f>Inputs!$G$22/25</f>
        <v>4762.4436279424135</v>
      </c>
      <c r="M9" s="507">
        <f>Inputs!$G$22/25</f>
        <v>4762.4436279424135</v>
      </c>
      <c r="N9" s="507">
        <f>Inputs!$G$22/25</f>
        <v>4762.4436279424135</v>
      </c>
      <c r="O9" s="507">
        <f>Inputs!$G$22/25</f>
        <v>4762.4436279424135</v>
      </c>
      <c r="P9" s="507">
        <f>Inputs!$G$22/25</f>
        <v>4762.4436279424135</v>
      </c>
      <c r="Q9" s="507">
        <f>Inputs!$G$22/25</f>
        <v>4762.4436279424135</v>
      </c>
      <c r="R9" s="507">
        <f>Inputs!$G$22/25</f>
        <v>4762.4436279424135</v>
      </c>
      <c r="S9" s="507">
        <f>Inputs!$G$22/25</f>
        <v>4762.4436279424135</v>
      </c>
      <c r="T9" s="507">
        <f>Inputs!$G$22/25</f>
        <v>4762.4436279424135</v>
      </c>
      <c r="U9" s="507">
        <f>Inputs!$G$22/25</f>
        <v>4762.4436279424135</v>
      </c>
      <c r="V9" s="507">
        <f>Inputs!$G$22/25</f>
        <v>4762.4436279424135</v>
      </c>
      <c r="W9" s="507">
        <f>Inputs!$G$22/25</f>
        <v>4762.4436279424135</v>
      </c>
      <c r="X9" s="507">
        <f>Inputs!$G$22/25</f>
        <v>4762.4436279424135</v>
      </c>
      <c r="Y9" s="507">
        <f>Inputs!$G$22/25</f>
        <v>4762.4436279424135</v>
      </c>
      <c r="Z9" s="507">
        <f>Inputs!$G$22/25</f>
        <v>4762.4436279424135</v>
      </c>
      <c r="AA9" s="507">
        <f>Inputs!$G$22/25</f>
        <v>4762.4436279424135</v>
      </c>
      <c r="AB9" s="507">
        <f>Inputs!$G$22/25</f>
        <v>4762.4436279424135</v>
      </c>
      <c r="AC9" s="507">
        <f>Inputs!$G$22/25</f>
        <v>4762.4436279424135</v>
      </c>
      <c r="AD9" s="507">
        <f>Inputs!$G$22/25</f>
        <v>4762.4436279424135</v>
      </c>
      <c r="AE9" s="507">
        <f>Inputs!$G$22/25</f>
        <v>4762.4436279424135</v>
      </c>
      <c r="AF9" s="507">
        <f>Inputs!$G$22/25</f>
        <v>4762.4436279424135</v>
      </c>
      <c r="AG9" s="507">
        <f>Inputs!$G$22/25</f>
        <v>4762.4436279424135</v>
      </c>
      <c r="AH9" s="507">
        <f>Inputs!$G$22/25</f>
        <v>4762.4436279424135</v>
      </c>
      <c r="AI9" s="507">
        <f>Inputs!$G$22/25</f>
        <v>4762.4436279424135</v>
      </c>
      <c r="AJ9" s="507"/>
      <c r="AK9" s="507"/>
      <c r="AL9" s="507"/>
      <c r="AM9" s="507"/>
      <c r="AN9" s="507"/>
      <c r="AO9" s="507"/>
    </row>
    <row r="10" spans="1:41" ht="12.75">
      <c r="A10" s="175"/>
      <c r="B10" s="53"/>
      <c r="C10" s="338"/>
      <c r="D10" s="338"/>
      <c r="E10" s="338"/>
      <c r="F10" s="338"/>
      <c r="G10" s="782"/>
      <c r="H10" s="783"/>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row>
    <row r="11" spans="1:41" ht="12.75">
      <c r="A11" s="175"/>
      <c r="B11" s="53"/>
      <c r="C11" s="338"/>
      <c r="D11" s="338" t="s">
        <v>512</v>
      </c>
      <c r="E11" s="338"/>
      <c r="F11" s="338"/>
      <c r="G11" s="338"/>
      <c r="H11" s="338"/>
      <c r="I11" s="507">
        <f>SUM(J11:AO11)</f>
        <v>341475.5274857278</v>
      </c>
      <c r="J11" s="507">
        <v>0</v>
      </c>
      <c r="K11" s="507">
        <f>K154</f>
        <v>9888.558570238825</v>
      </c>
      <c r="L11" s="507">
        <f aca="true" t="shared" si="7" ref="L11:AO11">L154</f>
        <v>11706.437403943319</v>
      </c>
      <c r="M11" s="507">
        <f t="shared" si="7"/>
        <v>13847.549919391033</v>
      </c>
      <c r="N11" s="507">
        <f t="shared" si="7"/>
        <v>14586.809338153735</v>
      </c>
      <c r="O11" s="507">
        <f t="shared" si="7"/>
        <v>16470.600514696045</v>
      </c>
      <c r="P11" s="507">
        <f t="shared" si="7"/>
        <v>17187.51292411755</v>
      </c>
      <c r="Q11" s="507">
        <f t="shared" si="7"/>
        <v>16835.37820260693</v>
      </c>
      <c r="R11" s="507">
        <f t="shared" si="7"/>
        <v>15524.924394760788</v>
      </c>
      <c r="S11" s="507">
        <f t="shared" si="7"/>
        <v>13842.450635165682</v>
      </c>
      <c r="T11" s="507">
        <f t="shared" si="7"/>
        <v>13048.258517479208</v>
      </c>
      <c r="U11" s="507">
        <f t="shared" si="7"/>
        <v>12052.715938886768</v>
      </c>
      <c r="V11" s="507">
        <f t="shared" si="7"/>
        <v>11429.790674576974</v>
      </c>
      <c r="W11" s="507">
        <f t="shared" si="7"/>
        <v>11197.989174183527</v>
      </c>
      <c r="X11" s="507">
        <f t="shared" si="7"/>
        <v>10831.406383040669</v>
      </c>
      <c r="Y11" s="507">
        <f t="shared" si="7"/>
        <v>10653.220470830194</v>
      </c>
      <c r="Z11" s="507">
        <f t="shared" si="7"/>
        <v>10981.177407729592</v>
      </c>
      <c r="AA11" s="507">
        <f t="shared" si="7"/>
        <v>11318.973072355022</v>
      </c>
      <c r="AB11" s="507">
        <f t="shared" si="7"/>
        <v>11666.902606919211</v>
      </c>
      <c r="AC11" s="507">
        <f t="shared" si="7"/>
        <v>12998.069463279575</v>
      </c>
      <c r="AD11" s="507">
        <f t="shared" si="7"/>
        <v>13730.334129782883</v>
      </c>
      <c r="AE11" s="507">
        <f t="shared" si="7"/>
        <v>14966.196398859804</v>
      </c>
      <c r="AF11" s="507">
        <f t="shared" si="7"/>
        <v>16053.105078838082</v>
      </c>
      <c r="AG11" s="507">
        <f t="shared" si="7"/>
        <v>16853.27045107224</v>
      </c>
      <c r="AH11" s="507">
        <f t="shared" si="7"/>
        <v>17019.578614097896</v>
      </c>
      <c r="AI11" s="507">
        <f t="shared" si="7"/>
        <v>16784.317200722235</v>
      </c>
      <c r="AJ11" s="507">
        <f t="shared" si="7"/>
        <v>0</v>
      </c>
      <c r="AK11" s="507">
        <f t="shared" si="7"/>
        <v>0</v>
      </c>
      <c r="AL11" s="507">
        <f t="shared" si="7"/>
        <v>0</v>
      </c>
      <c r="AM11" s="507">
        <f t="shared" si="7"/>
        <v>0</v>
      </c>
      <c r="AN11" s="507">
        <f t="shared" si="7"/>
        <v>0</v>
      </c>
      <c r="AO11" s="507">
        <f t="shared" si="7"/>
        <v>0</v>
      </c>
    </row>
    <row r="12" spans="1:41" ht="12.75">
      <c r="A12" s="175"/>
      <c r="B12" s="53"/>
      <c r="C12" s="338"/>
      <c r="D12" s="338" t="s">
        <v>513</v>
      </c>
      <c r="E12" s="338"/>
      <c r="F12" s="338"/>
      <c r="G12" s="338"/>
      <c r="H12" s="338"/>
      <c r="I12" s="507">
        <f>SUM(J12:AO12)</f>
        <v>-6966.951994617801</v>
      </c>
      <c r="J12" s="507">
        <v>0</v>
      </c>
      <c r="K12" s="507">
        <f>Inputs!$G$26/25</f>
        <v>-278.67807978471194</v>
      </c>
      <c r="L12" s="507">
        <f>Inputs!$G$26/25</f>
        <v>-278.67807978471194</v>
      </c>
      <c r="M12" s="507">
        <f>Inputs!$G$26/25</f>
        <v>-278.67807978471194</v>
      </c>
      <c r="N12" s="507">
        <f>Inputs!$G$26/25</f>
        <v>-278.67807978471194</v>
      </c>
      <c r="O12" s="507">
        <f>Inputs!$G$26/25</f>
        <v>-278.67807978471194</v>
      </c>
      <c r="P12" s="507">
        <f>Inputs!$G$26/25</f>
        <v>-278.67807978471194</v>
      </c>
      <c r="Q12" s="507">
        <f>Inputs!$G$26/25</f>
        <v>-278.67807978471194</v>
      </c>
      <c r="R12" s="507">
        <f>Inputs!$G$26/25</f>
        <v>-278.67807978471194</v>
      </c>
      <c r="S12" s="507">
        <f>Inputs!$G$26/25</f>
        <v>-278.67807978471194</v>
      </c>
      <c r="T12" s="507">
        <f>Inputs!$G$26/25</f>
        <v>-278.67807978471194</v>
      </c>
      <c r="U12" s="507">
        <f>Inputs!$G$26/25</f>
        <v>-278.67807978471194</v>
      </c>
      <c r="V12" s="507">
        <f>Inputs!$G$26/25</f>
        <v>-278.67807978471194</v>
      </c>
      <c r="W12" s="507">
        <f>Inputs!$G$26/25</f>
        <v>-278.67807978471194</v>
      </c>
      <c r="X12" s="507">
        <f>Inputs!$G$26/25</f>
        <v>-278.67807978471194</v>
      </c>
      <c r="Y12" s="507">
        <f>Inputs!$G$26/25</f>
        <v>-278.67807978471194</v>
      </c>
      <c r="Z12" s="507">
        <f>Inputs!$G$26/25</f>
        <v>-278.67807978471194</v>
      </c>
      <c r="AA12" s="507">
        <f>Inputs!$G$26/25</f>
        <v>-278.67807978471194</v>
      </c>
      <c r="AB12" s="507">
        <f>Inputs!$G$26/25</f>
        <v>-278.67807978471194</v>
      </c>
      <c r="AC12" s="507">
        <f>Inputs!$G$26/25</f>
        <v>-278.67807978471194</v>
      </c>
      <c r="AD12" s="507">
        <f>Inputs!$G$26/25</f>
        <v>-278.67807978471194</v>
      </c>
      <c r="AE12" s="507">
        <f>Inputs!$G$26/25</f>
        <v>-278.67807978471194</v>
      </c>
      <c r="AF12" s="507">
        <f>Inputs!$G$26/25</f>
        <v>-278.67807978471194</v>
      </c>
      <c r="AG12" s="507">
        <f>Inputs!$G$26/25</f>
        <v>-278.67807978471194</v>
      </c>
      <c r="AH12" s="507">
        <f>Inputs!$G$26/25</f>
        <v>-278.67807978471194</v>
      </c>
      <c r="AI12" s="507">
        <f>Inputs!$G$26/25</f>
        <v>-278.67807978471194</v>
      </c>
      <c r="AJ12" s="507"/>
      <c r="AK12" s="507"/>
      <c r="AL12" s="507"/>
      <c r="AM12" s="507"/>
      <c r="AN12" s="507"/>
      <c r="AO12" s="507"/>
    </row>
    <row r="13" spans="1:41" ht="12.75">
      <c r="A13" s="175"/>
      <c r="B13" s="53"/>
      <c r="C13" s="338"/>
      <c r="D13" s="338" t="s">
        <v>514</v>
      </c>
      <c r="E13" s="338"/>
      <c r="F13" s="338"/>
      <c r="G13" s="338"/>
      <c r="H13" s="338"/>
      <c r="I13" s="507">
        <f t="shared" si="1"/>
        <v>334508.57549111</v>
      </c>
      <c r="J13" s="508">
        <v>0</v>
      </c>
      <c r="K13" s="508">
        <f>K11+K12</f>
        <v>9609.880490454114</v>
      </c>
      <c r="L13" s="508">
        <f aca="true" t="shared" si="8" ref="L13:AO13">L11+L12</f>
        <v>11427.759324158607</v>
      </c>
      <c r="M13" s="508">
        <f t="shared" si="8"/>
        <v>13568.871839606321</v>
      </c>
      <c r="N13" s="508">
        <f t="shared" si="8"/>
        <v>14308.131258369023</v>
      </c>
      <c r="O13" s="508">
        <f t="shared" si="8"/>
        <v>16191.922434911334</v>
      </c>
      <c r="P13" s="508">
        <f t="shared" si="8"/>
        <v>16908.834844332836</v>
      </c>
      <c r="Q13" s="508">
        <f t="shared" si="8"/>
        <v>16556.700122822218</v>
      </c>
      <c r="R13" s="508">
        <f t="shared" si="8"/>
        <v>15246.246314976077</v>
      </c>
      <c r="S13" s="508">
        <f t="shared" si="8"/>
        <v>13563.77255538097</v>
      </c>
      <c r="T13" s="508">
        <f t="shared" si="8"/>
        <v>12769.580437694496</v>
      </c>
      <c r="U13" s="508">
        <f t="shared" si="8"/>
        <v>11774.037859102056</v>
      </c>
      <c r="V13" s="508">
        <f t="shared" si="8"/>
        <v>11151.112594792263</v>
      </c>
      <c r="W13" s="508">
        <f t="shared" si="8"/>
        <v>10919.311094398816</v>
      </c>
      <c r="X13" s="508">
        <f t="shared" si="8"/>
        <v>10552.728303255957</v>
      </c>
      <c r="Y13" s="508">
        <f t="shared" si="8"/>
        <v>10374.542391045483</v>
      </c>
      <c r="Z13" s="508">
        <f t="shared" si="8"/>
        <v>10702.49932794488</v>
      </c>
      <c r="AA13" s="508">
        <f t="shared" si="8"/>
        <v>11040.29499257031</v>
      </c>
      <c r="AB13" s="508">
        <f t="shared" si="8"/>
        <v>11388.2245271345</v>
      </c>
      <c r="AC13" s="508">
        <f t="shared" si="8"/>
        <v>12719.391383494863</v>
      </c>
      <c r="AD13" s="508">
        <f t="shared" si="8"/>
        <v>13451.656049998172</v>
      </c>
      <c r="AE13" s="508">
        <f t="shared" si="8"/>
        <v>14687.518319075092</v>
      </c>
      <c r="AF13" s="508">
        <f t="shared" si="8"/>
        <v>15774.42699905337</v>
      </c>
      <c r="AG13" s="508">
        <f t="shared" si="8"/>
        <v>16574.592371287526</v>
      </c>
      <c r="AH13" s="508">
        <f t="shared" si="8"/>
        <v>16740.900534313183</v>
      </c>
      <c r="AI13" s="508">
        <f t="shared" si="8"/>
        <v>16505.63912093752</v>
      </c>
      <c r="AJ13" s="508">
        <f t="shared" si="8"/>
        <v>0</v>
      </c>
      <c r="AK13" s="508">
        <f t="shared" si="8"/>
        <v>0</v>
      </c>
      <c r="AL13" s="508">
        <f t="shared" si="8"/>
        <v>0</v>
      </c>
      <c r="AM13" s="508">
        <f t="shared" si="8"/>
        <v>0</v>
      </c>
      <c r="AN13" s="508">
        <f t="shared" si="8"/>
        <v>0</v>
      </c>
      <c r="AO13" s="508">
        <f t="shared" si="8"/>
        <v>0</v>
      </c>
    </row>
    <row r="14" spans="1:41" ht="12.75">
      <c r="A14" s="175"/>
      <c r="B14" s="53"/>
      <c r="C14" s="338"/>
      <c r="D14" s="338"/>
      <c r="E14" s="338" t="s">
        <v>515</v>
      </c>
      <c r="F14" s="338"/>
      <c r="G14" s="338"/>
      <c r="H14" s="338"/>
      <c r="I14" s="507">
        <f t="shared" si="1"/>
        <v>937383.4835402117</v>
      </c>
      <c r="J14" s="510">
        <f>SUM(J6:J13)</f>
        <v>0</v>
      </c>
      <c r="K14" s="510">
        <f>SUM(K6:K9)+K13</f>
        <v>22874.627698933822</v>
      </c>
      <c r="L14" s="510">
        <f aca="true" t="shared" si="9" ref="L14:AO14">SUM(L6:L9)+L13</f>
        <v>26078.746794572005</v>
      </c>
      <c r="M14" s="510">
        <f t="shared" si="9"/>
        <v>35019.92119427975</v>
      </c>
      <c r="N14" s="510">
        <f t="shared" si="9"/>
        <v>39389.388909438436</v>
      </c>
      <c r="O14" s="510">
        <f t="shared" si="9"/>
        <v>41526.017752722015</v>
      </c>
      <c r="P14" s="510">
        <f t="shared" si="9"/>
        <v>42445.80312514601</v>
      </c>
      <c r="Q14" s="510">
        <f t="shared" si="9"/>
        <v>42313.62540562758</v>
      </c>
      <c r="R14" s="510">
        <f t="shared" si="9"/>
        <v>41242.31373828072</v>
      </c>
      <c r="S14" s="510">
        <f t="shared" si="9"/>
        <v>39820.645583677186</v>
      </c>
      <c r="T14" s="510">
        <f t="shared" si="9"/>
        <v>39311.872599953356</v>
      </c>
      <c r="U14" s="510">
        <f t="shared" si="9"/>
        <v>38629.91050987454</v>
      </c>
      <c r="V14" s="510">
        <f t="shared" si="9"/>
        <v>38353.04371324586</v>
      </c>
      <c r="W14" s="510">
        <f t="shared" si="9"/>
        <v>38505.100913157155</v>
      </c>
      <c r="X14" s="510">
        <f t="shared" si="9"/>
        <v>38566.840455104335</v>
      </c>
      <c r="Y14" s="510">
        <f t="shared" si="9"/>
        <v>38869.9330917114</v>
      </c>
      <c r="Z14" s="510">
        <f t="shared" si="9"/>
        <v>30394.44831314287</v>
      </c>
      <c r="AA14" s="510">
        <f t="shared" si="9"/>
        <v>31356.29648186227</v>
      </c>
      <c r="AB14" s="510">
        <f t="shared" si="9"/>
        <v>32427.34685554535</v>
      </c>
      <c r="AC14" s="510">
        <f t="shared" si="9"/>
        <v>34609.730242525664</v>
      </c>
      <c r="AD14" s="510">
        <f t="shared" si="9"/>
        <v>36364.87343999062</v>
      </c>
      <c r="AE14" s="510">
        <f t="shared" si="9"/>
        <v>38865.013573336124</v>
      </c>
      <c r="AF14" s="510">
        <f t="shared" si="9"/>
        <v>41172.74056599876</v>
      </c>
      <c r="AG14" s="510">
        <f t="shared" si="9"/>
        <v>42811.20117960952</v>
      </c>
      <c r="AH14" s="510">
        <f t="shared" si="9"/>
        <v>43301.30087961687</v>
      </c>
      <c r="AI14" s="510">
        <f t="shared" si="9"/>
        <v>43132.74052285954</v>
      </c>
      <c r="AJ14" s="510">
        <f t="shared" si="9"/>
        <v>0</v>
      </c>
      <c r="AK14" s="441">
        <f t="shared" si="9"/>
        <v>0</v>
      </c>
      <c r="AL14" s="441">
        <f t="shared" si="9"/>
        <v>0</v>
      </c>
      <c r="AM14" s="441">
        <f t="shared" si="9"/>
        <v>0</v>
      </c>
      <c r="AN14" s="441">
        <f t="shared" si="9"/>
        <v>0</v>
      </c>
      <c r="AO14" s="441">
        <f t="shared" si="9"/>
        <v>0</v>
      </c>
    </row>
    <row r="15" spans="1:41" ht="12.75">
      <c r="A15" s="175"/>
      <c r="B15" s="53"/>
      <c r="C15" s="338"/>
      <c r="D15" s="338" t="s">
        <v>516</v>
      </c>
      <c r="E15" s="338"/>
      <c r="F15" s="338"/>
      <c r="G15" s="338"/>
      <c r="H15" s="338"/>
      <c r="I15" s="508">
        <f>SUM(J15:AO15)</f>
        <v>1670</v>
      </c>
      <c r="J15" s="509">
        <v>55.666666666666664</v>
      </c>
      <c r="K15" s="509">
        <v>64.57333333333332</v>
      </c>
      <c r="L15" s="509">
        <v>64.57333333333332</v>
      </c>
      <c r="M15" s="509">
        <v>64.57333333333332</v>
      </c>
      <c r="N15" s="509">
        <v>64.57333333333332</v>
      </c>
      <c r="O15" s="509">
        <v>64.57333333333332</v>
      </c>
      <c r="P15" s="509">
        <v>64.57333333333332</v>
      </c>
      <c r="Q15" s="509">
        <v>64.57333333333332</v>
      </c>
      <c r="R15" s="509">
        <v>64.57333333333332</v>
      </c>
      <c r="S15" s="509">
        <v>64.57333333333332</v>
      </c>
      <c r="T15" s="509">
        <v>64.57333333333332</v>
      </c>
      <c r="U15" s="509">
        <v>64.57333333333332</v>
      </c>
      <c r="V15" s="509">
        <v>64.57333333333332</v>
      </c>
      <c r="W15" s="509">
        <v>64.57333333333332</v>
      </c>
      <c r="X15" s="509">
        <v>64.57333333333332</v>
      </c>
      <c r="Y15" s="509">
        <v>64.57333333333332</v>
      </c>
      <c r="Z15" s="509">
        <v>64.57333333333332</v>
      </c>
      <c r="AA15" s="509">
        <v>64.57333333333332</v>
      </c>
      <c r="AB15" s="509">
        <v>64.57333333333332</v>
      </c>
      <c r="AC15" s="509">
        <v>64.57333333333332</v>
      </c>
      <c r="AD15" s="509">
        <v>64.57333333333332</v>
      </c>
      <c r="AE15" s="509">
        <v>64.57333333333332</v>
      </c>
      <c r="AF15" s="509">
        <v>64.57333333333332</v>
      </c>
      <c r="AG15" s="509">
        <v>64.57333333333332</v>
      </c>
      <c r="AH15" s="509">
        <v>64.57333333333332</v>
      </c>
      <c r="AI15" s="509">
        <v>64.5733333333344</v>
      </c>
      <c r="AJ15" s="509">
        <v>0</v>
      </c>
      <c r="AK15" s="509">
        <v>0</v>
      </c>
      <c r="AL15" s="509">
        <v>0</v>
      </c>
      <c r="AM15" s="509">
        <v>0</v>
      </c>
      <c r="AN15" s="509">
        <v>0</v>
      </c>
      <c r="AO15" s="509">
        <v>0</v>
      </c>
    </row>
    <row r="16" spans="1:41" ht="12.75">
      <c r="A16" s="175"/>
      <c r="B16" s="53"/>
      <c r="C16" s="338"/>
      <c r="D16" s="338"/>
      <c r="E16" s="338" t="s">
        <v>3</v>
      </c>
      <c r="F16" s="338"/>
      <c r="G16" s="338"/>
      <c r="H16" s="338"/>
      <c r="I16" s="507">
        <f t="shared" si="1"/>
        <v>939053.4835402117</v>
      </c>
      <c r="J16" s="441">
        <f aca="true" t="shared" si="10" ref="J16:AO16">J14+J15</f>
        <v>55.666666666666664</v>
      </c>
      <c r="K16" s="441">
        <f t="shared" si="10"/>
        <v>22939.201032267156</v>
      </c>
      <c r="L16" s="441">
        <f t="shared" si="10"/>
        <v>26143.32012790534</v>
      </c>
      <c r="M16" s="441">
        <f t="shared" si="10"/>
        <v>35084.49452761308</v>
      </c>
      <c r="N16" s="441">
        <f t="shared" si="10"/>
        <v>39453.96224277177</v>
      </c>
      <c r="O16" s="441">
        <f t="shared" si="10"/>
        <v>41590.59108605535</v>
      </c>
      <c r="P16" s="441">
        <f t="shared" si="10"/>
        <v>42510.376458479346</v>
      </c>
      <c r="Q16" s="441">
        <f t="shared" si="10"/>
        <v>42378.19873896091</v>
      </c>
      <c r="R16" s="441">
        <f t="shared" si="10"/>
        <v>41306.88707161405</v>
      </c>
      <c r="S16" s="441">
        <f t="shared" si="10"/>
        <v>39885.21891701052</v>
      </c>
      <c r="T16" s="441">
        <f t="shared" si="10"/>
        <v>39376.44593328669</v>
      </c>
      <c r="U16" s="441">
        <f t="shared" si="10"/>
        <v>38694.483843207876</v>
      </c>
      <c r="V16" s="441">
        <f t="shared" si="10"/>
        <v>38417.617046579195</v>
      </c>
      <c r="W16" s="441">
        <f t="shared" si="10"/>
        <v>38569.67424649049</v>
      </c>
      <c r="X16" s="441">
        <f t="shared" si="10"/>
        <v>38631.41378843767</v>
      </c>
      <c r="Y16" s="441">
        <f t="shared" si="10"/>
        <v>38934.50642504473</v>
      </c>
      <c r="Z16" s="441">
        <f t="shared" si="10"/>
        <v>30459.021646476205</v>
      </c>
      <c r="AA16" s="441">
        <f t="shared" si="10"/>
        <v>31420.869815195605</v>
      </c>
      <c r="AB16" s="441">
        <f t="shared" si="10"/>
        <v>32491.920188878685</v>
      </c>
      <c r="AC16" s="441">
        <f t="shared" si="10"/>
        <v>34674.303575859</v>
      </c>
      <c r="AD16" s="441">
        <f t="shared" si="10"/>
        <v>36429.44677332395</v>
      </c>
      <c r="AE16" s="441">
        <f t="shared" si="10"/>
        <v>38929.58690666946</v>
      </c>
      <c r="AF16" s="441">
        <f t="shared" si="10"/>
        <v>41237.3138993321</v>
      </c>
      <c r="AG16" s="441">
        <f t="shared" si="10"/>
        <v>42875.77451294285</v>
      </c>
      <c r="AH16" s="441">
        <f t="shared" si="10"/>
        <v>43365.874212950206</v>
      </c>
      <c r="AI16" s="441">
        <f t="shared" si="10"/>
        <v>43197.31385619287</v>
      </c>
      <c r="AJ16" s="441">
        <f t="shared" si="10"/>
        <v>0</v>
      </c>
      <c r="AK16" s="441">
        <f t="shared" si="10"/>
        <v>0</v>
      </c>
      <c r="AL16" s="441">
        <f t="shared" si="10"/>
        <v>0</v>
      </c>
      <c r="AM16" s="441">
        <f t="shared" si="10"/>
        <v>0</v>
      </c>
      <c r="AN16" s="441">
        <f t="shared" si="10"/>
        <v>0</v>
      </c>
      <c r="AO16" s="441">
        <f t="shared" si="10"/>
        <v>0</v>
      </c>
    </row>
    <row r="17" spans="3:41" ht="12.75">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row>
    <row r="18" spans="3:41" ht="12.75">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row>
    <row r="19" spans="1:41" ht="18">
      <c r="A19" s="781" t="s">
        <v>772</v>
      </c>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row>
    <row r="20" spans="3:41" ht="12.75">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row>
    <row r="21" spans="3:41" ht="15.75">
      <c r="C21" s="436" t="s">
        <v>503</v>
      </c>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row>
    <row r="22" spans="3:41" ht="12.75">
      <c r="C22" s="338"/>
      <c r="D22" s="338"/>
      <c r="E22" s="338"/>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row>
    <row r="23" spans="3:41" ht="12.75">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row>
    <row r="24" spans="4:41" ht="12.75">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row>
    <row r="25" spans="3:41" ht="12.75">
      <c r="C25" s="339"/>
      <c r="D25" s="339"/>
      <c r="E25" s="339"/>
      <c r="F25" s="339"/>
      <c r="G25" s="339" t="s">
        <v>504</v>
      </c>
      <c r="H25" s="106">
        <f>'Tax Depr'!K3</f>
        <v>0</v>
      </c>
      <c r="I25" s="505" t="s">
        <v>455</v>
      </c>
      <c r="J25" s="506">
        <v>1998</v>
      </c>
      <c r="K25" s="338">
        <f aca="true" t="shared" si="11" ref="K25:AO25">J25+1</f>
        <v>1999</v>
      </c>
      <c r="L25" s="338">
        <f t="shared" si="11"/>
        <v>2000</v>
      </c>
      <c r="M25" s="338">
        <f t="shared" si="11"/>
        <v>2001</v>
      </c>
      <c r="N25" s="338">
        <f t="shared" si="11"/>
        <v>2002</v>
      </c>
      <c r="O25" s="338">
        <f t="shared" si="11"/>
        <v>2003</v>
      </c>
      <c r="P25" s="338">
        <f t="shared" si="11"/>
        <v>2004</v>
      </c>
      <c r="Q25" s="338">
        <f t="shared" si="11"/>
        <v>2005</v>
      </c>
      <c r="R25" s="338">
        <f t="shared" si="11"/>
        <v>2006</v>
      </c>
      <c r="S25" s="338">
        <f t="shared" si="11"/>
        <v>2007</v>
      </c>
      <c r="T25" s="338">
        <f t="shared" si="11"/>
        <v>2008</v>
      </c>
      <c r="U25" s="338">
        <f t="shared" si="11"/>
        <v>2009</v>
      </c>
      <c r="V25" s="338">
        <f t="shared" si="11"/>
        <v>2010</v>
      </c>
      <c r="W25" s="338">
        <f t="shared" si="11"/>
        <v>2011</v>
      </c>
      <c r="X25" s="338">
        <f t="shared" si="11"/>
        <v>2012</v>
      </c>
      <c r="Y25" s="338">
        <f t="shared" si="11"/>
        <v>2013</v>
      </c>
      <c r="Z25" s="338">
        <f t="shared" si="11"/>
        <v>2014</v>
      </c>
      <c r="AA25" s="338">
        <f t="shared" si="11"/>
        <v>2015</v>
      </c>
      <c r="AB25" s="338">
        <f t="shared" si="11"/>
        <v>2016</v>
      </c>
      <c r="AC25" s="338">
        <f t="shared" si="11"/>
        <v>2017</v>
      </c>
      <c r="AD25" s="338">
        <f t="shared" si="11"/>
        <v>2018</v>
      </c>
      <c r="AE25" s="338">
        <f t="shared" si="11"/>
        <v>2019</v>
      </c>
      <c r="AF25" s="338">
        <f t="shared" si="11"/>
        <v>2020</v>
      </c>
      <c r="AG25" s="338">
        <f t="shared" si="11"/>
        <v>2021</v>
      </c>
      <c r="AH25" s="338">
        <f t="shared" si="11"/>
        <v>2022</v>
      </c>
      <c r="AI25" s="338">
        <f t="shared" si="11"/>
        <v>2023</v>
      </c>
      <c r="AJ25" s="338">
        <f t="shared" si="11"/>
        <v>2024</v>
      </c>
      <c r="AK25" s="338">
        <f t="shared" si="11"/>
        <v>2025</v>
      </c>
      <c r="AL25" s="338">
        <f t="shared" si="11"/>
        <v>2026</v>
      </c>
      <c r="AM25" s="338">
        <f t="shared" si="11"/>
        <v>2027</v>
      </c>
      <c r="AN25" s="338">
        <f t="shared" si="11"/>
        <v>2028</v>
      </c>
      <c r="AO25" s="338">
        <f t="shared" si="11"/>
        <v>2029</v>
      </c>
    </row>
    <row r="26" spans="3:41" ht="12.75">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row>
    <row r="27" spans="3:41" ht="12.75">
      <c r="C27" s="338"/>
      <c r="D27" s="338"/>
      <c r="E27" s="338" t="s">
        <v>505</v>
      </c>
      <c r="F27" s="338"/>
      <c r="G27" s="338"/>
      <c r="H27" s="338"/>
      <c r="I27" s="437">
        <f>SUM(J27:AO27)</f>
        <v>328892.1518931056</v>
      </c>
      <c r="J27" s="437">
        <f>'Tax Depr'!J9</f>
        <v>0</v>
      </c>
      <c r="K27" s="437">
        <f>'Tax Depr'!K9</f>
        <v>7523.264999999999</v>
      </c>
      <c r="L27" s="437">
        <f>'Tax Depr'!L9</f>
        <v>1781.9</v>
      </c>
      <c r="M27" s="437">
        <f>'Tax Depr'!M9</f>
        <v>148331.00990400207</v>
      </c>
      <c r="N27" s="437">
        <f>'Tax Depr'!N9</f>
        <v>76380.80922806004</v>
      </c>
      <c r="O27" s="437">
        <f>'Tax Depr'!O9</f>
        <v>4976.9999578199995</v>
      </c>
      <c r="P27" s="437">
        <f>'Tax Depr'!P9</f>
        <v>4057.4592600499996</v>
      </c>
      <c r="Q27" s="437">
        <f>'Tax Depr'!Q9</f>
        <v>4179.1830378515</v>
      </c>
      <c r="R27" s="437">
        <f>'Tax Depr'!R9</f>
        <v>4304.558528987045</v>
      </c>
      <c r="S27" s="437">
        <f>'Tax Depr'!S9</f>
        <v>4433.695284856656</v>
      </c>
      <c r="T27" s="437">
        <f>'Tax Depr'!T9</f>
        <v>4566.706143402355</v>
      </c>
      <c r="U27" s="437">
        <f>'Tax Depr'!U9</f>
        <v>4703.7073277044265</v>
      </c>
      <c r="V27" s="437">
        <f>'Tax Depr'!V9</f>
        <v>4844.818547535559</v>
      </c>
      <c r="W27" s="437">
        <f>'Tax Depr'!W9</f>
        <v>4990.163103961625</v>
      </c>
      <c r="X27" s="437">
        <f>'Tax Depr'!X9</f>
        <v>5139.867997080473</v>
      </c>
      <c r="Y27" s="437">
        <f>'Tax Depr'!Y9</f>
        <v>5294.064036992889</v>
      </c>
      <c r="Z27" s="437">
        <f>'Tax Depr'!Z9</f>
        <v>5452.885958102675</v>
      </c>
      <c r="AA27" s="437">
        <f>'Tax Depr'!AA9</f>
        <v>5616.472536845755</v>
      </c>
      <c r="AB27" s="437">
        <f>'Tax Depr'!AB9</f>
        <v>5784.966712951127</v>
      </c>
      <c r="AC27" s="437">
        <f>'Tax Depr'!AC9</f>
        <v>5958.515714339661</v>
      </c>
      <c r="AD27" s="437">
        <f>'Tax Depr'!AD9</f>
        <v>6137.271185769851</v>
      </c>
      <c r="AE27" s="437">
        <f>'Tax Depr'!AE9</f>
        <v>6321.3893213429465</v>
      </c>
      <c r="AF27" s="437">
        <f>'Tax Depr'!AF9</f>
        <v>4883.273250737426</v>
      </c>
      <c r="AG27" s="437">
        <f>'Tax Depr'!AG9</f>
        <v>2514.885724129774</v>
      </c>
      <c r="AH27" s="437">
        <f>'Tax Depr'!AH9</f>
        <v>647.5830739634168</v>
      </c>
      <c r="AI27" s="437">
        <f>'Tax Depr'!AI9</f>
        <v>66.70105661823195</v>
      </c>
      <c r="AJ27" s="437">
        <f>'Tax Depr'!AJ9</f>
        <v>0</v>
      </c>
      <c r="AK27" s="437">
        <f>'Tax Depr'!AK9</f>
        <v>0</v>
      </c>
      <c r="AL27" s="437">
        <f>'Tax Depr'!AL9</f>
        <v>0</v>
      </c>
      <c r="AM27" s="437">
        <f>'Tax Depr'!AM9</f>
        <v>0</v>
      </c>
      <c r="AN27" s="437">
        <f>'Tax Depr'!AN9</f>
        <v>0</v>
      </c>
      <c r="AO27" s="437">
        <f>'Tax Depr'!AO9</f>
        <v>0</v>
      </c>
    </row>
    <row r="28" spans="3:41" ht="12.75">
      <c r="C28" s="338"/>
      <c r="D28" s="338"/>
      <c r="E28" s="338" t="s">
        <v>506</v>
      </c>
      <c r="F28" s="338"/>
      <c r="G28" s="338"/>
      <c r="H28" s="338"/>
      <c r="I28" s="437">
        <f>SUM(J28:AO28)</f>
        <v>15856.641099541186</v>
      </c>
      <c r="J28" s="441">
        <v>0</v>
      </c>
      <c r="K28" s="441">
        <v>464.3245134324043</v>
      </c>
      <c r="L28" s="441">
        <v>3505.538815731841</v>
      </c>
      <c r="M28" s="441">
        <v>8070.413433978659</v>
      </c>
      <c r="N28" s="441">
        <v>3483.7732926516455</v>
      </c>
      <c r="O28" s="441">
        <v>332.59104374663616</v>
      </c>
      <c r="P28" s="441">
        <v>0</v>
      </c>
      <c r="Q28" s="441">
        <v>0</v>
      </c>
      <c r="R28" s="441">
        <v>0</v>
      </c>
      <c r="S28" s="441">
        <v>0</v>
      </c>
      <c r="T28" s="441">
        <v>0</v>
      </c>
      <c r="U28" s="441">
        <v>0</v>
      </c>
      <c r="V28" s="441">
        <v>0</v>
      </c>
      <c r="W28" s="441">
        <v>0</v>
      </c>
      <c r="X28" s="441">
        <v>0</v>
      </c>
      <c r="Y28" s="441">
        <v>0</v>
      </c>
      <c r="Z28" s="441">
        <v>0</v>
      </c>
      <c r="AA28" s="441">
        <v>0</v>
      </c>
      <c r="AB28" s="441">
        <v>0</v>
      </c>
      <c r="AC28" s="441">
        <v>0</v>
      </c>
      <c r="AD28" s="441">
        <v>0</v>
      </c>
      <c r="AE28" s="441">
        <v>0</v>
      </c>
      <c r="AF28" s="441">
        <v>0</v>
      </c>
      <c r="AG28" s="441">
        <v>0</v>
      </c>
      <c r="AH28" s="441">
        <v>0</v>
      </c>
      <c r="AI28" s="441">
        <v>0</v>
      </c>
      <c r="AJ28" s="441">
        <v>0</v>
      </c>
      <c r="AK28" s="441">
        <v>0</v>
      </c>
      <c r="AL28" s="441">
        <v>0</v>
      </c>
      <c r="AM28" s="441">
        <v>0</v>
      </c>
      <c r="AN28" s="441">
        <v>0</v>
      </c>
      <c r="AO28" s="441">
        <v>0</v>
      </c>
    </row>
    <row r="29" spans="3:41" ht="12.75">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row>
    <row r="30" spans="3:41" ht="12.75">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row>
    <row r="31" spans="3:41" ht="12.75">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row>
    <row r="32" spans="3:41" ht="12.75">
      <c r="C32" s="338"/>
      <c r="D32" s="338"/>
      <c r="E32" s="338"/>
      <c r="F32" s="338"/>
      <c r="G32" s="338"/>
      <c r="H32" s="338"/>
      <c r="I32" s="338"/>
      <c r="J32" s="338"/>
      <c r="K32" s="338"/>
      <c r="L32" s="338"/>
      <c r="M32" s="338"/>
      <c r="N32" s="439"/>
      <c r="O32" s="439"/>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row>
    <row r="33" spans="3:41" ht="12.75">
      <c r="C33" s="338"/>
      <c r="D33" s="338"/>
      <c r="E33" s="338"/>
      <c r="F33" s="338"/>
      <c r="G33" s="338"/>
      <c r="H33" s="506">
        <f>$J$25</f>
        <v>1998</v>
      </c>
      <c r="I33" s="438">
        <f aca="true" t="shared" si="12" ref="I33:I64">SUM(J33:AO33)</f>
        <v>1</v>
      </c>
      <c r="J33" s="439">
        <f>1/26</f>
        <v>0.038461538461538464</v>
      </c>
      <c r="K33" s="439">
        <f>1/26</f>
        <v>0.038461538461538464</v>
      </c>
      <c r="L33" s="439">
        <f>1/26</f>
        <v>0.038461538461538464</v>
      </c>
      <c r="M33" s="439">
        <f>1/26</f>
        <v>0.038461538461538464</v>
      </c>
      <c r="N33" s="439">
        <f>IF($H$25=1,(1-SUM($J$33:$M$33))/10,1/26)</f>
        <v>0.038461538461538464</v>
      </c>
      <c r="O33" s="439">
        <f aca="true" t="shared" si="13" ref="O33:W33">IF($H$25=1,(1-SUM($J$33:$M$33))/10,1/26)</f>
        <v>0.038461538461538464</v>
      </c>
      <c r="P33" s="439">
        <f t="shared" si="13"/>
        <v>0.038461538461538464</v>
      </c>
      <c r="Q33" s="439">
        <f t="shared" si="13"/>
        <v>0.038461538461538464</v>
      </c>
      <c r="R33" s="439">
        <f t="shared" si="13"/>
        <v>0.038461538461538464</v>
      </c>
      <c r="S33" s="439">
        <f t="shared" si="13"/>
        <v>0.038461538461538464</v>
      </c>
      <c r="T33" s="439">
        <f t="shared" si="13"/>
        <v>0.038461538461538464</v>
      </c>
      <c r="U33" s="439">
        <f t="shared" si="13"/>
        <v>0.038461538461538464</v>
      </c>
      <c r="V33" s="439">
        <f t="shared" si="13"/>
        <v>0.038461538461538464</v>
      </c>
      <c r="W33" s="439">
        <f t="shared" si="13"/>
        <v>0.038461538461538464</v>
      </c>
      <c r="X33" s="439">
        <f aca="true" t="shared" si="14" ref="X33:AH33">IF($H$25=1,0,1/26)</f>
        <v>0.038461538461538464</v>
      </c>
      <c r="Y33" s="439">
        <f t="shared" si="14"/>
        <v>0.038461538461538464</v>
      </c>
      <c r="Z33" s="439">
        <f t="shared" si="14"/>
        <v>0.038461538461538464</v>
      </c>
      <c r="AA33" s="439">
        <f t="shared" si="14"/>
        <v>0.038461538461538464</v>
      </c>
      <c r="AB33" s="439">
        <f t="shared" si="14"/>
        <v>0.038461538461538464</v>
      </c>
      <c r="AC33" s="439">
        <f t="shared" si="14"/>
        <v>0.038461538461538464</v>
      </c>
      <c r="AD33" s="439">
        <f t="shared" si="14"/>
        <v>0.038461538461538464</v>
      </c>
      <c r="AE33" s="439">
        <f t="shared" si="14"/>
        <v>0.038461538461538464</v>
      </c>
      <c r="AF33" s="439">
        <f t="shared" si="14"/>
        <v>0.038461538461538464</v>
      </c>
      <c r="AG33" s="439">
        <f t="shared" si="14"/>
        <v>0.038461538461538464</v>
      </c>
      <c r="AH33" s="439">
        <f t="shared" si="14"/>
        <v>0.038461538461538464</v>
      </c>
      <c r="AI33" s="439">
        <f>1-SUM($J33:AH33)</f>
        <v>0.03846153846153888</v>
      </c>
      <c r="AJ33" s="439"/>
      <c r="AK33" s="439"/>
      <c r="AL33" s="439"/>
      <c r="AM33" s="439"/>
      <c r="AN33" s="439"/>
      <c r="AO33" s="439"/>
    </row>
    <row r="34" spans="3:41" ht="12.75">
      <c r="C34" s="338"/>
      <c r="D34" s="338"/>
      <c r="E34" s="338"/>
      <c r="F34" s="338"/>
      <c r="G34" s="338"/>
      <c r="H34" s="338">
        <f aca="true" t="shared" si="15" ref="H34:H64">H33+1</f>
        <v>1999</v>
      </c>
      <c r="I34" s="438">
        <f t="shared" si="12"/>
        <v>1</v>
      </c>
      <c r="J34" s="439"/>
      <c r="K34" s="439">
        <f>1/25</f>
        <v>0.04</v>
      </c>
      <c r="L34" s="439">
        <f>1/25</f>
        <v>0.04</v>
      </c>
      <c r="M34" s="439">
        <f>1/25</f>
        <v>0.04</v>
      </c>
      <c r="N34" s="439">
        <f>IF($H$25=1,(1-SUM($K$34:$M$34))/10,1/25)</f>
        <v>0.04</v>
      </c>
      <c r="O34" s="439">
        <f aca="true" t="shared" si="16" ref="O34:W34">IF($H$25=1,(1-SUM($K$34:$M$34))/10,1/25)</f>
        <v>0.04</v>
      </c>
      <c r="P34" s="439">
        <f t="shared" si="16"/>
        <v>0.04</v>
      </c>
      <c r="Q34" s="439">
        <f t="shared" si="16"/>
        <v>0.04</v>
      </c>
      <c r="R34" s="439">
        <f t="shared" si="16"/>
        <v>0.04</v>
      </c>
      <c r="S34" s="439">
        <f t="shared" si="16"/>
        <v>0.04</v>
      </c>
      <c r="T34" s="439">
        <f t="shared" si="16"/>
        <v>0.04</v>
      </c>
      <c r="U34" s="439">
        <f t="shared" si="16"/>
        <v>0.04</v>
      </c>
      <c r="V34" s="439">
        <f t="shared" si="16"/>
        <v>0.04</v>
      </c>
      <c r="W34" s="439">
        <f t="shared" si="16"/>
        <v>0.04</v>
      </c>
      <c r="X34" s="439">
        <f aca="true" t="shared" si="17" ref="X34:AH34">IF($H$25=1,0,1/25)</f>
        <v>0.04</v>
      </c>
      <c r="Y34" s="439">
        <f t="shared" si="17"/>
        <v>0.04</v>
      </c>
      <c r="Z34" s="439">
        <f t="shared" si="17"/>
        <v>0.04</v>
      </c>
      <c r="AA34" s="439">
        <f t="shared" si="17"/>
        <v>0.04</v>
      </c>
      <c r="AB34" s="439">
        <f t="shared" si="17"/>
        <v>0.04</v>
      </c>
      <c r="AC34" s="439">
        <f t="shared" si="17"/>
        <v>0.04</v>
      </c>
      <c r="AD34" s="439">
        <f t="shared" si="17"/>
        <v>0.04</v>
      </c>
      <c r="AE34" s="439">
        <f t="shared" si="17"/>
        <v>0.04</v>
      </c>
      <c r="AF34" s="439">
        <f t="shared" si="17"/>
        <v>0.04</v>
      </c>
      <c r="AG34" s="439">
        <f t="shared" si="17"/>
        <v>0.04</v>
      </c>
      <c r="AH34" s="439">
        <f t="shared" si="17"/>
        <v>0.04</v>
      </c>
      <c r="AI34" s="439">
        <f>1-SUM($J34:AH34)</f>
        <v>0.0399999999999997</v>
      </c>
      <c r="AJ34" s="439"/>
      <c r="AK34" s="439"/>
      <c r="AL34" s="439"/>
      <c r="AM34" s="439"/>
      <c r="AN34" s="439"/>
      <c r="AO34" s="439"/>
    </row>
    <row r="35" spans="3:41" ht="12.75">
      <c r="C35" s="338"/>
      <c r="D35" s="338"/>
      <c r="E35" s="338"/>
      <c r="F35" s="338"/>
      <c r="G35" s="338"/>
      <c r="H35" s="338">
        <f t="shared" si="15"/>
        <v>2000</v>
      </c>
      <c r="I35" s="438">
        <f t="shared" si="12"/>
        <v>1</v>
      </c>
      <c r="J35" s="439"/>
      <c r="K35" s="439"/>
      <c r="L35" s="439">
        <f>1/24</f>
        <v>0.041666666666666664</v>
      </c>
      <c r="M35" s="439">
        <f>1/24</f>
        <v>0.041666666666666664</v>
      </c>
      <c r="N35" s="439">
        <f>IF($H$25=1,(1-SUM($L35:$M35))/10,1/24)</f>
        <v>0.041666666666666664</v>
      </c>
      <c r="O35" s="439">
        <f aca="true" t="shared" si="18" ref="O35:W35">IF($H$25=1,(1-SUM($L$35:$M$35))/10,1/24)</f>
        <v>0.041666666666666664</v>
      </c>
      <c r="P35" s="439">
        <f t="shared" si="18"/>
        <v>0.041666666666666664</v>
      </c>
      <c r="Q35" s="439">
        <f t="shared" si="18"/>
        <v>0.041666666666666664</v>
      </c>
      <c r="R35" s="439">
        <f t="shared" si="18"/>
        <v>0.041666666666666664</v>
      </c>
      <c r="S35" s="439">
        <f t="shared" si="18"/>
        <v>0.041666666666666664</v>
      </c>
      <c r="T35" s="439">
        <f t="shared" si="18"/>
        <v>0.041666666666666664</v>
      </c>
      <c r="U35" s="439">
        <f t="shared" si="18"/>
        <v>0.041666666666666664</v>
      </c>
      <c r="V35" s="439">
        <f t="shared" si="18"/>
        <v>0.041666666666666664</v>
      </c>
      <c r="W35" s="439">
        <f t="shared" si="18"/>
        <v>0.041666666666666664</v>
      </c>
      <c r="X35" s="439">
        <f aca="true" t="shared" si="19" ref="X35:AH35">IF($H$25=1,0,1/24)</f>
        <v>0.041666666666666664</v>
      </c>
      <c r="Y35" s="439">
        <f t="shared" si="19"/>
        <v>0.041666666666666664</v>
      </c>
      <c r="Z35" s="439">
        <f t="shared" si="19"/>
        <v>0.041666666666666664</v>
      </c>
      <c r="AA35" s="439">
        <f t="shared" si="19"/>
        <v>0.041666666666666664</v>
      </c>
      <c r="AB35" s="439">
        <f t="shared" si="19"/>
        <v>0.041666666666666664</v>
      </c>
      <c r="AC35" s="439">
        <f t="shared" si="19"/>
        <v>0.041666666666666664</v>
      </c>
      <c r="AD35" s="439">
        <f t="shared" si="19"/>
        <v>0.041666666666666664</v>
      </c>
      <c r="AE35" s="439">
        <f t="shared" si="19"/>
        <v>0.041666666666666664</v>
      </c>
      <c r="AF35" s="439">
        <f t="shared" si="19"/>
        <v>0.041666666666666664</v>
      </c>
      <c r="AG35" s="439">
        <f t="shared" si="19"/>
        <v>0.041666666666666664</v>
      </c>
      <c r="AH35" s="439">
        <f t="shared" si="19"/>
        <v>0.041666666666666664</v>
      </c>
      <c r="AI35" s="439">
        <f>1-SUM($J35:AH35)</f>
        <v>0.041666666666667074</v>
      </c>
      <c r="AJ35" s="439"/>
      <c r="AK35" s="439"/>
      <c r="AL35" s="439"/>
      <c r="AM35" s="439"/>
      <c r="AN35" s="439"/>
      <c r="AO35" s="439"/>
    </row>
    <row r="36" spans="3:41" ht="12.75">
      <c r="C36" s="338"/>
      <c r="D36" s="338"/>
      <c r="E36" s="338"/>
      <c r="F36" s="338"/>
      <c r="G36" s="338"/>
      <c r="H36" s="338">
        <f t="shared" si="15"/>
        <v>2001</v>
      </c>
      <c r="I36" s="438">
        <f t="shared" si="12"/>
        <v>1</v>
      </c>
      <c r="J36" s="439"/>
      <c r="K36" s="439"/>
      <c r="L36" s="439"/>
      <c r="M36" s="439">
        <f>1/23</f>
        <v>0.043478260869565216</v>
      </c>
      <c r="N36" s="439">
        <f>IF($H$25=1,(1-SUM($M36:$M36))/10,1/23)</f>
        <v>0.043478260869565216</v>
      </c>
      <c r="O36" s="439">
        <f aca="true" t="shared" si="20" ref="O36:W36">IF($H$25=1,(1-SUM($M36:$M36))/10,1/23)</f>
        <v>0.043478260869565216</v>
      </c>
      <c r="P36" s="439">
        <f t="shared" si="20"/>
        <v>0.043478260869565216</v>
      </c>
      <c r="Q36" s="439">
        <f t="shared" si="20"/>
        <v>0.043478260869565216</v>
      </c>
      <c r="R36" s="439">
        <f t="shared" si="20"/>
        <v>0.043478260869565216</v>
      </c>
      <c r="S36" s="439">
        <f t="shared" si="20"/>
        <v>0.043478260869565216</v>
      </c>
      <c r="T36" s="439">
        <f t="shared" si="20"/>
        <v>0.043478260869565216</v>
      </c>
      <c r="U36" s="439">
        <f t="shared" si="20"/>
        <v>0.043478260869565216</v>
      </c>
      <c r="V36" s="439">
        <f t="shared" si="20"/>
        <v>0.043478260869565216</v>
      </c>
      <c r="W36" s="439">
        <f t="shared" si="20"/>
        <v>0.043478260869565216</v>
      </c>
      <c r="X36" s="439">
        <f aca="true" t="shared" si="21" ref="X36:AH36">IF($H$25=1,0,1/23)</f>
        <v>0.043478260869565216</v>
      </c>
      <c r="Y36" s="439">
        <f t="shared" si="21"/>
        <v>0.043478260869565216</v>
      </c>
      <c r="Z36" s="439">
        <f t="shared" si="21"/>
        <v>0.043478260869565216</v>
      </c>
      <c r="AA36" s="439">
        <f t="shared" si="21"/>
        <v>0.043478260869565216</v>
      </c>
      <c r="AB36" s="439">
        <f t="shared" si="21"/>
        <v>0.043478260869565216</v>
      </c>
      <c r="AC36" s="439">
        <f t="shared" si="21"/>
        <v>0.043478260869565216</v>
      </c>
      <c r="AD36" s="439">
        <f t="shared" si="21"/>
        <v>0.043478260869565216</v>
      </c>
      <c r="AE36" s="439">
        <f t="shared" si="21"/>
        <v>0.043478260869565216</v>
      </c>
      <c r="AF36" s="439">
        <f t="shared" si="21"/>
        <v>0.043478260869565216</v>
      </c>
      <c r="AG36" s="439">
        <f t="shared" si="21"/>
        <v>0.043478260869565216</v>
      </c>
      <c r="AH36" s="439">
        <f t="shared" si="21"/>
        <v>0.043478260869565216</v>
      </c>
      <c r="AI36" s="439">
        <f>1-SUM($J36:AH36)</f>
        <v>0.04347826086956563</v>
      </c>
      <c r="AJ36" s="439"/>
      <c r="AK36" s="439"/>
      <c r="AL36" s="439"/>
      <c r="AM36" s="439"/>
      <c r="AN36" s="439"/>
      <c r="AO36" s="439"/>
    </row>
    <row r="37" spans="3:41" ht="12.75">
      <c r="C37" s="338"/>
      <c r="D37" s="338"/>
      <c r="E37" s="338"/>
      <c r="F37" s="338"/>
      <c r="G37" s="338"/>
      <c r="H37" s="338">
        <f t="shared" si="15"/>
        <v>2002</v>
      </c>
      <c r="I37" s="438">
        <f t="shared" si="12"/>
        <v>1</v>
      </c>
      <c r="J37" s="439"/>
      <c r="K37" s="439"/>
      <c r="L37" s="439"/>
      <c r="M37" s="439"/>
      <c r="N37" s="439">
        <f>IF($H$25=1,0,1/22)</f>
        <v>0.045454545454545456</v>
      </c>
      <c r="O37" s="439">
        <f aca="true" t="shared" si="22" ref="O37:AH37">IF($H$25=1,0,1/22)</f>
        <v>0.045454545454545456</v>
      </c>
      <c r="P37" s="439">
        <f t="shared" si="22"/>
        <v>0.045454545454545456</v>
      </c>
      <c r="Q37" s="439">
        <f t="shared" si="22"/>
        <v>0.045454545454545456</v>
      </c>
      <c r="R37" s="439">
        <f t="shared" si="22"/>
        <v>0.045454545454545456</v>
      </c>
      <c r="S37" s="439">
        <f t="shared" si="22"/>
        <v>0.045454545454545456</v>
      </c>
      <c r="T37" s="439">
        <f t="shared" si="22"/>
        <v>0.045454545454545456</v>
      </c>
      <c r="U37" s="439">
        <f t="shared" si="22"/>
        <v>0.045454545454545456</v>
      </c>
      <c r="V37" s="439">
        <f t="shared" si="22"/>
        <v>0.045454545454545456</v>
      </c>
      <c r="W37" s="439">
        <f t="shared" si="22"/>
        <v>0.045454545454545456</v>
      </c>
      <c r="X37" s="439">
        <f t="shared" si="22"/>
        <v>0.045454545454545456</v>
      </c>
      <c r="Y37" s="439">
        <f t="shared" si="22"/>
        <v>0.045454545454545456</v>
      </c>
      <c r="Z37" s="439">
        <f t="shared" si="22"/>
        <v>0.045454545454545456</v>
      </c>
      <c r="AA37" s="439">
        <f t="shared" si="22"/>
        <v>0.045454545454545456</v>
      </c>
      <c r="AB37" s="439">
        <f t="shared" si="22"/>
        <v>0.045454545454545456</v>
      </c>
      <c r="AC37" s="439">
        <f t="shared" si="22"/>
        <v>0.045454545454545456</v>
      </c>
      <c r="AD37" s="439">
        <f t="shared" si="22"/>
        <v>0.045454545454545456</v>
      </c>
      <c r="AE37" s="439">
        <f t="shared" si="22"/>
        <v>0.045454545454545456</v>
      </c>
      <c r="AF37" s="439">
        <f t="shared" si="22"/>
        <v>0.045454545454545456</v>
      </c>
      <c r="AG37" s="439">
        <f t="shared" si="22"/>
        <v>0.045454545454545456</v>
      </c>
      <c r="AH37" s="439">
        <f t="shared" si="22"/>
        <v>0.045454545454545456</v>
      </c>
      <c r="AI37" s="439">
        <f>1-SUM($J37:AH37)</f>
        <v>0.04545454545454575</v>
      </c>
      <c r="AJ37" s="439"/>
      <c r="AK37" s="439"/>
      <c r="AL37" s="439"/>
      <c r="AM37" s="439"/>
      <c r="AN37" s="439"/>
      <c r="AO37" s="439"/>
    </row>
    <row r="38" spans="3:41" ht="12.75">
      <c r="C38" s="338"/>
      <c r="D38" s="338"/>
      <c r="E38" s="338"/>
      <c r="F38" s="338"/>
      <c r="G38" s="338"/>
      <c r="H38" s="338">
        <f t="shared" si="15"/>
        <v>2003</v>
      </c>
      <c r="I38" s="438">
        <f t="shared" si="12"/>
        <v>1</v>
      </c>
      <c r="J38" s="439"/>
      <c r="K38" s="439"/>
      <c r="L38" s="439"/>
      <c r="M38" s="439"/>
      <c r="N38" s="439"/>
      <c r="O38" s="439">
        <f>IF($H$25=1,0,1/21)</f>
        <v>0.047619047619047616</v>
      </c>
      <c r="P38" s="439">
        <f aca="true" t="shared" si="23" ref="P38:AH38">IF($H$25=1,0,1/21)</f>
        <v>0.047619047619047616</v>
      </c>
      <c r="Q38" s="439">
        <f t="shared" si="23"/>
        <v>0.047619047619047616</v>
      </c>
      <c r="R38" s="439">
        <f t="shared" si="23"/>
        <v>0.047619047619047616</v>
      </c>
      <c r="S38" s="439">
        <f t="shared" si="23"/>
        <v>0.047619047619047616</v>
      </c>
      <c r="T38" s="439">
        <f t="shared" si="23"/>
        <v>0.047619047619047616</v>
      </c>
      <c r="U38" s="439">
        <f t="shared" si="23"/>
        <v>0.047619047619047616</v>
      </c>
      <c r="V38" s="439">
        <f t="shared" si="23"/>
        <v>0.047619047619047616</v>
      </c>
      <c r="W38" s="439">
        <f t="shared" si="23"/>
        <v>0.047619047619047616</v>
      </c>
      <c r="X38" s="439">
        <f t="shared" si="23"/>
        <v>0.047619047619047616</v>
      </c>
      <c r="Y38" s="439">
        <f t="shared" si="23"/>
        <v>0.047619047619047616</v>
      </c>
      <c r="Z38" s="439">
        <f t="shared" si="23"/>
        <v>0.047619047619047616</v>
      </c>
      <c r="AA38" s="439">
        <f t="shared" si="23"/>
        <v>0.047619047619047616</v>
      </c>
      <c r="AB38" s="439">
        <f t="shared" si="23"/>
        <v>0.047619047619047616</v>
      </c>
      <c r="AC38" s="439">
        <f t="shared" si="23"/>
        <v>0.047619047619047616</v>
      </c>
      <c r="AD38" s="439">
        <f t="shared" si="23"/>
        <v>0.047619047619047616</v>
      </c>
      <c r="AE38" s="439">
        <f t="shared" si="23"/>
        <v>0.047619047619047616</v>
      </c>
      <c r="AF38" s="439">
        <f t="shared" si="23"/>
        <v>0.047619047619047616</v>
      </c>
      <c r="AG38" s="439">
        <f t="shared" si="23"/>
        <v>0.047619047619047616</v>
      </c>
      <c r="AH38" s="439">
        <f t="shared" si="23"/>
        <v>0.047619047619047616</v>
      </c>
      <c r="AI38" s="439">
        <f>1-SUM($J38:AH38)</f>
        <v>0.04761904761904723</v>
      </c>
      <c r="AJ38" s="439"/>
      <c r="AK38" s="439"/>
      <c r="AL38" s="439"/>
      <c r="AM38" s="439"/>
      <c r="AN38" s="439"/>
      <c r="AO38" s="439"/>
    </row>
    <row r="39" spans="3:41" ht="12.75">
      <c r="C39" s="338"/>
      <c r="D39" s="338"/>
      <c r="E39" s="338"/>
      <c r="F39" s="338"/>
      <c r="G39" s="338"/>
      <c r="H39" s="338">
        <f t="shared" si="15"/>
        <v>2004</v>
      </c>
      <c r="I39" s="438">
        <f t="shared" si="12"/>
        <v>1</v>
      </c>
      <c r="J39" s="439"/>
      <c r="K39" s="439"/>
      <c r="L39" s="439"/>
      <c r="M39" s="439"/>
      <c r="N39" s="439"/>
      <c r="O39" s="439"/>
      <c r="P39" s="439">
        <f>IF($H$25=1,0,1/20)</f>
        <v>0.05</v>
      </c>
      <c r="Q39" s="439">
        <f aca="true" t="shared" si="24" ref="Q39:AH39">IF($H$25=1,0,1/20)</f>
        <v>0.05</v>
      </c>
      <c r="R39" s="439">
        <f t="shared" si="24"/>
        <v>0.05</v>
      </c>
      <c r="S39" s="439">
        <f t="shared" si="24"/>
        <v>0.05</v>
      </c>
      <c r="T39" s="439">
        <f t="shared" si="24"/>
        <v>0.05</v>
      </c>
      <c r="U39" s="439">
        <f t="shared" si="24"/>
        <v>0.05</v>
      </c>
      <c r="V39" s="439">
        <f t="shared" si="24"/>
        <v>0.05</v>
      </c>
      <c r="W39" s="439">
        <f t="shared" si="24"/>
        <v>0.05</v>
      </c>
      <c r="X39" s="439">
        <f t="shared" si="24"/>
        <v>0.05</v>
      </c>
      <c r="Y39" s="439">
        <f t="shared" si="24"/>
        <v>0.05</v>
      </c>
      <c r="Z39" s="439">
        <f t="shared" si="24"/>
        <v>0.05</v>
      </c>
      <c r="AA39" s="439">
        <f t="shared" si="24"/>
        <v>0.05</v>
      </c>
      <c r="AB39" s="439">
        <f t="shared" si="24"/>
        <v>0.05</v>
      </c>
      <c r="AC39" s="439">
        <f t="shared" si="24"/>
        <v>0.05</v>
      </c>
      <c r="AD39" s="439">
        <f t="shared" si="24"/>
        <v>0.05</v>
      </c>
      <c r="AE39" s="439">
        <f t="shared" si="24"/>
        <v>0.05</v>
      </c>
      <c r="AF39" s="439">
        <f t="shared" si="24"/>
        <v>0.05</v>
      </c>
      <c r="AG39" s="439">
        <f t="shared" si="24"/>
        <v>0.05</v>
      </c>
      <c r="AH39" s="439">
        <f t="shared" si="24"/>
        <v>0.05</v>
      </c>
      <c r="AI39" s="439">
        <f>1-SUM($J39:AH39)</f>
        <v>0.04999999999999971</v>
      </c>
      <c r="AJ39" s="439"/>
      <c r="AK39" s="439"/>
      <c r="AL39" s="439"/>
      <c r="AM39" s="439"/>
      <c r="AN39" s="439"/>
      <c r="AO39" s="439"/>
    </row>
    <row r="40" spans="3:41" ht="12.75">
      <c r="C40" s="338"/>
      <c r="D40" s="338"/>
      <c r="E40" s="338"/>
      <c r="F40" s="338"/>
      <c r="G40" s="338"/>
      <c r="H40" s="338">
        <f t="shared" si="15"/>
        <v>2005</v>
      </c>
      <c r="I40" s="438">
        <f t="shared" si="12"/>
        <v>1</v>
      </c>
      <c r="J40" s="439"/>
      <c r="K40" s="439"/>
      <c r="L40" s="439"/>
      <c r="M40" s="439"/>
      <c r="N40" s="439"/>
      <c r="O40" s="439"/>
      <c r="P40" s="439"/>
      <c r="Q40" s="439">
        <f>IF($H$25=1,0,1/19)</f>
        <v>0.05263157894736842</v>
      </c>
      <c r="R40" s="439">
        <f aca="true" t="shared" si="25" ref="R40:AH40">IF($H$25=1,0,1/19)</f>
        <v>0.05263157894736842</v>
      </c>
      <c r="S40" s="439">
        <f t="shared" si="25"/>
        <v>0.05263157894736842</v>
      </c>
      <c r="T40" s="439">
        <f t="shared" si="25"/>
        <v>0.05263157894736842</v>
      </c>
      <c r="U40" s="439">
        <f t="shared" si="25"/>
        <v>0.05263157894736842</v>
      </c>
      <c r="V40" s="439">
        <f t="shared" si="25"/>
        <v>0.05263157894736842</v>
      </c>
      <c r="W40" s="439">
        <f t="shared" si="25"/>
        <v>0.05263157894736842</v>
      </c>
      <c r="X40" s="439">
        <f t="shared" si="25"/>
        <v>0.05263157894736842</v>
      </c>
      <c r="Y40" s="439">
        <f t="shared" si="25"/>
        <v>0.05263157894736842</v>
      </c>
      <c r="Z40" s="439">
        <f t="shared" si="25"/>
        <v>0.05263157894736842</v>
      </c>
      <c r="AA40" s="439">
        <f t="shared" si="25"/>
        <v>0.05263157894736842</v>
      </c>
      <c r="AB40" s="439">
        <f t="shared" si="25"/>
        <v>0.05263157894736842</v>
      </c>
      <c r="AC40" s="439">
        <f t="shared" si="25"/>
        <v>0.05263157894736842</v>
      </c>
      <c r="AD40" s="439">
        <f t="shared" si="25"/>
        <v>0.05263157894736842</v>
      </c>
      <c r="AE40" s="439">
        <f t="shared" si="25"/>
        <v>0.05263157894736842</v>
      </c>
      <c r="AF40" s="439">
        <f t="shared" si="25"/>
        <v>0.05263157894736842</v>
      </c>
      <c r="AG40" s="439">
        <f t="shared" si="25"/>
        <v>0.05263157894736842</v>
      </c>
      <c r="AH40" s="439">
        <f t="shared" si="25"/>
        <v>0.05263157894736842</v>
      </c>
      <c r="AI40" s="439">
        <f>1-SUM($J40:AH40)</f>
        <v>0.05263157894736881</v>
      </c>
      <c r="AJ40" s="439"/>
      <c r="AK40" s="439"/>
      <c r="AL40" s="439"/>
      <c r="AM40" s="439"/>
      <c r="AN40" s="439"/>
      <c r="AO40" s="439"/>
    </row>
    <row r="41" spans="3:41" ht="12.75">
      <c r="C41" s="338"/>
      <c r="D41" s="338"/>
      <c r="E41" s="338"/>
      <c r="F41" s="338"/>
      <c r="G41" s="338"/>
      <c r="H41" s="338">
        <f t="shared" si="15"/>
        <v>2006</v>
      </c>
      <c r="I41" s="438">
        <f t="shared" si="12"/>
        <v>1</v>
      </c>
      <c r="J41" s="439"/>
      <c r="K41" s="439"/>
      <c r="L41" s="439"/>
      <c r="M41" s="439"/>
      <c r="N41" s="439"/>
      <c r="O41" s="439"/>
      <c r="P41" s="439"/>
      <c r="Q41" s="439"/>
      <c r="R41" s="439">
        <f>IF($H$25=1,0,1/18)</f>
        <v>0.05555555555555555</v>
      </c>
      <c r="S41" s="439">
        <f>IF($H$25=1,0,1/18)</f>
        <v>0.05555555555555555</v>
      </c>
      <c r="T41" s="439">
        <f aca="true" t="shared" si="26" ref="T41:AH41">IF($H$25=1,0,1/18)</f>
        <v>0.05555555555555555</v>
      </c>
      <c r="U41" s="439">
        <f t="shared" si="26"/>
        <v>0.05555555555555555</v>
      </c>
      <c r="V41" s="439">
        <f t="shared" si="26"/>
        <v>0.05555555555555555</v>
      </c>
      <c r="W41" s="439">
        <f t="shared" si="26"/>
        <v>0.05555555555555555</v>
      </c>
      <c r="X41" s="439">
        <f t="shared" si="26"/>
        <v>0.05555555555555555</v>
      </c>
      <c r="Y41" s="439">
        <f t="shared" si="26"/>
        <v>0.05555555555555555</v>
      </c>
      <c r="Z41" s="439">
        <f t="shared" si="26"/>
        <v>0.05555555555555555</v>
      </c>
      <c r="AA41" s="439">
        <f t="shared" si="26"/>
        <v>0.05555555555555555</v>
      </c>
      <c r="AB41" s="439">
        <f t="shared" si="26"/>
        <v>0.05555555555555555</v>
      </c>
      <c r="AC41" s="439">
        <f t="shared" si="26"/>
        <v>0.05555555555555555</v>
      </c>
      <c r="AD41" s="439">
        <f t="shared" si="26"/>
        <v>0.05555555555555555</v>
      </c>
      <c r="AE41" s="439">
        <f t="shared" si="26"/>
        <v>0.05555555555555555</v>
      </c>
      <c r="AF41" s="439">
        <f t="shared" si="26"/>
        <v>0.05555555555555555</v>
      </c>
      <c r="AG41" s="439">
        <f t="shared" si="26"/>
        <v>0.05555555555555555</v>
      </c>
      <c r="AH41" s="439">
        <f t="shared" si="26"/>
        <v>0.05555555555555555</v>
      </c>
      <c r="AI41" s="439">
        <f>1-SUM($J41:AH41)</f>
        <v>0.05555555555555525</v>
      </c>
      <c r="AJ41" s="439"/>
      <c r="AK41" s="439"/>
      <c r="AL41" s="439"/>
      <c r="AM41" s="439"/>
      <c r="AN41" s="439"/>
      <c r="AO41" s="439"/>
    </row>
    <row r="42" spans="3:41" ht="12.75">
      <c r="C42" s="338"/>
      <c r="D42" s="338"/>
      <c r="E42" s="338"/>
      <c r="F42" s="338"/>
      <c r="G42" s="338"/>
      <c r="H42" s="338">
        <f t="shared" si="15"/>
        <v>2007</v>
      </c>
      <c r="I42" s="438">
        <f t="shared" si="12"/>
        <v>1</v>
      </c>
      <c r="J42" s="439"/>
      <c r="K42" s="439"/>
      <c r="L42" s="439"/>
      <c r="M42" s="439"/>
      <c r="N42" s="439"/>
      <c r="O42" s="439"/>
      <c r="P42" s="439"/>
      <c r="Q42" s="439"/>
      <c r="R42" s="439"/>
      <c r="S42" s="439">
        <f>IF($H$25=1,0,1/17)</f>
        <v>0.058823529411764705</v>
      </c>
      <c r="T42" s="439">
        <f aca="true" t="shared" si="27" ref="T42:AH42">IF($H$25=1,0,1/17)</f>
        <v>0.058823529411764705</v>
      </c>
      <c r="U42" s="439">
        <f t="shared" si="27"/>
        <v>0.058823529411764705</v>
      </c>
      <c r="V42" s="439">
        <f t="shared" si="27"/>
        <v>0.058823529411764705</v>
      </c>
      <c r="W42" s="439">
        <f t="shared" si="27"/>
        <v>0.058823529411764705</v>
      </c>
      <c r="X42" s="439">
        <f t="shared" si="27"/>
        <v>0.058823529411764705</v>
      </c>
      <c r="Y42" s="439">
        <f t="shared" si="27"/>
        <v>0.058823529411764705</v>
      </c>
      <c r="Z42" s="439">
        <f t="shared" si="27"/>
        <v>0.058823529411764705</v>
      </c>
      <c r="AA42" s="439">
        <f t="shared" si="27"/>
        <v>0.058823529411764705</v>
      </c>
      <c r="AB42" s="439">
        <f t="shared" si="27"/>
        <v>0.058823529411764705</v>
      </c>
      <c r="AC42" s="439">
        <f t="shared" si="27"/>
        <v>0.058823529411764705</v>
      </c>
      <c r="AD42" s="439">
        <f t="shared" si="27"/>
        <v>0.058823529411764705</v>
      </c>
      <c r="AE42" s="439">
        <f t="shared" si="27"/>
        <v>0.058823529411764705</v>
      </c>
      <c r="AF42" s="439">
        <f t="shared" si="27"/>
        <v>0.058823529411764705</v>
      </c>
      <c r="AG42" s="439">
        <f t="shared" si="27"/>
        <v>0.058823529411764705</v>
      </c>
      <c r="AH42" s="439">
        <f t="shared" si="27"/>
        <v>0.058823529411764705</v>
      </c>
      <c r="AI42" s="439">
        <f>1-SUM($J42:AH42)</f>
        <v>0.05882352941176461</v>
      </c>
      <c r="AJ42" s="439"/>
      <c r="AK42" s="439"/>
      <c r="AL42" s="439"/>
      <c r="AM42" s="439"/>
      <c r="AN42" s="439"/>
      <c r="AO42" s="439"/>
    </row>
    <row r="43" spans="3:41" ht="12.75">
      <c r="C43" s="338"/>
      <c r="D43" s="338"/>
      <c r="E43" s="338"/>
      <c r="F43" s="338"/>
      <c r="G43" s="338"/>
      <c r="H43" s="338">
        <f t="shared" si="15"/>
        <v>2008</v>
      </c>
      <c r="I43" s="438">
        <f t="shared" si="12"/>
        <v>1</v>
      </c>
      <c r="J43" s="439"/>
      <c r="K43" s="439"/>
      <c r="L43" s="439"/>
      <c r="M43" s="439"/>
      <c r="N43" s="439"/>
      <c r="O43" s="439"/>
      <c r="P43" s="439"/>
      <c r="Q43" s="439"/>
      <c r="R43" s="439"/>
      <c r="S43" s="439"/>
      <c r="T43" s="439">
        <f>IF($H$25=1,0,1/16)</f>
        <v>0.0625</v>
      </c>
      <c r="U43" s="439">
        <f aca="true" t="shared" si="28" ref="U43:AH43">IF($H$25=1,0,1/16)</f>
        <v>0.0625</v>
      </c>
      <c r="V43" s="439">
        <f t="shared" si="28"/>
        <v>0.0625</v>
      </c>
      <c r="W43" s="439">
        <f t="shared" si="28"/>
        <v>0.0625</v>
      </c>
      <c r="X43" s="439">
        <f t="shared" si="28"/>
        <v>0.0625</v>
      </c>
      <c r="Y43" s="439">
        <f t="shared" si="28"/>
        <v>0.0625</v>
      </c>
      <c r="Z43" s="439">
        <f t="shared" si="28"/>
        <v>0.0625</v>
      </c>
      <c r="AA43" s="439">
        <f t="shared" si="28"/>
        <v>0.0625</v>
      </c>
      <c r="AB43" s="439">
        <f t="shared" si="28"/>
        <v>0.0625</v>
      </c>
      <c r="AC43" s="439">
        <f t="shared" si="28"/>
        <v>0.0625</v>
      </c>
      <c r="AD43" s="439">
        <f t="shared" si="28"/>
        <v>0.0625</v>
      </c>
      <c r="AE43" s="439">
        <f t="shared" si="28"/>
        <v>0.0625</v>
      </c>
      <c r="AF43" s="439">
        <f t="shared" si="28"/>
        <v>0.0625</v>
      </c>
      <c r="AG43" s="439">
        <f t="shared" si="28"/>
        <v>0.0625</v>
      </c>
      <c r="AH43" s="439">
        <f t="shared" si="28"/>
        <v>0.0625</v>
      </c>
      <c r="AI43" s="439">
        <f>1-SUM($J43:AH43)</f>
        <v>0.0625</v>
      </c>
      <c r="AJ43" s="439"/>
      <c r="AK43" s="439"/>
      <c r="AL43" s="439"/>
      <c r="AM43" s="439"/>
      <c r="AN43" s="439"/>
      <c r="AO43" s="439"/>
    </row>
    <row r="44" spans="3:41" ht="12.75">
      <c r="C44" s="338"/>
      <c r="D44" s="338"/>
      <c r="E44" s="338"/>
      <c r="F44" s="338"/>
      <c r="G44" s="338"/>
      <c r="H44" s="338">
        <f t="shared" si="15"/>
        <v>2009</v>
      </c>
      <c r="I44" s="438">
        <f t="shared" si="12"/>
        <v>1</v>
      </c>
      <c r="J44" s="439"/>
      <c r="K44" s="439"/>
      <c r="L44" s="439"/>
      <c r="M44" s="439"/>
      <c r="N44" s="439"/>
      <c r="O44" s="439"/>
      <c r="P44" s="439"/>
      <c r="Q44" s="439"/>
      <c r="R44" s="439"/>
      <c r="S44" s="439"/>
      <c r="T44" s="439"/>
      <c r="U44" s="439">
        <f>IF($H$25=1,0,1/15)</f>
        <v>0.06666666666666667</v>
      </c>
      <c r="V44" s="439">
        <f aca="true" t="shared" si="29" ref="V44:AH44">IF($H$25=1,0,1/15)</f>
        <v>0.06666666666666667</v>
      </c>
      <c r="W44" s="439">
        <f t="shared" si="29"/>
        <v>0.06666666666666667</v>
      </c>
      <c r="X44" s="439">
        <f t="shared" si="29"/>
        <v>0.06666666666666667</v>
      </c>
      <c r="Y44" s="439">
        <f t="shared" si="29"/>
        <v>0.06666666666666667</v>
      </c>
      <c r="Z44" s="439">
        <f t="shared" si="29"/>
        <v>0.06666666666666667</v>
      </c>
      <c r="AA44" s="439">
        <f t="shared" si="29"/>
        <v>0.06666666666666667</v>
      </c>
      <c r="AB44" s="439">
        <f t="shared" si="29"/>
        <v>0.06666666666666667</v>
      </c>
      <c r="AC44" s="439">
        <f t="shared" si="29"/>
        <v>0.06666666666666667</v>
      </c>
      <c r="AD44" s="439">
        <f t="shared" si="29"/>
        <v>0.06666666666666667</v>
      </c>
      <c r="AE44" s="439">
        <f t="shared" si="29"/>
        <v>0.06666666666666667</v>
      </c>
      <c r="AF44" s="439">
        <f t="shared" si="29"/>
        <v>0.06666666666666667</v>
      </c>
      <c r="AG44" s="439">
        <f t="shared" si="29"/>
        <v>0.06666666666666667</v>
      </c>
      <c r="AH44" s="439">
        <f t="shared" si="29"/>
        <v>0.06666666666666667</v>
      </c>
      <c r="AI44" s="439">
        <f>1-SUM($J44:AH44)</f>
        <v>0.06666666666666676</v>
      </c>
      <c r="AJ44" s="439"/>
      <c r="AK44" s="439"/>
      <c r="AL44" s="439"/>
      <c r="AM44" s="439"/>
      <c r="AN44" s="439"/>
      <c r="AO44" s="439"/>
    </row>
    <row r="45" spans="3:41" ht="12.75">
      <c r="C45" s="338"/>
      <c r="D45" s="338"/>
      <c r="E45" s="338"/>
      <c r="F45" s="338"/>
      <c r="G45" s="338"/>
      <c r="H45" s="338">
        <f t="shared" si="15"/>
        <v>2010</v>
      </c>
      <c r="I45" s="438">
        <f t="shared" si="12"/>
        <v>1</v>
      </c>
      <c r="J45" s="439"/>
      <c r="K45" s="439"/>
      <c r="L45" s="439"/>
      <c r="M45" s="439"/>
      <c r="N45" s="439"/>
      <c r="O45" s="439"/>
      <c r="P45" s="439"/>
      <c r="Q45" s="439"/>
      <c r="R45" s="439"/>
      <c r="S45" s="439"/>
      <c r="T45" s="439"/>
      <c r="U45" s="439"/>
      <c r="V45" s="439">
        <f>IF($H$25=1,0,1/14)</f>
        <v>0.07142857142857142</v>
      </c>
      <c r="W45" s="439">
        <f aca="true" t="shared" si="30" ref="W45:AH45">IF($H$25=1,0,1/14)</f>
        <v>0.07142857142857142</v>
      </c>
      <c r="X45" s="439">
        <f t="shared" si="30"/>
        <v>0.07142857142857142</v>
      </c>
      <c r="Y45" s="439">
        <f t="shared" si="30"/>
        <v>0.07142857142857142</v>
      </c>
      <c r="Z45" s="439">
        <f t="shared" si="30"/>
        <v>0.07142857142857142</v>
      </c>
      <c r="AA45" s="439">
        <f t="shared" si="30"/>
        <v>0.07142857142857142</v>
      </c>
      <c r="AB45" s="439">
        <f t="shared" si="30"/>
        <v>0.07142857142857142</v>
      </c>
      <c r="AC45" s="439">
        <f t="shared" si="30"/>
        <v>0.07142857142857142</v>
      </c>
      <c r="AD45" s="439">
        <f t="shared" si="30"/>
        <v>0.07142857142857142</v>
      </c>
      <c r="AE45" s="439">
        <f t="shared" si="30"/>
        <v>0.07142857142857142</v>
      </c>
      <c r="AF45" s="439">
        <f t="shared" si="30"/>
        <v>0.07142857142857142</v>
      </c>
      <c r="AG45" s="439">
        <f t="shared" si="30"/>
        <v>0.07142857142857142</v>
      </c>
      <c r="AH45" s="439">
        <f t="shared" si="30"/>
        <v>0.07142857142857142</v>
      </c>
      <c r="AI45" s="439">
        <f>1-SUM($J45:AH45)</f>
        <v>0.07142857142857173</v>
      </c>
      <c r="AJ45" s="439"/>
      <c r="AK45" s="439"/>
      <c r="AL45" s="439"/>
      <c r="AM45" s="439"/>
      <c r="AN45" s="439"/>
      <c r="AO45" s="439"/>
    </row>
    <row r="46" spans="3:41" ht="12.75">
      <c r="C46" s="338"/>
      <c r="D46" s="338"/>
      <c r="E46" s="338"/>
      <c r="F46" s="338"/>
      <c r="G46" s="338"/>
      <c r="H46" s="338">
        <f t="shared" si="15"/>
        <v>2011</v>
      </c>
      <c r="I46" s="438">
        <f t="shared" si="12"/>
        <v>1</v>
      </c>
      <c r="J46" s="439"/>
      <c r="K46" s="439"/>
      <c r="L46" s="439"/>
      <c r="M46" s="439"/>
      <c r="N46" s="439"/>
      <c r="O46" s="439"/>
      <c r="P46" s="439"/>
      <c r="Q46" s="439"/>
      <c r="R46" s="439"/>
      <c r="S46" s="439"/>
      <c r="T46" s="439"/>
      <c r="U46" s="439"/>
      <c r="V46" s="439"/>
      <c r="W46" s="439">
        <f>IF($H$25=1,0,1/13)</f>
        <v>0.07692307692307693</v>
      </c>
      <c r="X46" s="439">
        <f aca="true" t="shared" si="31" ref="X46:AH46">IF($H$25=1,0,1/13)</f>
        <v>0.07692307692307693</v>
      </c>
      <c r="Y46" s="439">
        <f t="shared" si="31"/>
        <v>0.07692307692307693</v>
      </c>
      <c r="Z46" s="439">
        <f t="shared" si="31"/>
        <v>0.07692307692307693</v>
      </c>
      <c r="AA46" s="439">
        <f t="shared" si="31"/>
        <v>0.07692307692307693</v>
      </c>
      <c r="AB46" s="439">
        <f t="shared" si="31"/>
        <v>0.07692307692307693</v>
      </c>
      <c r="AC46" s="439">
        <f t="shared" si="31"/>
        <v>0.07692307692307693</v>
      </c>
      <c r="AD46" s="439">
        <f t="shared" si="31"/>
        <v>0.07692307692307693</v>
      </c>
      <c r="AE46" s="439">
        <f t="shared" si="31"/>
        <v>0.07692307692307693</v>
      </c>
      <c r="AF46" s="439">
        <f t="shared" si="31"/>
        <v>0.07692307692307693</v>
      </c>
      <c r="AG46" s="439">
        <f t="shared" si="31"/>
        <v>0.07692307692307693</v>
      </c>
      <c r="AH46" s="439">
        <f t="shared" si="31"/>
        <v>0.07692307692307693</v>
      </c>
      <c r="AI46" s="439">
        <f>1-SUM($J46:AH46)</f>
        <v>0.0769230769230771</v>
      </c>
      <c r="AJ46" s="439"/>
      <c r="AK46" s="439"/>
      <c r="AL46" s="439"/>
      <c r="AM46" s="439"/>
      <c r="AN46" s="439"/>
      <c r="AO46" s="439"/>
    </row>
    <row r="47" spans="3:41" ht="12.75">
      <c r="C47" s="338"/>
      <c r="D47" s="338"/>
      <c r="E47" s="338"/>
      <c r="F47" s="338"/>
      <c r="G47" s="338"/>
      <c r="H47" s="338">
        <f t="shared" si="15"/>
        <v>2012</v>
      </c>
      <c r="I47" s="438">
        <f t="shared" si="12"/>
        <v>1</v>
      </c>
      <c r="J47" s="439"/>
      <c r="K47" s="439"/>
      <c r="L47" s="439"/>
      <c r="M47" s="439"/>
      <c r="N47" s="439"/>
      <c r="O47" s="439"/>
      <c r="P47" s="439"/>
      <c r="Q47" s="439"/>
      <c r="R47" s="439"/>
      <c r="S47" s="439"/>
      <c r="T47" s="439"/>
      <c r="U47" s="439"/>
      <c r="V47" s="439"/>
      <c r="W47" s="439"/>
      <c r="X47" s="439">
        <f>IF($H$25=1,0,1/12)</f>
        <v>0.08333333333333333</v>
      </c>
      <c r="Y47" s="439">
        <f aca="true" t="shared" si="32" ref="Y47:AH47">IF($H$25=1,0,1/12)</f>
        <v>0.08333333333333333</v>
      </c>
      <c r="Z47" s="439">
        <f t="shared" si="32"/>
        <v>0.08333333333333333</v>
      </c>
      <c r="AA47" s="439">
        <f t="shared" si="32"/>
        <v>0.08333333333333333</v>
      </c>
      <c r="AB47" s="439">
        <f t="shared" si="32"/>
        <v>0.08333333333333333</v>
      </c>
      <c r="AC47" s="439">
        <f t="shared" si="32"/>
        <v>0.08333333333333333</v>
      </c>
      <c r="AD47" s="439">
        <f t="shared" si="32"/>
        <v>0.08333333333333333</v>
      </c>
      <c r="AE47" s="439">
        <f t="shared" si="32"/>
        <v>0.08333333333333333</v>
      </c>
      <c r="AF47" s="439">
        <f t="shared" si="32"/>
        <v>0.08333333333333333</v>
      </c>
      <c r="AG47" s="439">
        <f t="shared" si="32"/>
        <v>0.08333333333333333</v>
      </c>
      <c r="AH47" s="439">
        <f t="shared" si="32"/>
        <v>0.08333333333333333</v>
      </c>
      <c r="AI47" s="439">
        <f>1-SUM($J47:AH47)</f>
        <v>0.08333333333333326</v>
      </c>
      <c r="AJ47" s="439"/>
      <c r="AK47" s="439"/>
      <c r="AL47" s="439"/>
      <c r="AM47" s="439"/>
      <c r="AN47" s="439"/>
      <c r="AO47" s="439"/>
    </row>
    <row r="48" spans="3:41" ht="12.75">
      <c r="C48" s="338"/>
      <c r="D48" s="338"/>
      <c r="E48" s="338"/>
      <c r="F48" s="338"/>
      <c r="G48" s="338"/>
      <c r="H48" s="338">
        <f t="shared" si="15"/>
        <v>2013</v>
      </c>
      <c r="I48" s="438">
        <f t="shared" si="12"/>
        <v>1</v>
      </c>
      <c r="J48" s="439"/>
      <c r="K48" s="439"/>
      <c r="L48" s="439"/>
      <c r="M48" s="439"/>
      <c r="N48" s="439"/>
      <c r="O48" s="439"/>
      <c r="P48" s="439"/>
      <c r="Q48" s="439"/>
      <c r="R48" s="439"/>
      <c r="S48" s="439"/>
      <c r="T48" s="439"/>
      <c r="U48" s="439"/>
      <c r="V48" s="439"/>
      <c r="W48" s="439"/>
      <c r="X48" s="439"/>
      <c r="Y48" s="439">
        <f>IF($H$25=1,0,1/11)</f>
        <v>0.09090909090909091</v>
      </c>
      <c r="Z48" s="439">
        <f aca="true" t="shared" si="33" ref="Z48:AH48">IF($H$25=1,0,1/11)</f>
        <v>0.09090909090909091</v>
      </c>
      <c r="AA48" s="439">
        <f t="shared" si="33"/>
        <v>0.09090909090909091</v>
      </c>
      <c r="AB48" s="439">
        <f t="shared" si="33"/>
        <v>0.09090909090909091</v>
      </c>
      <c r="AC48" s="439">
        <f t="shared" si="33"/>
        <v>0.09090909090909091</v>
      </c>
      <c r="AD48" s="439">
        <f t="shared" si="33"/>
        <v>0.09090909090909091</v>
      </c>
      <c r="AE48" s="439">
        <f t="shared" si="33"/>
        <v>0.09090909090909091</v>
      </c>
      <c r="AF48" s="439">
        <f t="shared" si="33"/>
        <v>0.09090909090909091</v>
      </c>
      <c r="AG48" s="439">
        <f t="shared" si="33"/>
        <v>0.09090909090909091</v>
      </c>
      <c r="AH48" s="439">
        <f t="shared" si="33"/>
        <v>0.09090909090909091</v>
      </c>
      <c r="AI48" s="439">
        <f>1-SUM($J48:AH48)</f>
        <v>0.09090909090909072</v>
      </c>
      <c r="AJ48" s="439"/>
      <c r="AK48" s="439"/>
      <c r="AL48" s="439"/>
      <c r="AM48" s="439"/>
      <c r="AN48" s="439"/>
      <c r="AO48" s="439"/>
    </row>
    <row r="49" spans="3:41" ht="12.75">
      <c r="C49" s="338"/>
      <c r="D49" s="338"/>
      <c r="E49" s="338"/>
      <c r="F49" s="338"/>
      <c r="G49" s="338"/>
      <c r="H49" s="338">
        <f t="shared" si="15"/>
        <v>2014</v>
      </c>
      <c r="I49" s="438">
        <f t="shared" si="12"/>
        <v>1</v>
      </c>
      <c r="J49" s="439"/>
      <c r="K49" s="439"/>
      <c r="L49" s="439"/>
      <c r="M49" s="439"/>
      <c r="N49" s="439"/>
      <c r="O49" s="439"/>
      <c r="P49" s="439"/>
      <c r="Q49" s="439"/>
      <c r="R49" s="439"/>
      <c r="S49" s="439"/>
      <c r="T49" s="439"/>
      <c r="U49" s="439"/>
      <c r="V49" s="439"/>
      <c r="W49" s="439"/>
      <c r="X49" s="439"/>
      <c r="Y49" s="439"/>
      <c r="Z49" s="439">
        <f>IF($H$25=1,0,1/10)</f>
        <v>0.1</v>
      </c>
      <c r="AA49" s="439">
        <f aca="true" t="shared" si="34" ref="AA49:AH49">IF($H$25=1,0,1/10)</f>
        <v>0.1</v>
      </c>
      <c r="AB49" s="439">
        <f t="shared" si="34"/>
        <v>0.1</v>
      </c>
      <c r="AC49" s="439">
        <f t="shared" si="34"/>
        <v>0.1</v>
      </c>
      <c r="AD49" s="439">
        <f t="shared" si="34"/>
        <v>0.1</v>
      </c>
      <c r="AE49" s="439">
        <f t="shared" si="34"/>
        <v>0.1</v>
      </c>
      <c r="AF49" s="439">
        <f t="shared" si="34"/>
        <v>0.1</v>
      </c>
      <c r="AG49" s="439">
        <f t="shared" si="34"/>
        <v>0.1</v>
      </c>
      <c r="AH49" s="439">
        <f t="shared" si="34"/>
        <v>0.1</v>
      </c>
      <c r="AI49" s="439">
        <f>1-SUM($J49:AH49)</f>
        <v>0.10000000000000009</v>
      </c>
      <c r="AJ49" s="439"/>
      <c r="AK49" s="439"/>
      <c r="AL49" s="439"/>
      <c r="AM49" s="439"/>
      <c r="AN49" s="439"/>
      <c r="AO49" s="439"/>
    </row>
    <row r="50" spans="3:41" ht="12.75">
      <c r="C50" s="338"/>
      <c r="D50" s="338"/>
      <c r="E50" s="338"/>
      <c r="F50" s="338"/>
      <c r="G50" s="338"/>
      <c r="H50" s="338">
        <f t="shared" si="15"/>
        <v>2015</v>
      </c>
      <c r="I50" s="438">
        <f t="shared" si="12"/>
        <v>1</v>
      </c>
      <c r="J50" s="439"/>
      <c r="K50" s="439"/>
      <c r="L50" s="439"/>
      <c r="M50" s="439"/>
      <c r="N50" s="439"/>
      <c r="O50" s="439"/>
      <c r="P50" s="439"/>
      <c r="Q50" s="439"/>
      <c r="R50" s="439"/>
      <c r="S50" s="439"/>
      <c r="T50" s="439"/>
      <c r="U50" s="439"/>
      <c r="V50" s="439"/>
      <c r="W50" s="439"/>
      <c r="X50" s="439"/>
      <c r="Y50" s="439"/>
      <c r="Z50" s="439"/>
      <c r="AA50" s="439">
        <f>IF($H$25=1,0,1/9)</f>
        <v>0.1111111111111111</v>
      </c>
      <c r="AB50" s="439">
        <f aca="true" t="shared" si="35" ref="AB50:AH50">IF($H$25=1,0,1/9)</f>
        <v>0.1111111111111111</v>
      </c>
      <c r="AC50" s="439">
        <f t="shared" si="35"/>
        <v>0.1111111111111111</v>
      </c>
      <c r="AD50" s="439">
        <f t="shared" si="35"/>
        <v>0.1111111111111111</v>
      </c>
      <c r="AE50" s="439">
        <f t="shared" si="35"/>
        <v>0.1111111111111111</v>
      </c>
      <c r="AF50" s="439">
        <f t="shared" si="35"/>
        <v>0.1111111111111111</v>
      </c>
      <c r="AG50" s="439">
        <f t="shared" si="35"/>
        <v>0.1111111111111111</v>
      </c>
      <c r="AH50" s="439">
        <f t="shared" si="35"/>
        <v>0.1111111111111111</v>
      </c>
      <c r="AI50" s="439">
        <f>1-SUM($J50:AH50)</f>
        <v>0.11111111111111094</v>
      </c>
      <c r="AJ50" s="439"/>
      <c r="AK50" s="439"/>
      <c r="AL50" s="439"/>
      <c r="AM50" s="439"/>
      <c r="AN50" s="439"/>
      <c r="AO50" s="439"/>
    </row>
    <row r="51" spans="3:41" ht="12.75">
      <c r="C51" s="338"/>
      <c r="D51" s="338"/>
      <c r="E51" s="338"/>
      <c r="F51" s="338"/>
      <c r="G51" s="338"/>
      <c r="H51" s="338">
        <f t="shared" si="15"/>
        <v>2016</v>
      </c>
      <c r="I51" s="438">
        <f t="shared" si="12"/>
        <v>1</v>
      </c>
      <c r="J51" s="439"/>
      <c r="K51" s="439"/>
      <c r="L51" s="439"/>
      <c r="M51" s="439"/>
      <c r="N51" s="439"/>
      <c r="O51" s="439"/>
      <c r="P51" s="439"/>
      <c r="Q51" s="439"/>
      <c r="R51" s="439"/>
      <c r="S51" s="439"/>
      <c r="T51" s="439"/>
      <c r="U51" s="439"/>
      <c r="V51" s="439"/>
      <c r="W51" s="439"/>
      <c r="X51" s="439"/>
      <c r="Y51" s="439"/>
      <c r="Z51" s="439"/>
      <c r="AA51" s="439"/>
      <c r="AB51" s="439">
        <f>IF($H$25=1,0,1/8)</f>
        <v>0.125</v>
      </c>
      <c r="AC51" s="439">
        <f aca="true" t="shared" si="36" ref="AC51:AH51">IF($H$25=1,0,1/8)</f>
        <v>0.125</v>
      </c>
      <c r="AD51" s="439">
        <f t="shared" si="36"/>
        <v>0.125</v>
      </c>
      <c r="AE51" s="439">
        <f t="shared" si="36"/>
        <v>0.125</v>
      </c>
      <c r="AF51" s="439">
        <f t="shared" si="36"/>
        <v>0.125</v>
      </c>
      <c r="AG51" s="439">
        <f t="shared" si="36"/>
        <v>0.125</v>
      </c>
      <c r="AH51" s="439">
        <f t="shared" si="36"/>
        <v>0.125</v>
      </c>
      <c r="AI51" s="439">
        <f>1-SUM($J51:AH51)</f>
        <v>0.125</v>
      </c>
      <c r="AJ51" s="439"/>
      <c r="AK51" s="439"/>
      <c r="AL51" s="439"/>
      <c r="AM51" s="439"/>
      <c r="AN51" s="439"/>
      <c r="AO51" s="439"/>
    </row>
    <row r="52" spans="3:41" ht="12.75">
      <c r="C52" s="338"/>
      <c r="D52" s="338"/>
      <c r="E52" s="338"/>
      <c r="F52" s="338"/>
      <c r="G52" s="338"/>
      <c r="H52" s="338">
        <f t="shared" si="15"/>
        <v>2017</v>
      </c>
      <c r="I52" s="438">
        <f t="shared" si="12"/>
        <v>1</v>
      </c>
      <c r="J52" s="439"/>
      <c r="K52" s="439"/>
      <c r="L52" s="439"/>
      <c r="M52" s="439"/>
      <c r="N52" s="439"/>
      <c r="O52" s="439"/>
      <c r="P52" s="439"/>
      <c r="Q52" s="439"/>
      <c r="R52" s="439"/>
      <c r="S52" s="439"/>
      <c r="T52" s="439"/>
      <c r="U52" s="439"/>
      <c r="V52" s="439"/>
      <c r="W52" s="439"/>
      <c r="X52" s="439"/>
      <c r="Y52" s="439"/>
      <c r="Z52" s="439"/>
      <c r="AA52" s="439"/>
      <c r="AB52" s="439"/>
      <c r="AC52" s="439">
        <f aca="true" t="shared" si="37" ref="AC52:AH52">IF($H$25=1,0,1/7)</f>
        <v>0.14285714285714285</v>
      </c>
      <c r="AD52" s="439">
        <f t="shared" si="37"/>
        <v>0.14285714285714285</v>
      </c>
      <c r="AE52" s="439">
        <f t="shared" si="37"/>
        <v>0.14285714285714285</v>
      </c>
      <c r="AF52" s="439">
        <f t="shared" si="37"/>
        <v>0.14285714285714285</v>
      </c>
      <c r="AG52" s="439">
        <f t="shared" si="37"/>
        <v>0.14285714285714285</v>
      </c>
      <c r="AH52" s="439">
        <f t="shared" si="37"/>
        <v>0.14285714285714285</v>
      </c>
      <c r="AI52" s="439">
        <f>1-SUM($J52:AH52)</f>
        <v>0.14285714285714302</v>
      </c>
      <c r="AJ52" s="439"/>
      <c r="AK52" s="439"/>
      <c r="AL52" s="439"/>
      <c r="AM52" s="439"/>
      <c r="AN52" s="439"/>
      <c r="AO52" s="439"/>
    </row>
    <row r="53" spans="3:41" ht="12.75">
      <c r="C53" s="338"/>
      <c r="D53" s="338"/>
      <c r="E53" s="338"/>
      <c r="F53" s="338"/>
      <c r="G53" s="338"/>
      <c r="H53" s="338">
        <f t="shared" si="15"/>
        <v>2018</v>
      </c>
      <c r="I53" s="438">
        <f t="shared" si="12"/>
        <v>1</v>
      </c>
      <c r="J53" s="439"/>
      <c r="K53" s="439"/>
      <c r="L53" s="439"/>
      <c r="M53" s="439"/>
      <c r="N53" s="439"/>
      <c r="O53" s="439"/>
      <c r="P53" s="439"/>
      <c r="Q53" s="439"/>
      <c r="R53" s="439"/>
      <c r="S53" s="439"/>
      <c r="T53" s="439"/>
      <c r="U53" s="439"/>
      <c r="V53" s="439"/>
      <c r="W53" s="439"/>
      <c r="X53" s="439"/>
      <c r="Y53" s="439"/>
      <c r="Z53" s="439"/>
      <c r="AA53" s="439"/>
      <c r="AB53" s="439"/>
      <c r="AC53" s="439"/>
      <c r="AD53" s="439">
        <f>IF($H$25=1,0,1/6)</f>
        <v>0.16666666666666666</v>
      </c>
      <c r="AE53" s="439">
        <f>IF($H$25=1,0,1/6)</f>
        <v>0.16666666666666666</v>
      </c>
      <c r="AF53" s="439">
        <f>IF($H$25=1,0,1/6)</f>
        <v>0.16666666666666666</v>
      </c>
      <c r="AG53" s="439">
        <f>IF($H$25=1,0,1/6)</f>
        <v>0.16666666666666666</v>
      </c>
      <c r="AH53" s="439">
        <f>IF($H$25=1,0,1/6)</f>
        <v>0.16666666666666666</v>
      </c>
      <c r="AI53" s="439">
        <f>1-SUM($J53:AH53)</f>
        <v>0.16666666666666674</v>
      </c>
      <c r="AJ53" s="439"/>
      <c r="AK53" s="439"/>
      <c r="AL53" s="439"/>
      <c r="AM53" s="439"/>
      <c r="AN53" s="439"/>
      <c r="AO53" s="439"/>
    </row>
    <row r="54" spans="3:41" ht="12.75">
      <c r="C54" s="338"/>
      <c r="D54" s="338"/>
      <c r="E54" s="338"/>
      <c r="F54" s="338"/>
      <c r="G54" s="338"/>
      <c r="H54" s="338">
        <f t="shared" si="15"/>
        <v>2019</v>
      </c>
      <c r="I54" s="438">
        <f t="shared" si="12"/>
        <v>1</v>
      </c>
      <c r="J54" s="338"/>
      <c r="K54" s="439"/>
      <c r="L54" s="439"/>
      <c r="M54" s="439"/>
      <c r="N54" s="439"/>
      <c r="O54" s="439"/>
      <c r="P54" s="439"/>
      <c r="Q54" s="439"/>
      <c r="R54" s="439"/>
      <c r="S54" s="439"/>
      <c r="T54" s="439"/>
      <c r="U54" s="439"/>
      <c r="V54" s="439"/>
      <c r="W54" s="439"/>
      <c r="X54" s="439"/>
      <c r="Y54" s="439"/>
      <c r="Z54" s="439"/>
      <c r="AA54" s="439"/>
      <c r="AB54" s="439"/>
      <c r="AC54" s="439"/>
      <c r="AD54" s="439"/>
      <c r="AE54" s="439">
        <f>IF($H$25=1,0,1/5)</f>
        <v>0.2</v>
      </c>
      <c r="AF54" s="439">
        <f>IF($H$25=1,0,1/5)</f>
        <v>0.2</v>
      </c>
      <c r="AG54" s="439">
        <f>IF($H$25=1,0,1/5)</f>
        <v>0.2</v>
      </c>
      <c r="AH54" s="439">
        <f>IF($H$25=1,0,1/5)</f>
        <v>0.2</v>
      </c>
      <c r="AI54" s="439">
        <f>1-SUM($J54:AH54)</f>
        <v>0.19999999999999996</v>
      </c>
      <c r="AJ54" s="439"/>
      <c r="AK54" s="439"/>
      <c r="AL54" s="439"/>
      <c r="AM54" s="439"/>
      <c r="AN54" s="439"/>
      <c r="AO54" s="439"/>
    </row>
    <row r="55" spans="3:41" ht="12.75">
      <c r="C55" s="338"/>
      <c r="D55" s="338"/>
      <c r="E55" s="338"/>
      <c r="F55" s="338"/>
      <c r="G55" s="338"/>
      <c r="H55" s="338">
        <f t="shared" si="15"/>
        <v>2020</v>
      </c>
      <c r="I55" s="438">
        <f t="shared" si="12"/>
        <v>1</v>
      </c>
      <c r="J55" s="338"/>
      <c r="K55" s="338"/>
      <c r="L55" s="439"/>
      <c r="M55" s="439"/>
      <c r="N55" s="439"/>
      <c r="O55" s="439"/>
      <c r="P55" s="439"/>
      <c r="Q55" s="439"/>
      <c r="R55" s="439"/>
      <c r="S55" s="439"/>
      <c r="T55" s="439"/>
      <c r="U55" s="439"/>
      <c r="V55" s="439"/>
      <c r="W55" s="439"/>
      <c r="X55" s="439"/>
      <c r="Y55" s="439"/>
      <c r="Z55" s="439"/>
      <c r="AA55" s="439"/>
      <c r="AB55" s="439"/>
      <c r="AC55" s="439"/>
      <c r="AD55" s="439"/>
      <c r="AE55" s="439"/>
      <c r="AF55" s="439">
        <f>IF($H$25=1,0,1/4)</f>
        <v>0.25</v>
      </c>
      <c r="AG55" s="439">
        <f>IF($H$25=1,0,1/4)</f>
        <v>0.25</v>
      </c>
      <c r="AH55" s="439">
        <f>IF($H$25=1,0,1/4)</f>
        <v>0.25</v>
      </c>
      <c r="AI55" s="439">
        <f>1-SUM($J55:AH55)</f>
        <v>0.25</v>
      </c>
      <c r="AJ55" s="439"/>
      <c r="AK55" s="439"/>
      <c r="AL55" s="439"/>
      <c r="AM55" s="439"/>
      <c r="AN55" s="439"/>
      <c r="AO55" s="439"/>
    </row>
    <row r="56" spans="3:41" ht="12.75">
      <c r="C56" s="338"/>
      <c r="D56" s="338"/>
      <c r="E56" s="338"/>
      <c r="F56" s="338"/>
      <c r="G56" s="338"/>
      <c r="H56" s="338">
        <f t="shared" si="15"/>
        <v>2021</v>
      </c>
      <c r="I56" s="438">
        <f t="shared" si="12"/>
        <v>1</v>
      </c>
      <c r="J56" s="338"/>
      <c r="K56" s="338"/>
      <c r="L56" s="338"/>
      <c r="M56" s="439"/>
      <c r="N56" s="439"/>
      <c r="O56" s="439"/>
      <c r="P56" s="439"/>
      <c r="Q56" s="439"/>
      <c r="R56" s="439"/>
      <c r="S56" s="439"/>
      <c r="T56" s="439"/>
      <c r="U56" s="439"/>
      <c r="V56" s="439"/>
      <c r="W56" s="439"/>
      <c r="X56" s="439"/>
      <c r="Y56" s="439"/>
      <c r="Z56" s="439"/>
      <c r="AA56" s="439"/>
      <c r="AB56" s="439"/>
      <c r="AC56" s="439"/>
      <c r="AD56" s="439"/>
      <c r="AE56" s="439"/>
      <c r="AF56" s="439"/>
      <c r="AG56" s="439">
        <f>IF($H$25=1,0,1/3)</f>
        <v>0.3333333333333333</v>
      </c>
      <c r="AH56" s="439">
        <f>IF($H$25=1,0,1/3)</f>
        <v>0.3333333333333333</v>
      </c>
      <c r="AI56" s="439">
        <f>1-SUM($J56:AH56)</f>
        <v>0.33333333333333337</v>
      </c>
      <c r="AJ56" s="439"/>
      <c r="AK56" s="439"/>
      <c r="AL56" s="439"/>
      <c r="AM56" s="439"/>
      <c r="AN56" s="439"/>
      <c r="AO56" s="439"/>
    </row>
    <row r="57" spans="3:41" ht="12.75">
      <c r="C57" s="338"/>
      <c r="D57" s="338"/>
      <c r="E57" s="338"/>
      <c r="F57" s="338"/>
      <c r="G57" s="338"/>
      <c r="H57" s="338">
        <f t="shared" si="15"/>
        <v>2022</v>
      </c>
      <c r="I57" s="438">
        <f t="shared" si="12"/>
        <v>1</v>
      </c>
      <c r="J57" s="338"/>
      <c r="K57" s="338"/>
      <c r="L57" s="338"/>
      <c r="M57" s="338"/>
      <c r="N57" s="439"/>
      <c r="O57" s="439"/>
      <c r="P57" s="439"/>
      <c r="Q57" s="439"/>
      <c r="R57" s="439"/>
      <c r="S57" s="439"/>
      <c r="T57" s="439"/>
      <c r="U57" s="439"/>
      <c r="V57" s="439"/>
      <c r="W57" s="439"/>
      <c r="X57" s="439"/>
      <c r="Y57" s="439"/>
      <c r="Z57" s="439"/>
      <c r="AA57" s="439"/>
      <c r="AB57" s="439"/>
      <c r="AC57" s="439"/>
      <c r="AD57" s="439"/>
      <c r="AE57" s="439"/>
      <c r="AF57" s="439"/>
      <c r="AG57" s="439"/>
      <c r="AH57" s="439">
        <f>IF($H$25=1,0,1/2)</f>
        <v>0.5</v>
      </c>
      <c r="AI57" s="439">
        <f>1-SUM($J57:AH57)</f>
        <v>0.5</v>
      </c>
      <c r="AJ57" s="439"/>
      <c r="AK57" s="439"/>
      <c r="AL57" s="439"/>
      <c r="AM57" s="439"/>
      <c r="AN57" s="439"/>
      <c r="AO57" s="439"/>
    </row>
    <row r="58" spans="3:41" ht="12.75">
      <c r="C58" s="338"/>
      <c r="D58" s="338"/>
      <c r="E58" s="338"/>
      <c r="F58" s="338"/>
      <c r="G58" s="338"/>
      <c r="H58" s="338">
        <f t="shared" si="15"/>
        <v>2023</v>
      </c>
      <c r="I58" s="438">
        <f t="shared" si="12"/>
        <v>1</v>
      </c>
      <c r="J58" s="338"/>
      <c r="K58" s="338"/>
      <c r="L58" s="338"/>
      <c r="M58" s="338"/>
      <c r="N58" s="338"/>
      <c r="O58" s="439"/>
      <c r="P58" s="439"/>
      <c r="Q58" s="439"/>
      <c r="R58" s="439"/>
      <c r="S58" s="439"/>
      <c r="T58" s="439"/>
      <c r="U58" s="439"/>
      <c r="V58" s="439"/>
      <c r="W58" s="439"/>
      <c r="X58" s="439"/>
      <c r="Y58" s="439"/>
      <c r="Z58" s="439"/>
      <c r="AA58" s="439"/>
      <c r="AB58" s="439"/>
      <c r="AC58" s="439"/>
      <c r="AD58" s="439"/>
      <c r="AE58" s="439"/>
      <c r="AF58" s="439"/>
      <c r="AG58" s="439"/>
      <c r="AH58" s="439"/>
      <c r="AI58" s="439">
        <f>1-SUM($J58:AH58)</f>
        <v>1</v>
      </c>
      <c r="AJ58" s="439"/>
      <c r="AK58" s="439"/>
      <c r="AL58" s="439"/>
      <c r="AM58" s="439"/>
      <c r="AN58" s="439"/>
      <c r="AO58" s="439"/>
    </row>
    <row r="59" spans="3:41" ht="12.75">
      <c r="C59" s="338"/>
      <c r="D59" s="338"/>
      <c r="E59" s="338"/>
      <c r="F59" s="338"/>
      <c r="G59" s="338"/>
      <c r="H59" s="338">
        <f t="shared" si="15"/>
        <v>2024</v>
      </c>
      <c r="I59" s="438">
        <f t="shared" si="12"/>
        <v>1</v>
      </c>
      <c r="J59" s="338"/>
      <c r="K59" s="338"/>
      <c r="L59" s="338"/>
      <c r="M59" s="338"/>
      <c r="N59" s="338"/>
      <c r="O59" s="439"/>
      <c r="P59" s="439"/>
      <c r="Q59" s="439"/>
      <c r="R59" s="439"/>
      <c r="S59" s="439"/>
      <c r="T59" s="439"/>
      <c r="U59" s="439"/>
      <c r="V59" s="439"/>
      <c r="W59" s="439"/>
      <c r="X59" s="439"/>
      <c r="Y59" s="439"/>
      <c r="Z59" s="439"/>
      <c r="AA59" s="439"/>
      <c r="AB59" s="439"/>
      <c r="AC59" s="439"/>
      <c r="AD59" s="439"/>
      <c r="AE59" s="439"/>
      <c r="AF59" s="439"/>
      <c r="AG59" s="439"/>
      <c r="AH59" s="439"/>
      <c r="AI59" s="439"/>
      <c r="AJ59" s="439">
        <f>1-SUM($J59:AI59)</f>
        <v>1</v>
      </c>
      <c r="AK59" s="439"/>
      <c r="AL59" s="439"/>
      <c r="AM59" s="439"/>
      <c r="AN59" s="439"/>
      <c r="AO59" s="439"/>
    </row>
    <row r="60" spans="3:41" ht="12.75">
      <c r="C60" s="338"/>
      <c r="D60" s="338"/>
      <c r="E60" s="338"/>
      <c r="F60" s="338"/>
      <c r="G60" s="338"/>
      <c r="H60" s="338">
        <f t="shared" si="15"/>
        <v>2025</v>
      </c>
      <c r="I60" s="438">
        <f t="shared" si="12"/>
        <v>1</v>
      </c>
      <c r="J60" s="338"/>
      <c r="K60" s="338"/>
      <c r="L60" s="338"/>
      <c r="M60" s="338"/>
      <c r="N60" s="338"/>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f>1-SUM($J60:AJ60)</f>
        <v>1</v>
      </c>
      <c r="AL60" s="439"/>
      <c r="AM60" s="439"/>
      <c r="AN60" s="439"/>
      <c r="AO60" s="439"/>
    </row>
    <row r="61" spans="3:41" ht="12.75">
      <c r="C61" s="338"/>
      <c r="D61" s="338"/>
      <c r="E61" s="338"/>
      <c r="F61" s="338"/>
      <c r="G61" s="338"/>
      <c r="H61" s="338">
        <f t="shared" si="15"/>
        <v>2026</v>
      </c>
      <c r="I61" s="438">
        <f t="shared" si="12"/>
        <v>1</v>
      </c>
      <c r="J61" s="338"/>
      <c r="K61" s="338"/>
      <c r="L61" s="338"/>
      <c r="M61" s="338"/>
      <c r="N61" s="338"/>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f>1-SUM($J61:AK61)</f>
        <v>1</v>
      </c>
      <c r="AM61" s="439"/>
      <c r="AN61" s="439"/>
      <c r="AO61" s="439"/>
    </row>
    <row r="62" spans="3:41" ht="12.75">
      <c r="C62" s="338"/>
      <c r="D62" s="338"/>
      <c r="E62" s="338"/>
      <c r="F62" s="338"/>
      <c r="G62" s="338"/>
      <c r="H62" s="338">
        <f t="shared" si="15"/>
        <v>2027</v>
      </c>
      <c r="I62" s="438">
        <f t="shared" si="12"/>
        <v>1</v>
      </c>
      <c r="J62" s="338"/>
      <c r="K62" s="338"/>
      <c r="L62" s="338"/>
      <c r="M62" s="338"/>
      <c r="N62" s="338"/>
      <c r="O62" s="439"/>
      <c r="P62" s="439"/>
      <c r="Q62" s="439"/>
      <c r="R62" s="439"/>
      <c r="S62" s="439"/>
      <c r="T62" s="439"/>
      <c r="U62" s="439"/>
      <c r="V62" s="439"/>
      <c r="W62" s="439"/>
      <c r="X62" s="439"/>
      <c r="Y62" s="439"/>
      <c r="Z62" s="439"/>
      <c r="AA62" s="439"/>
      <c r="AB62" s="439"/>
      <c r="AC62" s="439"/>
      <c r="AD62" s="439"/>
      <c r="AE62" s="439"/>
      <c r="AF62" s="439"/>
      <c r="AG62" s="439"/>
      <c r="AH62" s="439"/>
      <c r="AI62" s="439"/>
      <c r="AJ62" s="439"/>
      <c r="AK62" s="439"/>
      <c r="AL62" s="439"/>
      <c r="AM62" s="439">
        <f>1-SUM($J62:AL62)</f>
        <v>1</v>
      </c>
      <c r="AN62" s="439"/>
      <c r="AO62" s="439"/>
    </row>
    <row r="63" spans="3:41" ht="12.75">
      <c r="C63" s="338"/>
      <c r="D63" s="338"/>
      <c r="E63" s="338"/>
      <c r="F63" s="338"/>
      <c r="G63" s="338"/>
      <c r="H63" s="338">
        <f t="shared" si="15"/>
        <v>2028</v>
      </c>
      <c r="I63" s="438">
        <f t="shared" si="12"/>
        <v>1</v>
      </c>
      <c r="J63" s="338"/>
      <c r="K63" s="338"/>
      <c r="L63" s="338"/>
      <c r="M63" s="338"/>
      <c r="N63" s="338"/>
      <c r="O63" s="338"/>
      <c r="P63" s="338"/>
      <c r="Q63" s="338"/>
      <c r="R63" s="338"/>
      <c r="S63" s="338"/>
      <c r="T63" s="439"/>
      <c r="U63" s="439"/>
      <c r="V63" s="439"/>
      <c r="W63" s="439"/>
      <c r="X63" s="439"/>
      <c r="Y63" s="439"/>
      <c r="Z63" s="439"/>
      <c r="AA63" s="439"/>
      <c r="AB63" s="439"/>
      <c r="AC63" s="439"/>
      <c r="AD63" s="439"/>
      <c r="AE63" s="439"/>
      <c r="AF63" s="439"/>
      <c r="AG63" s="439"/>
      <c r="AH63" s="439"/>
      <c r="AI63" s="439"/>
      <c r="AJ63" s="439"/>
      <c r="AK63" s="439"/>
      <c r="AL63" s="439"/>
      <c r="AM63" s="439"/>
      <c r="AN63" s="439">
        <f>1-SUM($J63:AM63)</f>
        <v>1</v>
      </c>
      <c r="AO63" s="439"/>
    </row>
    <row r="64" spans="3:41" ht="12.75">
      <c r="C64" s="338"/>
      <c r="D64" s="338"/>
      <c r="E64" s="338"/>
      <c r="F64" s="338"/>
      <c r="G64" s="338"/>
      <c r="H64" s="338">
        <f t="shared" si="15"/>
        <v>2029</v>
      </c>
      <c r="I64" s="438">
        <f t="shared" si="12"/>
        <v>1</v>
      </c>
      <c r="J64" s="338"/>
      <c r="K64" s="338"/>
      <c r="L64" s="338"/>
      <c r="M64" s="338"/>
      <c r="N64" s="338"/>
      <c r="O64" s="338"/>
      <c r="P64" s="338"/>
      <c r="Q64" s="338"/>
      <c r="R64" s="338"/>
      <c r="S64" s="338"/>
      <c r="T64" s="338"/>
      <c r="U64" s="439"/>
      <c r="V64" s="439"/>
      <c r="W64" s="439"/>
      <c r="X64" s="439"/>
      <c r="Y64" s="439"/>
      <c r="Z64" s="439"/>
      <c r="AA64" s="439"/>
      <c r="AB64" s="439"/>
      <c r="AC64" s="439"/>
      <c r="AD64" s="439"/>
      <c r="AE64" s="439"/>
      <c r="AF64" s="439"/>
      <c r="AG64" s="439"/>
      <c r="AH64" s="439"/>
      <c r="AI64" s="439"/>
      <c r="AJ64" s="439"/>
      <c r="AK64" s="439"/>
      <c r="AL64" s="439"/>
      <c r="AM64" s="439"/>
      <c r="AN64" s="439"/>
      <c r="AO64" s="439">
        <f>1-SUM($J64:AN64)</f>
        <v>1</v>
      </c>
    </row>
    <row r="65" spans="3:41" ht="12.75">
      <c r="C65" s="338"/>
      <c r="D65" s="338"/>
      <c r="E65" s="338"/>
      <c r="F65" s="338"/>
      <c r="G65" s="338"/>
      <c r="H65" s="338"/>
      <c r="I65" s="338"/>
      <c r="J65" s="338"/>
      <c r="K65" s="338"/>
      <c r="L65" s="338"/>
      <c r="M65" s="338"/>
      <c r="N65" s="338"/>
      <c r="O65" s="338"/>
      <c r="P65" s="338"/>
      <c r="Q65" s="338"/>
      <c r="R65" s="338"/>
      <c r="S65" s="338"/>
      <c r="T65" s="338"/>
      <c r="U65" s="338"/>
      <c r="V65" s="338"/>
      <c r="W65" s="338"/>
      <c r="X65" s="439"/>
      <c r="Y65" s="439"/>
      <c r="Z65" s="439"/>
      <c r="AA65" s="439"/>
      <c r="AB65" s="439"/>
      <c r="AC65" s="439"/>
      <c r="AD65" s="439"/>
      <c r="AE65" s="439"/>
      <c r="AF65" s="439"/>
      <c r="AG65" s="439"/>
      <c r="AH65" s="439"/>
      <c r="AI65" s="439"/>
      <c r="AJ65" s="439"/>
      <c r="AK65" s="439"/>
      <c r="AL65" s="439"/>
      <c r="AM65" s="439"/>
      <c r="AN65" s="439"/>
      <c r="AO65" s="439"/>
    </row>
    <row r="66" spans="3:41" ht="12.75">
      <c r="C66" s="338"/>
      <c r="D66" s="338"/>
      <c r="E66" s="338"/>
      <c r="F66" s="338"/>
      <c r="G66" s="338"/>
      <c r="H66" s="338"/>
      <c r="I66" s="338"/>
      <c r="J66" s="338"/>
      <c r="K66" s="338"/>
      <c r="L66" s="338"/>
      <c r="M66" s="338"/>
      <c r="N66" s="338"/>
      <c r="O66" s="338"/>
      <c r="P66" s="338"/>
      <c r="Q66" s="338"/>
      <c r="R66" s="338"/>
      <c r="S66" s="338"/>
      <c r="T66" s="338"/>
      <c r="U66" s="338"/>
      <c r="V66" s="338"/>
      <c r="W66" s="338"/>
      <c r="X66" s="338"/>
      <c r="Y66" s="439"/>
      <c r="Z66" s="439"/>
      <c r="AA66" s="439"/>
      <c r="AB66" s="439"/>
      <c r="AC66" s="439"/>
      <c r="AD66" s="439"/>
      <c r="AE66" s="439"/>
      <c r="AF66" s="439"/>
      <c r="AG66" s="439"/>
      <c r="AH66" s="439"/>
      <c r="AI66" s="439"/>
      <c r="AJ66" s="439"/>
      <c r="AK66" s="439"/>
      <c r="AL66" s="439"/>
      <c r="AM66" s="439"/>
      <c r="AN66" s="439"/>
      <c r="AO66" s="439"/>
    </row>
    <row r="67" spans="3:41" ht="12.75">
      <c r="C67" s="338"/>
      <c r="D67" s="338" t="s">
        <v>507</v>
      </c>
      <c r="E67" s="338"/>
      <c r="F67" s="338"/>
      <c r="G67" s="338"/>
      <c r="H67" s="506">
        <f>$J$25</f>
        <v>1998</v>
      </c>
      <c r="I67" s="440">
        <f aca="true" t="shared" si="38" ref="I67:I98">SUM(J67:AO67)</f>
        <v>0</v>
      </c>
      <c r="J67" s="440">
        <f aca="true" t="shared" si="39" ref="J67:AO67">$J$27*J33</f>
        <v>0</v>
      </c>
      <c r="K67" s="440">
        <f t="shared" si="39"/>
        <v>0</v>
      </c>
      <c r="L67" s="440">
        <f t="shared" si="39"/>
        <v>0</v>
      </c>
      <c r="M67" s="440">
        <f t="shared" si="39"/>
        <v>0</v>
      </c>
      <c r="N67" s="440">
        <f t="shared" si="39"/>
        <v>0</v>
      </c>
      <c r="O67" s="440">
        <f t="shared" si="39"/>
        <v>0</v>
      </c>
      <c r="P67" s="440">
        <f t="shared" si="39"/>
        <v>0</v>
      </c>
      <c r="Q67" s="440">
        <f t="shared" si="39"/>
        <v>0</v>
      </c>
      <c r="R67" s="440">
        <f t="shared" si="39"/>
        <v>0</v>
      </c>
      <c r="S67" s="440">
        <f t="shared" si="39"/>
        <v>0</v>
      </c>
      <c r="T67" s="440">
        <f t="shared" si="39"/>
        <v>0</v>
      </c>
      <c r="U67" s="440">
        <f t="shared" si="39"/>
        <v>0</v>
      </c>
      <c r="V67" s="440">
        <f t="shared" si="39"/>
        <v>0</v>
      </c>
      <c r="W67" s="440">
        <f t="shared" si="39"/>
        <v>0</v>
      </c>
      <c r="X67" s="440">
        <f t="shared" si="39"/>
        <v>0</v>
      </c>
      <c r="Y67" s="440">
        <f t="shared" si="39"/>
        <v>0</v>
      </c>
      <c r="Z67" s="440">
        <f t="shared" si="39"/>
        <v>0</v>
      </c>
      <c r="AA67" s="440">
        <f t="shared" si="39"/>
        <v>0</v>
      </c>
      <c r="AB67" s="440">
        <f t="shared" si="39"/>
        <v>0</v>
      </c>
      <c r="AC67" s="440">
        <f t="shared" si="39"/>
        <v>0</v>
      </c>
      <c r="AD67" s="440">
        <f t="shared" si="39"/>
        <v>0</v>
      </c>
      <c r="AE67" s="440">
        <f t="shared" si="39"/>
        <v>0</v>
      </c>
      <c r="AF67" s="440">
        <f t="shared" si="39"/>
        <v>0</v>
      </c>
      <c r="AG67" s="440">
        <f t="shared" si="39"/>
        <v>0</v>
      </c>
      <c r="AH67" s="440">
        <f t="shared" si="39"/>
        <v>0</v>
      </c>
      <c r="AI67" s="440">
        <f t="shared" si="39"/>
        <v>0</v>
      </c>
      <c r="AJ67" s="440">
        <f t="shared" si="39"/>
        <v>0</v>
      </c>
      <c r="AK67" s="440">
        <f t="shared" si="39"/>
        <v>0</v>
      </c>
      <c r="AL67" s="440">
        <f t="shared" si="39"/>
        <v>0</v>
      </c>
      <c r="AM67" s="440">
        <f t="shared" si="39"/>
        <v>0</v>
      </c>
      <c r="AN67" s="440">
        <f t="shared" si="39"/>
        <v>0</v>
      </c>
      <c r="AO67" s="440">
        <f t="shared" si="39"/>
        <v>0</v>
      </c>
    </row>
    <row r="68" spans="3:41" ht="12.75">
      <c r="C68" s="338"/>
      <c r="D68" s="338"/>
      <c r="E68" s="338"/>
      <c r="F68" s="338"/>
      <c r="G68" s="338"/>
      <c r="H68" s="338">
        <f aca="true" t="shared" si="40" ref="H68:H98">H67+1</f>
        <v>1999</v>
      </c>
      <c r="I68" s="440">
        <f t="shared" si="38"/>
        <v>7523.264999999995</v>
      </c>
      <c r="J68" s="440"/>
      <c r="K68" s="440">
        <f aca="true" t="shared" si="41" ref="K68:AO68">$K$27*K34</f>
        <v>300.93059999999997</v>
      </c>
      <c r="L68" s="440">
        <f t="shared" si="41"/>
        <v>300.93059999999997</v>
      </c>
      <c r="M68" s="440">
        <f t="shared" si="41"/>
        <v>300.93059999999997</v>
      </c>
      <c r="N68" s="440">
        <f t="shared" si="41"/>
        <v>300.93059999999997</v>
      </c>
      <c r="O68" s="440">
        <f t="shared" si="41"/>
        <v>300.93059999999997</v>
      </c>
      <c r="P68" s="440">
        <f t="shared" si="41"/>
        <v>300.93059999999997</v>
      </c>
      <c r="Q68" s="440">
        <f t="shared" si="41"/>
        <v>300.93059999999997</v>
      </c>
      <c r="R68" s="440">
        <f t="shared" si="41"/>
        <v>300.93059999999997</v>
      </c>
      <c r="S68" s="440">
        <f t="shared" si="41"/>
        <v>300.93059999999997</v>
      </c>
      <c r="T68" s="440">
        <f t="shared" si="41"/>
        <v>300.93059999999997</v>
      </c>
      <c r="U68" s="440">
        <f t="shared" si="41"/>
        <v>300.93059999999997</v>
      </c>
      <c r="V68" s="440">
        <f t="shared" si="41"/>
        <v>300.93059999999997</v>
      </c>
      <c r="W68" s="440">
        <f t="shared" si="41"/>
        <v>300.93059999999997</v>
      </c>
      <c r="X68" s="440">
        <f t="shared" si="41"/>
        <v>300.93059999999997</v>
      </c>
      <c r="Y68" s="440">
        <f t="shared" si="41"/>
        <v>300.93059999999997</v>
      </c>
      <c r="Z68" s="440">
        <f t="shared" si="41"/>
        <v>300.93059999999997</v>
      </c>
      <c r="AA68" s="440">
        <f t="shared" si="41"/>
        <v>300.93059999999997</v>
      </c>
      <c r="AB68" s="440">
        <f t="shared" si="41"/>
        <v>300.93059999999997</v>
      </c>
      <c r="AC68" s="440">
        <f t="shared" si="41"/>
        <v>300.93059999999997</v>
      </c>
      <c r="AD68" s="440">
        <f t="shared" si="41"/>
        <v>300.93059999999997</v>
      </c>
      <c r="AE68" s="440">
        <f t="shared" si="41"/>
        <v>300.93059999999997</v>
      </c>
      <c r="AF68" s="440">
        <f t="shared" si="41"/>
        <v>300.93059999999997</v>
      </c>
      <c r="AG68" s="440">
        <f t="shared" si="41"/>
        <v>300.93059999999997</v>
      </c>
      <c r="AH68" s="440">
        <f t="shared" si="41"/>
        <v>300.93059999999997</v>
      </c>
      <c r="AI68" s="440">
        <f t="shared" si="41"/>
        <v>300.93059999999775</v>
      </c>
      <c r="AJ68" s="440">
        <f t="shared" si="41"/>
        <v>0</v>
      </c>
      <c r="AK68" s="440">
        <f t="shared" si="41"/>
        <v>0</v>
      </c>
      <c r="AL68" s="440">
        <f t="shared" si="41"/>
        <v>0</v>
      </c>
      <c r="AM68" s="440">
        <f t="shared" si="41"/>
        <v>0</v>
      </c>
      <c r="AN68" s="440">
        <f t="shared" si="41"/>
        <v>0</v>
      </c>
      <c r="AO68" s="440">
        <f t="shared" si="41"/>
        <v>0</v>
      </c>
    </row>
    <row r="69" spans="3:41" ht="12.75">
      <c r="C69" s="338"/>
      <c r="D69" s="338"/>
      <c r="E69" s="338"/>
      <c r="F69" s="338"/>
      <c r="G69" s="338"/>
      <c r="H69" s="338">
        <f t="shared" si="40"/>
        <v>2000</v>
      </c>
      <c r="I69" s="440">
        <f t="shared" si="38"/>
        <v>1781.9000000000017</v>
      </c>
      <c r="J69" s="440"/>
      <c r="K69" s="440"/>
      <c r="L69" s="440">
        <f aca="true" t="shared" si="42" ref="L69:AO69">$L$27*L35</f>
        <v>74.24583333333334</v>
      </c>
      <c r="M69" s="440">
        <f t="shared" si="42"/>
        <v>74.24583333333334</v>
      </c>
      <c r="N69" s="440">
        <f t="shared" si="42"/>
        <v>74.24583333333334</v>
      </c>
      <c r="O69" s="440">
        <f t="shared" si="42"/>
        <v>74.24583333333334</v>
      </c>
      <c r="P69" s="440">
        <f t="shared" si="42"/>
        <v>74.24583333333334</v>
      </c>
      <c r="Q69" s="440">
        <f t="shared" si="42"/>
        <v>74.24583333333334</v>
      </c>
      <c r="R69" s="440">
        <f t="shared" si="42"/>
        <v>74.24583333333334</v>
      </c>
      <c r="S69" s="440">
        <f t="shared" si="42"/>
        <v>74.24583333333334</v>
      </c>
      <c r="T69" s="440">
        <f t="shared" si="42"/>
        <v>74.24583333333334</v>
      </c>
      <c r="U69" s="440">
        <f t="shared" si="42"/>
        <v>74.24583333333334</v>
      </c>
      <c r="V69" s="440">
        <f t="shared" si="42"/>
        <v>74.24583333333334</v>
      </c>
      <c r="W69" s="440">
        <f t="shared" si="42"/>
        <v>74.24583333333334</v>
      </c>
      <c r="X69" s="440">
        <f t="shared" si="42"/>
        <v>74.24583333333334</v>
      </c>
      <c r="Y69" s="440">
        <f t="shared" si="42"/>
        <v>74.24583333333334</v>
      </c>
      <c r="Z69" s="440">
        <f t="shared" si="42"/>
        <v>74.24583333333334</v>
      </c>
      <c r="AA69" s="440">
        <f t="shared" si="42"/>
        <v>74.24583333333334</v>
      </c>
      <c r="AB69" s="440">
        <f t="shared" si="42"/>
        <v>74.24583333333334</v>
      </c>
      <c r="AC69" s="440">
        <f t="shared" si="42"/>
        <v>74.24583333333334</v>
      </c>
      <c r="AD69" s="440">
        <f t="shared" si="42"/>
        <v>74.24583333333334</v>
      </c>
      <c r="AE69" s="440">
        <f t="shared" si="42"/>
        <v>74.24583333333334</v>
      </c>
      <c r="AF69" s="440">
        <f t="shared" si="42"/>
        <v>74.24583333333334</v>
      </c>
      <c r="AG69" s="440">
        <f t="shared" si="42"/>
        <v>74.24583333333334</v>
      </c>
      <c r="AH69" s="440">
        <f t="shared" si="42"/>
        <v>74.24583333333334</v>
      </c>
      <c r="AI69" s="440">
        <f t="shared" si="42"/>
        <v>74.24583333333406</v>
      </c>
      <c r="AJ69" s="440">
        <f t="shared" si="42"/>
        <v>0</v>
      </c>
      <c r="AK69" s="440">
        <f t="shared" si="42"/>
        <v>0</v>
      </c>
      <c r="AL69" s="440">
        <f t="shared" si="42"/>
        <v>0</v>
      </c>
      <c r="AM69" s="440">
        <f t="shared" si="42"/>
        <v>0</v>
      </c>
      <c r="AN69" s="440">
        <f t="shared" si="42"/>
        <v>0</v>
      </c>
      <c r="AO69" s="440">
        <f t="shared" si="42"/>
        <v>0</v>
      </c>
    </row>
    <row r="70" spans="3:41" ht="12.75">
      <c r="C70" s="338"/>
      <c r="D70" s="338"/>
      <c r="E70" s="338"/>
      <c r="F70" s="338"/>
      <c r="G70" s="338"/>
      <c r="H70" s="338">
        <f t="shared" si="40"/>
        <v>2001</v>
      </c>
      <c r="I70" s="440">
        <f t="shared" si="38"/>
        <v>148331.00990400216</v>
      </c>
      <c r="J70" s="440"/>
      <c r="K70" s="440"/>
      <c r="L70" s="440"/>
      <c r="M70" s="440">
        <f aca="true" t="shared" si="43" ref="M70:AO70">$M$27*M36</f>
        <v>6449.174343652264</v>
      </c>
      <c r="N70" s="440">
        <f t="shared" si="43"/>
        <v>6449.174343652264</v>
      </c>
      <c r="O70" s="440">
        <f t="shared" si="43"/>
        <v>6449.174343652264</v>
      </c>
      <c r="P70" s="440">
        <f t="shared" si="43"/>
        <v>6449.174343652264</v>
      </c>
      <c r="Q70" s="440">
        <f t="shared" si="43"/>
        <v>6449.174343652264</v>
      </c>
      <c r="R70" s="440">
        <f t="shared" si="43"/>
        <v>6449.174343652264</v>
      </c>
      <c r="S70" s="440">
        <f t="shared" si="43"/>
        <v>6449.174343652264</v>
      </c>
      <c r="T70" s="440">
        <f t="shared" si="43"/>
        <v>6449.174343652264</v>
      </c>
      <c r="U70" s="440">
        <f t="shared" si="43"/>
        <v>6449.174343652264</v>
      </c>
      <c r="V70" s="440">
        <f t="shared" si="43"/>
        <v>6449.174343652264</v>
      </c>
      <c r="W70" s="440">
        <f t="shared" si="43"/>
        <v>6449.174343652264</v>
      </c>
      <c r="X70" s="440">
        <f t="shared" si="43"/>
        <v>6449.174343652264</v>
      </c>
      <c r="Y70" s="440">
        <f t="shared" si="43"/>
        <v>6449.174343652264</v>
      </c>
      <c r="Z70" s="440">
        <f t="shared" si="43"/>
        <v>6449.174343652264</v>
      </c>
      <c r="AA70" s="440">
        <f t="shared" si="43"/>
        <v>6449.174343652264</v>
      </c>
      <c r="AB70" s="440">
        <f t="shared" si="43"/>
        <v>6449.174343652264</v>
      </c>
      <c r="AC70" s="440">
        <f t="shared" si="43"/>
        <v>6449.174343652264</v>
      </c>
      <c r="AD70" s="440">
        <f t="shared" si="43"/>
        <v>6449.174343652264</v>
      </c>
      <c r="AE70" s="440">
        <f t="shared" si="43"/>
        <v>6449.174343652264</v>
      </c>
      <c r="AF70" s="440">
        <f t="shared" si="43"/>
        <v>6449.174343652264</v>
      </c>
      <c r="AG70" s="440">
        <f t="shared" si="43"/>
        <v>6449.174343652264</v>
      </c>
      <c r="AH70" s="440">
        <f t="shared" si="43"/>
        <v>6449.174343652264</v>
      </c>
      <c r="AI70" s="440">
        <f t="shared" si="43"/>
        <v>6449.174343652326</v>
      </c>
      <c r="AJ70" s="440">
        <f t="shared" si="43"/>
        <v>0</v>
      </c>
      <c r="AK70" s="440">
        <f t="shared" si="43"/>
        <v>0</v>
      </c>
      <c r="AL70" s="440">
        <f t="shared" si="43"/>
        <v>0</v>
      </c>
      <c r="AM70" s="440">
        <f t="shared" si="43"/>
        <v>0</v>
      </c>
      <c r="AN70" s="440">
        <f t="shared" si="43"/>
        <v>0</v>
      </c>
      <c r="AO70" s="440">
        <f t="shared" si="43"/>
        <v>0</v>
      </c>
    </row>
    <row r="71" spans="3:41" ht="12.75">
      <c r="C71" s="338"/>
      <c r="D71" s="338"/>
      <c r="E71" s="338"/>
      <c r="F71" s="338"/>
      <c r="G71" s="338"/>
      <c r="H71" s="338">
        <f t="shared" si="40"/>
        <v>2002</v>
      </c>
      <c r="I71" s="440">
        <f t="shared" si="38"/>
        <v>76380.80922806007</v>
      </c>
      <c r="J71" s="440"/>
      <c r="K71" s="440"/>
      <c r="L71" s="440"/>
      <c r="M71" s="440"/>
      <c r="N71" s="440">
        <f aca="true" t="shared" si="44" ref="N71:AO71">$N$27*N37</f>
        <v>3471.85496491182</v>
      </c>
      <c r="O71" s="440">
        <f t="shared" si="44"/>
        <v>3471.85496491182</v>
      </c>
      <c r="P71" s="440">
        <f t="shared" si="44"/>
        <v>3471.85496491182</v>
      </c>
      <c r="Q71" s="440">
        <f t="shared" si="44"/>
        <v>3471.85496491182</v>
      </c>
      <c r="R71" s="440">
        <f t="shared" si="44"/>
        <v>3471.85496491182</v>
      </c>
      <c r="S71" s="440">
        <f t="shared" si="44"/>
        <v>3471.85496491182</v>
      </c>
      <c r="T71" s="440">
        <f t="shared" si="44"/>
        <v>3471.85496491182</v>
      </c>
      <c r="U71" s="440">
        <f t="shared" si="44"/>
        <v>3471.85496491182</v>
      </c>
      <c r="V71" s="440">
        <f t="shared" si="44"/>
        <v>3471.85496491182</v>
      </c>
      <c r="W71" s="440">
        <f t="shared" si="44"/>
        <v>3471.85496491182</v>
      </c>
      <c r="X71" s="440">
        <f t="shared" si="44"/>
        <v>3471.85496491182</v>
      </c>
      <c r="Y71" s="440">
        <f t="shared" si="44"/>
        <v>3471.85496491182</v>
      </c>
      <c r="Z71" s="440">
        <f t="shared" si="44"/>
        <v>3471.85496491182</v>
      </c>
      <c r="AA71" s="440">
        <f t="shared" si="44"/>
        <v>3471.85496491182</v>
      </c>
      <c r="AB71" s="440">
        <f t="shared" si="44"/>
        <v>3471.85496491182</v>
      </c>
      <c r="AC71" s="440">
        <f t="shared" si="44"/>
        <v>3471.85496491182</v>
      </c>
      <c r="AD71" s="440">
        <f t="shared" si="44"/>
        <v>3471.85496491182</v>
      </c>
      <c r="AE71" s="440">
        <f t="shared" si="44"/>
        <v>3471.85496491182</v>
      </c>
      <c r="AF71" s="440">
        <f t="shared" si="44"/>
        <v>3471.85496491182</v>
      </c>
      <c r="AG71" s="440">
        <f t="shared" si="44"/>
        <v>3471.85496491182</v>
      </c>
      <c r="AH71" s="440">
        <f t="shared" si="44"/>
        <v>3471.85496491182</v>
      </c>
      <c r="AI71" s="440">
        <f t="shared" si="44"/>
        <v>3471.854964911842</v>
      </c>
      <c r="AJ71" s="440">
        <f t="shared" si="44"/>
        <v>0</v>
      </c>
      <c r="AK71" s="440">
        <f t="shared" si="44"/>
        <v>0</v>
      </c>
      <c r="AL71" s="440">
        <f t="shared" si="44"/>
        <v>0</v>
      </c>
      <c r="AM71" s="440">
        <f t="shared" si="44"/>
        <v>0</v>
      </c>
      <c r="AN71" s="440">
        <f t="shared" si="44"/>
        <v>0</v>
      </c>
      <c r="AO71" s="440">
        <f t="shared" si="44"/>
        <v>0</v>
      </c>
    </row>
    <row r="72" spans="3:41" ht="12.75">
      <c r="C72" s="338"/>
      <c r="D72" s="338"/>
      <c r="E72" s="338"/>
      <c r="F72" s="338"/>
      <c r="G72" s="338"/>
      <c r="H72" s="338">
        <f t="shared" si="40"/>
        <v>2003</v>
      </c>
      <c r="I72" s="440">
        <f t="shared" si="38"/>
        <v>4976.999957819998</v>
      </c>
      <c r="J72" s="440"/>
      <c r="K72" s="440"/>
      <c r="L72" s="440"/>
      <c r="M72" s="440"/>
      <c r="N72" s="440"/>
      <c r="O72" s="440">
        <f aca="true" t="shared" si="45" ref="O72:AO72">$O$27*O38</f>
        <v>236.99999799142853</v>
      </c>
      <c r="P72" s="440">
        <f t="shared" si="45"/>
        <v>236.99999799142853</v>
      </c>
      <c r="Q72" s="440">
        <f t="shared" si="45"/>
        <v>236.99999799142853</v>
      </c>
      <c r="R72" s="440">
        <f t="shared" si="45"/>
        <v>236.99999799142853</v>
      </c>
      <c r="S72" s="440">
        <f t="shared" si="45"/>
        <v>236.99999799142853</v>
      </c>
      <c r="T72" s="440">
        <f t="shared" si="45"/>
        <v>236.99999799142853</v>
      </c>
      <c r="U72" s="440">
        <f t="shared" si="45"/>
        <v>236.99999799142853</v>
      </c>
      <c r="V72" s="440">
        <f t="shared" si="45"/>
        <v>236.99999799142853</v>
      </c>
      <c r="W72" s="440">
        <f t="shared" si="45"/>
        <v>236.99999799142853</v>
      </c>
      <c r="X72" s="440">
        <f t="shared" si="45"/>
        <v>236.99999799142853</v>
      </c>
      <c r="Y72" s="440">
        <f t="shared" si="45"/>
        <v>236.99999799142853</v>
      </c>
      <c r="Z72" s="440">
        <f t="shared" si="45"/>
        <v>236.99999799142853</v>
      </c>
      <c r="AA72" s="440">
        <f t="shared" si="45"/>
        <v>236.99999799142853</v>
      </c>
      <c r="AB72" s="440">
        <f t="shared" si="45"/>
        <v>236.99999799142853</v>
      </c>
      <c r="AC72" s="440">
        <f t="shared" si="45"/>
        <v>236.99999799142853</v>
      </c>
      <c r="AD72" s="440">
        <f t="shared" si="45"/>
        <v>236.99999799142853</v>
      </c>
      <c r="AE72" s="440">
        <f t="shared" si="45"/>
        <v>236.99999799142853</v>
      </c>
      <c r="AF72" s="440">
        <f t="shared" si="45"/>
        <v>236.99999799142853</v>
      </c>
      <c r="AG72" s="440">
        <f t="shared" si="45"/>
        <v>236.99999799142853</v>
      </c>
      <c r="AH72" s="440">
        <f t="shared" si="45"/>
        <v>236.99999799142853</v>
      </c>
      <c r="AI72" s="440">
        <f t="shared" si="45"/>
        <v>236.9999979914266</v>
      </c>
      <c r="AJ72" s="440">
        <f t="shared" si="45"/>
        <v>0</v>
      </c>
      <c r="AK72" s="440">
        <f t="shared" si="45"/>
        <v>0</v>
      </c>
      <c r="AL72" s="440">
        <f t="shared" si="45"/>
        <v>0</v>
      </c>
      <c r="AM72" s="440">
        <f t="shared" si="45"/>
        <v>0</v>
      </c>
      <c r="AN72" s="440">
        <f t="shared" si="45"/>
        <v>0</v>
      </c>
      <c r="AO72" s="440">
        <f t="shared" si="45"/>
        <v>0</v>
      </c>
    </row>
    <row r="73" spans="3:41" ht="12.75">
      <c r="C73" s="338"/>
      <c r="D73" s="338"/>
      <c r="E73" s="338"/>
      <c r="F73" s="338"/>
      <c r="G73" s="338"/>
      <c r="H73" s="338">
        <f t="shared" si="40"/>
        <v>2004</v>
      </c>
      <c r="I73" s="440">
        <f t="shared" si="38"/>
        <v>4057.4592600499986</v>
      </c>
      <c r="J73" s="440"/>
      <c r="K73" s="440"/>
      <c r="L73" s="440"/>
      <c r="M73" s="440"/>
      <c r="N73" s="440"/>
      <c r="O73" s="440"/>
      <c r="P73" s="440">
        <f aca="true" t="shared" si="46" ref="P73:AO73">$P$27*P39</f>
        <v>202.8729630025</v>
      </c>
      <c r="Q73" s="440">
        <f t="shared" si="46"/>
        <v>202.8729630025</v>
      </c>
      <c r="R73" s="440">
        <f t="shared" si="46"/>
        <v>202.8729630025</v>
      </c>
      <c r="S73" s="440">
        <f t="shared" si="46"/>
        <v>202.8729630025</v>
      </c>
      <c r="T73" s="440">
        <f t="shared" si="46"/>
        <v>202.8729630025</v>
      </c>
      <c r="U73" s="440">
        <f t="shared" si="46"/>
        <v>202.8729630025</v>
      </c>
      <c r="V73" s="440">
        <f t="shared" si="46"/>
        <v>202.8729630025</v>
      </c>
      <c r="W73" s="440">
        <f t="shared" si="46"/>
        <v>202.8729630025</v>
      </c>
      <c r="X73" s="440">
        <f t="shared" si="46"/>
        <v>202.8729630025</v>
      </c>
      <c r="Y73" s="440">
        <f t="shared" si="46"/>
        <v>202.8729630025</v>
      </c>
      <c r="Z73" s="440">
        <f t="shared" si="46"/>
        <v>202.8729630025</v>
      </c>
      <c r="AA73" s="440">
        <f t="shared" si="46"/>
        <v>202.8729630025</v>
      </c>
      <c r="AB73" s="440">
        <f t="shared" si="46"/>
        <v>202.8729630025</v>
      </c>
      <c r="AC73" s="440">
        <f t="shared" si="46"/>
        <v>202.8729630025</v>
      </c>
      <c r="AD73" s="440">
        <f t="shared" si="46"/>
        <v>202.8729630025</v>
      </c>
      <c r="AE73" s="440">
        <f t="shared" si="46"/>
        <v>202.8729630025</v>
      </c>
      <c r="AF73" s="440">
        <f t="shared" si="46"/>
        <v>202.8729630025</v>
      </c>
      <c r="AG73" s="440">
        <f t="shared" si="46"/>
        <v>202.8729630025</v>
      </c>
      <c r="AH73" s="440">
        <f t="shared" si="46"/>
        <v>202.8729630025</v>
      </c>
      <c r="AI73" s="440">
        <f t="shared" si="46"/>
        <v>202.8729630024988</v>
      </c>
      <c r="AJ73" s="440">
        <f t="shared" si="46"/>
        <v>0</v>
      </c>
      <c r="AK73" s="440">
        <f t="shared" si="46"/>
        <v>0</v>
      </c>
      <c r="AL73" s="440">
        <f t="shared" si="46"/>
        <v>0</v>
      </c>
      <c r="AM73" s="440">
        <f t="shared" si="46"/>
        <v>0</v>
      </c>
      <c r="AN73" s="440">
        <f t="shared" si="46"/>
        <v>0</v>
      </c>
      <c r="AO73" s="440">
        <f t="shared" si="46"/>
        <v>0</v>
      </c>
    </row>
    <row r="74" spans="3:41" ht="12.75">
      <c r="C74" s="338"/>
      <c r="D74" s="338"/>
      <c r="E74" s="338"/>
      <c r="F74" s="338"/>
      <c r="G74" s="338"/>
      <c r="H74" s="338">
        <f t="shared" si="40"/>
        <v>2005</v>
      </c>
      <c r="I74" s="440">
        <f t="shared" si="38"/>
        <v>4179.183037851502</v>
      </c>
      <c r="J74" s="440"/>
      <c r="K74" s="440"/>
      <c r="L74" s="440"/>
      <c r="M74" s="440"/>
      <c r="N74" s="440"/>
      <c r="O74" s="440"/>
      <c r="P74" s="440"/>
      <c r="Q74" s="440">
        <f aca="true" t="shared" si="47" ref="Q74:AO74">$Q$27*Q40</f>
        <v>219.9570019921842</v>
      </c>
      <c r="R74" s="440">
        <f t="shared" si="47"/>
        <v>219.9570019921842</v>
      </c>
      <c r="S74" s="440">
        <f t="shared" si="47"/>
        <v>219.9570019921842</v>
      </c>
      <c r="T74" s="440">
        <f t="shared" si="47"/>
        <v>219.9570019921842</v>
      </c>
      <c r="U74" s="440">
        <f t="shared" si="47"/>
        <v>219.9570019921842</v>
      </c>
      <c r="V74" s="440">
        <f t="shared" si="47"/>
        <v>219.9570019921842</v>
      </c>
      <c r="W74" s="440">
        <f t="shared" si="47"/>
        <v>219.9570019921842</v>
      </c>
      <c r="X74" s="440">
        <f t="shared" si="47"/>
        <v>219.9570019921842</v>
      </c>
      <c r="Y74" s="440">
        <f t="shared" si="47"/>
        <v>219.9570019921842</v>
      </c>
      <c r="Z74" s="440">
        <f t="shared" si="47"/>
        <v>219.9570019921842</v>
      </c>
      <c r="AA74" s="440">
        <f t="shared" si="47"/>
        <v>219.9570019921842</v>
      </c>
      <c r="AB74" s="440">
        <f t="shared" si="47"/>
        <v>219.9570019921842</v>
      </c>
      <c r="AC74" s="440">
        <f t="shared" si="47"/>
        <v>219.9570019921842</v>
      </c>
      <c r="AD74" s="440">
        <f t="shared" si="47"/>
        <v>219.9570019921842</v>
      </c>
      <c r="AE74" s="440">
        <f t="shared" si="47"/>
        <v>219.9570019921842</v>
      </c>
      <c r="AF74" s="440">
        <f t="shared" si="47"/>
        <v>219.9570019921842</v>
      </c>
      <c r="AG74" s="440">
        <f t="shared" si="47"/>
        <v>219.9570019921842</v>
      </c>
      <c r="AH74" s="440">
        <f t="shared" si="47"/>
        <v>219.9570019921842</v>
      </c>
      <c r="AI74" s="440">
        <f t="shared" si="47"/>
        <v>219.9570019921858</v>
      </c>
      <c r="AJ74" s="440">
        <f t="shared" si="47"/>
        <v>0</v>
      </c>
      <c r="AK74" s="440">
        <f t="shared" si="47"/>
        <v>0</v>
      </c>
      <c r="AL74" s="440">
        <f t="shared" si="47"/>
        <v>0</v>
      </c>
      <c r="AM74" s="440">
        <f t="shared" si="47"/>
        <v>0</v>
      </c>
      <c r="AN74" s="440">
        <f t="shared" si="47"/>
        <v>0</v>
      </c>
      <c r="AO74" s="440">
        <f t="shared" si="47"/>
        <v>0</v>
      </c>
    </row>
    <row r="75" spans="3:41" ht="12.75">
      <c r="C75" s="338"/>
      <c r="D75" s="338"/>
      <c r="E75" s="338"/>
      <c r="F75" s="338"/>
      <c r="G75" s="338"/>
      <c r="H75" s="338">
        <f t="shared" si="40"/>
        <v>2006</v>
      </c>
      <c r="I75" s="440">
        <f t="shared" si="38"/>
        <v>4304.558528987043</v>
      </c>
      <c r="J75" s="440"/>
      <c r="K75" s="440"/>
      <c r="L75" s="440"/>
      <c r="M75" s="440"/>
      <c r="N75" s="440"/>
      <c r="O75" s="440"/>
      <c r="P75" s="440"/>
      <c r="Q75" s="440"/>
      <c r="R75" s="440">
        <f aca="true" t="shared" si="48" ref="R75:AO75">$R$27*R41</f>
        <v>239.14214049928026</v>
      </c>
      <c r="S75" s="440">
        <f t="shared" si="48"/>
        <v>239.14214049928026</v>
      </c>
      <c r="T75" s="440">
        <f t="shared" si="48"/>
        <v>239.14214049928026</v>
      </c>
      <c r="U75" s="440">
        <f t="shared" si="48"/>
        <v>239.14214049928026</v>
      </c>
      <c r="V75" s="440">
        <f t="shared" si="48"/>
        <v>239.14214049928026</v>
      </c>
      <c r="W75" s="440">
        <f t="shared" si="48"/>
        <v>239.14214049928026</v>
      </c>
      <c r="X75" s="440">
        <f t="shared" si="48"/>
        <v>239.14214049928026</v>
      </c>
      <c r="Y75" s="440">
        <f t="shared" si="48"/>
        <v>239.14214049928026</v>
      </c>
      <c r="Z75" s="440">
        <f t="shared" si="48"/>
        <v>239.14214049928026</v>
      </c>
      <c r="AA75" s="440">
        <f t="shared" si="48"/>
        <v>239.14214049928026</v>
      </c>
      <c r="AB75" s="440">
        <f t="shared" si="48"/>
        <v>239.14214049928026</v>
      </c>
      <c r="AC75" s="440">
        <f t="shared" si="48"/>
        <v>239.14214049928026</v>
      </c>
      <c r="AD75" s="440">
        <f t="shared" si="48"/>
        <v>239.14214049928026</v>
      </c>
      <c r="AE75" s="440">
        <f t="shared" si="48"/>
        <v>239.14214049928026</v>
      </c>
      <c r="AF75" s="440">
        <f t="shared" si="48"/>
        <v>239.14214049928026</v>
      </c>
      <c r="AG75" s="440">
        <f t="shared" si="48"/>
        <v>239.14214049928026</v>
      </c>
      <c r="AH75" s="440">
        <f t="shared" si="48"/>
        <v>239.14214049928026</v>
      </c>
      <c r="AI75" s="440">
        <f t="shared" si="48"/>
        <v>239.14214049927895</v>
      </c>
      <c r="AJ75" s="440">
        <f t="shared" si="48"/>
        <v>0</v>
      </c>
      <c r="AK75" s="440">
        <f t="shared" si="48"/>
        <v>0</v>
      </c>
      <c r="AL75" s="440">
        <f t="shared" si="48"/>
        <v>0</v>
      </c>
      <c r="AM75" s="440">
        <f t="shared" si="48"/>
        <v>0</v>
      </c>
      <c r="AN75" s="440">
        <f t="shared" si="48"/>
        <v>0</v>
      </c>
      <c r="AO75" s="440">
        <f t="shared" si="48"/>
        <v>0</v>
      </c>
    </row>
    <row r="76" spans="3:41" ht="12.75">
      <c r="C76" s="338"/>
      <c r="D76" s="338"/>
      <c r="E76" s="338"/>
      <c r="F76" s="338"/>
      <c r="G76" s="338"/>
      <c r="H76" s="338">
        <f t="shared" si="40"/>
        <v>2007</v>
      </c>
      <c r="I76" s="440">
        <f t="shared" si="38"/>
        <v>4433.695284856656</v>
      </c>
      <c r="J76" s="440"/>
      <c r="K76" s="440"/>
      <c r="L76" s="440"/>
      <c r="M76" s="440"/>
      <c r="N76" s="440"/>
      <c r="O76" s="440"/>
      <c r="P76" s="440"/>
      <c r="Q76" s="440"/>
      <c r="R76" s="440"/>
      <c r="S76" s="440">
        <f aca="true" t="shared" si="49" ref="S76:AO76">$S$27*S42</f>
        <v>260.80560499156803</v>
      </c>
      <c r="T76" s="440">
        <f t="shared" si="49"/>
        <v>260.80560499156803</v>
      </c>
      <c r="U76" s="440">
        <f t="shared" si="49"/>
        <v>260.80560499156803</v>
      </c>
      <c r="V76" s="440">
        <f t="shared" si="49"/>
        <v>260.80560499156803</v>
      </c>
      <c r="W76" s="440">
        <f t="shared" si="49"/>
        <v>260.80560499156803</v>
      </c>
      <c r="X76" s="440">
        <f t="shared" si="49"/>
        <v>260.80560499156803</v>
      </c>
      <c r="Y76" s="440">
        <f t="shared" si="49"/>
        <v>260.80560499156803</v>
      </c>
      <c r="Z76" s="440">
        <f t="shared" si="49"/>
        <v>260.80560499156803</v>
      </c>
      <c r="AA76" s="440">
        <f t="shared" si="49"/>
        <v>260.80560499156803</v>
      </c>
      <c r="AB76" s="440">
        <f t="shared" si="49"/>
        <v>260.80560499156803</v>
      </c>
      <c r="AC76" s="440">
        <f t="shared" si="49"/>
        <v>260.80560499156803</v>
      </c>
      <c r="AD76" s="440">
        <f t="shared" si="49"/>
        <v>260.80560499156803</v>
      </c>
      <c r="AE76" s="440">
        <f t="shared" si="49"/>
        <v>260.80560499156803</v>
      </c>
      <c r="AF76" s="440">
        <f t="shared" si="49"/>
        <v>260.80560499156803</v>
      </c>
      <c r="AG76" s="440">
        <f t="shared" si="49"/>
        <v>260.80560499156803</v>
      </c>
      <c r="AH76" s="440">
        <f t="shared" si="49"/>
        <v>260.80560499156803</v>
      </c>
      <c r="AI76" s="440">
        <f t="shared" si="49"/>
        <v>260.8056049915676</v>
      </c>
      <c r="AJ76" s="440">
        <f t="shared" si="49"/>
        <v>0</v>
      </c>
      <c r="AK76" s="440">
        <f t="shared" si="49"/>
        <v>0</v>
      </c>
      <c r="AL76" s="440">
        <f t="shared" si="49"/>
        <v>0</v>
      </c>
      <c r="AM76" s="440">
        <f t="shared" si="49"/>
        <v>0</v>
      </c>
      <c r="AN76" s="440">
        <f t="shared" si="49"/>
        <v>0</v>
      </c>
      <c r="AO76" s="440">
        <f t="shared" si="49"/>
        <v>0</v>
      </c>
    </row>
    <row r="77" spans="3:41" ht="12.75">
      <c r="C77" s="338"/>
      <c r="D77" s="338"/>
      <c r="E77" s="338"/>
      <c r="F77" s="338"/>
      <c r="G77" s="338"/>
      <c r="H77" s="338">
        <f t="shared" si="40"/>
        <v>2008</v>
      </c>
      <c r="I77" s="440">
        <f t="shared" si="38"/>
        <v>4566.706143402355</v>
      </c>
      <c r="J77" s="440"/>
      <c r="K77" s="440"/>
      <c r="L77" s="440"/>
      <c r="M77" s="440"/>
      <c r="N77" s="440"/>
      <c r="O77" s="440"/>
      <c r="P77" s="440"/>
      <c r="Q77" s="440"/>
      <c r="R77" s="440"/>
      <c r="S77" s="440"/>
      <c r="T77" s="440">
        <f aca="true" t="shared" si="50" ref="T77:AO77">$T$27*T43</f>
        <v>285.4191339626472</v>
      </c>
      <c r="U77" s="440">
        <f t="shared" si="50"/>
        <v>285.4191339626472</v>
      </c>
      <c r="V77" s="440">
        <f t="shared" si="50"/>
        <v>285.4191339626472</v>
      </c>
      <c r="W77" s="440">
        <f t="shared" si="50"/>
        <v>285.4191339626472</v>
      </c>
      <c r="X77" s="440">
        <f t="shared" si="50"/>
        <v>285.4191339626472</v>
      </c>
      <c r="Y77" s="440">
        <f t="shared" si="50"/>
        <v>285.4191339626472</v>
      </c>
      <c r="Z77" s="440">
        <f t="shared" si="50"/>
        <v>285.4191339626472</v>
      </c>
      <c r="AA77" s="440">
        <f t="shared" si="50"/>
        <v>285.4191339626472</v>
      </c>
      <c r="AB77" s="440">
        <f t="shared" si="50"/>
        <v>285.4191339626472</v>
      </c>
      <c r="AC77" s="440">
        <f t="shared" si="50"/>
        <v>285.4191339626472</v>
      </c>
      <c r="AD77" s="440">
        <f t="shared" si="50"/>
        <v>285.4191339626472</v>
      </c>
      <c r="AE77" s="440">
        <f t="shared" si="50"/>
        <v>285.4191339626472</v>
      </c>
      <c r="AF77" s="440">
        <f t="shared" si="50"/>
        <v>285.4191339626472</v>
      </c>
      <c r="AG77" s="440">
        <f t="shared" si="50"/>
        <v>285.4191339626472</v>
      </c>
      <c r="AH77" s="440">
        <f t="shared" si="50"/>
        <v>285.4191339626472</v>
      </c>
      <c r="AI77" s="440">
        <f t="shared" si="50"/>
        <v>285.4191339626472</v>
      </c>
      <c r="AJ77" s="440">
        <f t="shared" si="50"/>
        <v>0</v>
      </c>
      <c r="AK77" s="440">
        <f t="shared" si="50"/>
        <v>0</v>
      </c>
      <c r="AL77" s="440">
        <f t="shared" si="50"/>
        <v>0</v>
      </c>
      <c r="AM77" s="440">
        <f t="shared" si="50"/>
        <v>0</v>
      </c>
      <c r="AN77" s="440">
        <f t="shared" si="50"/>
        <v>0</v>
      </c>
      <c r="AO77" s="440">
        <f t="shared" si="50"/>
        <v>0</v>
      </c>
    </row>
    <row r="78" spans="3:41" ht="12.75">
      <c r="C78" s="338"/>
      <c r="D78" s="338"/>
      <c r="E78" s="338"/>
      <c r="F78" s="338"/>
      <c r="G78" s="338"/>
      <c r="H78" s="338">
        <f t="shared" si="40"/>
        <v>2009</v>
      </c>
      <c r="I78" s="440">
        <f t="shared" si="38"/>
        <v>4703.707327704427</v>
      </c>
      <c r="J78" s="440"/>
      <c r="K78" s="440"/>
      <c r="L78" s="440"/>
      <c r="M78" s="440"/>
      <c r="N78" s="440"/>
      <c r="O78" s="440"/>
      <c r="P78" s="440"/>
      <c r="Q78" s="440"/>
      <c r="R78" s="440"/>
      <c r="S78" s="440"/>
      <c r="T78" s="440"/>
      <c r="U78" s="440">
        <f aca="true" t="shared" si="51" ref="U78:AJ78">$U$27*U44</f>
        <v>313.58048851362844</v>
      </c>
      <c r="V78" s="440">
        <f t="shared" si="51"/>
        <v>313.58048851362844</v>
      </c>
      <c r="W78" s="440">
        <f t="shared" si="51"/>
        <v>313.58048851362844</v>
      </c>
      <c r="X78" s="440">
        <f t="shared" si="51"/>
        <v>313.58048851362844</v>
      </c>
      <c r="Y78" s="440">
        <f t="shared" si="51"/>
        <v>313.58048851362844</v>
      </c>
      <c r="Z78" s="440">
        <f t="shared" si="51"/>
        <v>313.58048851362844</v>
      </c>
      <c r="AA78" s="440">
        <f t="shared" si="51"/>
        <v>313.58048851362844</v>
      </c>
      <c r="AB78" s="440">
        <f t="shared" si="51"/>
        <v>313.58048851362844</v>
      </c>
      <c r="AC78" s="440">
        <f t="shared" si="51"/>
        <v>313.58048851362844</v>
      </c>
      <c r="AD78" s="440">
        <f t="shared" si="51"/>
        <v>313.58048851362844</v>
      </c>
      <c r="AE78" s="440">
        <f t="shared" si="51"/>
        <v>313.58048851362844</v>
      </c>
      <c r="AF78" s="440">
        <f t="shared" si="51"/>
        <v>313.58048851362844</v>
      </c>
      <c r="AG78" s="440">
        <f t="shared" si="51"/>
        <v>313.58048851362844</v>
      </c>
      <c r="AH78" s="440">
        <f t="shared" si="51"/>
        <v>313.58048851362844</v>
      </c>
      <c r="AI78" s="440">
        <f t="shared" si="51"/>
        <v>313.5804885136289</v>
      </c>
      <c r="AJ78" s="440">
        <f t="shared" si="51"/>
        <v>0</v>
      </c>
      <c r="AK78" s="440">
        <f>$U$27*AK44</f>
        <v>0</v>
      </c>
      <c r="AL78" s="440">
        <f>$U$27*AL44</f>
        <v>0</v>
      </c>
      <c r="AM78" s="440">
        <f>$U$27*AM44</f>
        <v>0</v>
      </c>
      <c r="AN78" s="440">
        <f>$U$27*AN44</f>
        <v>0</v>
      </c>
      <c r="AO78" s="440">
        <f>$U$27*AO44</f>
        <v>0</v>
      </c>
    </row>
    <row r="79" spans="3:41" ht="12.75">
      <c r="C79" s="338"/>
      <c r="D79" s="338"/>
      <c r="E79" s="338"/>
      <c r="F79" s="338"/>
      <c r="G79" s="338"/>
      <c r="H79" s="338">
        <f t="shared" si="40"/>
        <v>2010</v>
      </c>
      <c r="I79" s="440">
        <f t="shared" si="38"/>
        <v>4844.818547535561</v>
      </c>
      <c r="J79" s="440"/>
      <c r="K79" s="440"/>
      <c r="L79" s="440"/>
      <c r="M79" s="440"/>
      <c r="N79" s="440"/>
      <c r="O79" s="440"/>
      <c r="P79" s="440"/>
      <c r="Q79" s="440"/>
      <c r="R79" s="440"/>
      <c r="S79" s="440"/>
      <c r="T79" s="440"/>
      <c r="U79" s="440"/>
      <c r="V79" s="440">
        <f aca="true" t="shared" si="52" ref="V79:AK79">$V$27*V45</f>
        <v>346.0584676811114</v>
      </c>
      <c r="W79" s="440">
        <f t="shared" si="52"/>
        <v>346.0584676811114</v>
      </c>
      <c r="X79" s="440">
        <f t="shared" si="52"/>
        <v>346.0584676811114</v>
      </c>
      <c r="Y79" s="440">
        <f t="shared" si="52"/>
        <v>346.0584676811114</v>
      </c>
      <c r="Z79" s="440">
        <f t="shared" si="52"/>
        <v>346.0584676811114</v>
      </c>
      <c r="AA79" s="440">
        <f t="shared" si="52"/>
        <v>346.0584676811114</v>
      </c>
      <c r="AB79" s="440">
        <f t="shared" si="52"/>
        <v>346.0584676811114</v>
      </c>
      <c r="AC79" s="440">
        <f t="shared" si="52"/>
        <v>346.0584676811114</v>
      </c>
      <c r="AD79" s="440">
        <f t="shared" si="52"/>
        <v>346.0584676811114</v>
      </c>
      <c r="AE79" s="440">
        <f t="shared" si="52"/>
        <v>346.0584676811114</v>
      </c>
      <c r="AF79" s="440">
        <f t="shared" si="52"/>
        <v>346.0584676811114</v>
      </c>
      <c r="AG79" s="440">
        <f t="shared" si="52"/>
        <v>346.0584676811114</v>
      </c>
      <c r="AH79" s="440">
        <f t="shared" si="52"/>
        <v>346.0584676811114</v>
      </c>
      <c r="AI79" s="440">
        <f t="shared" si="52"/>
        <v>346.05846768111286</v>
      </c>
      <c r="AJ79" s="440">
        <f t="shared" si="52"/>
        <v>0</v>
      </c>
      <c r="AK79" s="440">
        <f t="shared" si="52"/>
        <v>0</v>
      </c>
      <c r="AL79" s="440">
        <f>$V$27*AL45</f>
        <v>0</v>
      </c>
      <c r="AM79" s="440">
        <f>$V$27*AM45</f>
        <v>0</v>
      </c>
      <c r="AN79" s="440">
        <f>$V$27*AN45</f>
        <v>0</v>
      </c>
      <c r="AO79" s="440">
        <f>$V$27*AO45</f>
        <v>0</v>
      </c>
    </row>
    <row r="80" spans="3:41" ht="12.75">
      <c r="C80" s="338"/>
      <c r="D80" s="338"/>
      <c r="E80" s="338"/>
      <c r="F80" s="338"/>
      <c r="G80" s="338"/>
      <c r="H80" s="338">
        <f t="shared" si="40"/>
        <v>2011</v>
      </c>
      <c r="I80" s="440">
        <f t="shared" si="38"/>
        <v>4990.163103961627</v>
      </c>
      <c r="J80" s="440"/>
      <c r="K80" s="440"/>
      <c r="L80" s="440"/>
      <c r="M80" s="440"/>
      <c r="N80" s="440"/>
      <c r="O80" s="440"/>
      <c r="P80" s="440"/>
      <c r="Q80" s="440"/>
      <c r="R80" s="440"/>
      <c r="S80" s="440"/>
      <c r="T80" s="440"/>
      <c r="U80" s="440"/>
      <c r="V80" s="440"/>
      <c r="W80" s="440">
        <f aca="true" t="shared" si="53" ref="W80:AL80">$W$27*W46</f>
        <v>383.8587003047404</v>
      </c>
      <c r="X80" s="440">
        <f t="shared" si="53"/>
        <v>383.8587003047404</v>
      </c>
      <c r="Y80" s="440">
        <f t="shared" si="53"/>
        <v>383.8587003047404</v>
      </c>
      <c r="Z80" s="440">
        <f t="shared" si="53"/>
        <v>383.8587003047404</v>
      </c>
      <c r="AA80" s="440">
        <f t="shared" si="53"/>
        <v>383.8587003047404</v>
      </c>
      <c r="AB80" s="440">
        <f t="shared" si="53"/>
        <v>383.8587003047404</v>
      </c>
      <c r="AC80" s="440">
        <f t="shared" si="53"/>
        <v>383.8587003047404</v>
      </c>
      <c r="AD80" s="440">
        <f t="shared" si="53"/>
        <v>383.8587003047404</v>
      </c>
      <c r="AE80" s="440">
        <f t="shared" si="53"/>
        <v>383.8587003047404</v>
      </c>
      <c r="AF80" s="440">
        <f t="shared" si="53"/>
        <v>383.8587003047404</v>
      </c>
      <c r="AG80" s="440">
        <f t="shared" si="53"/>
        <v>383.8587003047404</v>
      </c>
      <c r="AH80" s="440">
        <f t="shared" si="53"/>
        <v>383.8587003047404</v>
      </c>
      <c r="AI80" s="440">
        <f t="shared" si="53"/>
        <v>383.85870030474126</v>
      </c>
      <c r="AJ80" s="440">
        <f t="shared" si="53"/>
        <v>0</v>
      </c>
      <c r="AK80" s="440">
        <f t="shared" si="53"/>
        <v>0</v>
      </c>
      <c r="AL80" s="440">
        <f t="shared" si="53"/>
        <v>0</v>
      </c>
      <c r="AM80" s="440">
        <f>$W$27*AM46</f>
        <v>0</v>
      </c>
      <c r="AN80" s="440">
        <f>$W$27*AN46</f>
        <v>0</v>
      </c>
      <c r="AO80" s="440">
        <f>$W$27*AO46</f>
        <v>0</v>
      </c>
    </row>
    <row r="81" spans="3:41" ht="12.75">
      <c r="C81" s="338"/>
      <c r="D81" s="338"/>
      <c r="E81" s="338"/>
      <c r="F81" s="338"/>
      <c r="G81" s="338"/>
      <c r="H81" s="338">
        <f t="shared" si="40"/>
        <v>2012</v>
      </c>
      <c r="I81" s="440">
        <f t="shared" si="38"/>
        <v>5139.867997080473</v>
      </c>
      <c r="J81" s="440"/>
      <c r="K81" s="440"/>
      <c r="L81" s="440"/>
      <c r="M81" s="440"/>
      <c r="N81" s="440"/>
      <c r="O81" s="440"/>
      <c r="P81" s="440"/>
      <c r="Q81" s="440"/>
      <c r="R81" s="440"/>
      <c r="S81" s="440"/>
      <c r="T81" s="440"/>
      <c r="U81" s="440"/>
      <c r="V81" s="440"/>
      <c r="W81" s="440"/>
      <c r="X81" s="440">
        <f aca="true" t="shared" si="54" ref="X81:AM81">$X$27*X47</f>
        <v>428.3223330900394</v>
      </c>
      <c r="Y81" s="440">
        <f t="shared" si="54"/>
        <v>428.3223330900394</v>
      </c>
      <c r="Z81" s="440">
        <f t="shared" si="54"/>
        <v>428.3223330900394</v>
      </c>
      <c r="AA81" s="440">
        <f t="shared" si="54"/>
        <v>428.3223330900394</v>
      </c>
      <c r="AB81" s="440">
        <f t="shared" si="54"/>
        <v>428.3223330900394</v>
      </c>
      <c r="AC81" s="440">
        <f t="shared" si="54"/>
        <v>428.3223330900394</v>
      </c>
      <c r="AD81" s="440">
        <f t="shared" si="54"/>
        <v>428.3223330900394</v>
      </c>
      <c r="AE81" s="440">
        <f t="shared" si="54"/>
        <v>428.3223330900394</v>
      </c>
      <c r="AF81" s="440">
        <f t="shared" si="54"/>
        <v>428.3223330900394</v>
      </c>
      <c r="AG81" s="440">
        <f t="shared" si="54"/>
        <v>428.3223330900394</v>
      </c>
      <c r="AH81" s="440">
        <f t="shared" si="54"/>
        <v>428.3223330900394</v>
      </c>
      <c r="AI81" s="440">
        <f t="shared" si="54"/>
        <v>428.3223330900391</v>
      </c>
      <c r="AJ81" s="440">
        <f t="shared" si="54"/>
        <v>0</v>
      </c>
      <c r="AK81" s="440">
        <f t="shared" si="54"/>
        <v>0</v>
      </c>
      <c r="AL81" s="440">
        <f t="shared" si="54"/>
        <v>0</v>
      </c>
      <c r="AM81" s="440">
        <f t="shared" si="54"/>
        <v>0</v>
      </c>
      <c r="AN81" s="440">
        <f>$X$27*AN47</f>
        <v>0</v>
      </c>
      <c r="AO81" s="440">
        <f>$X$27*AO47</f>
        <v>0</v>
      </c>
    </row>
    <row r="82" spans="3:41" ht="12.75">
      <c r="C82" s="338"/>
      <c r="D82" s="338"/>
      <c r="E82" s="338"/>
      <c r="F82" s="338"/>
      <c r="G82" s="338"/>
      <c r="H82" s="338">
        <f t="shared" si="40"/>
        <v>2013</v>
      </c>
      <c r="I82" s="440">
        <f t="shared" si="38"/>
        <v>5294.064036992888</v>
      </c>
      <c r="J82" s="440"/>
      <c r="K82" s="440"/>
      <c r="L82" s="440"/>
      <c r="M82" s="440"/>
      <c r="N82" s="440"/>
      <c r="O82" s="440"/>
      <c r="P82" s="440"/>
      <c r="Q82" s="440"/>
      <c r="R82" s="440"/>
      <c r="S82" s="440"/>
      <c r="T82" s="440"/>
      <c r="U82" s="440"/>
      <c r="V82" s="440"/>
      <c r="W82" s="440"/>
      <c r="X82" s="440"/>
      <c r="Y82" s="440">
        <f aca="true" t="shared" si="55" ref="Y82:AN82">$Y$27*Y48</f>
        <v>481.27854881753535</v>
      </c>
      <c r="Z82" s="440">
        <f t="shared" si="55"/>
        <v>481.27854881753535</v>
      </c>
      <c r="AA82" s="440">
        <f t="shared" si="55"/>
        <v>481.27854881753535</v>
      </c>
      <c r="AB82" s="440">
        <f t="shared" si="55"/>
        <v>481.27854881753535</v>
      </c>
      <c r="AC82" s="440">
        <f t="shared" si="55"/>
        <v>481.27854881753535</v>
      </c>
      <c r="AD82" s="440">
        <f t="shared" si="55"/>
        <v>481.27854881753535</v>
      </c>
      <c r="AE82" s="440">
        <f t="shared" si="55"/>
        <v>481.27854881753535</v>
      </c>
      <c r="AF82" s="440">
        <f t="shared" si="55"/>
        <v>481.27854881753535</v>
      </c>
      <c r="AG82" s="440">
        <f t="shared" si="55"/>
        <v>481.27854881753535</v>
      </c>
      <c r="AH82" s="440">
        <f t="shared" si="55"/>
        <v>481.27854881753535</v>
      </c>
      <c r="AI82" s="440">
        <f t="shared" si="55"/>
        <v>481.27854881753433</v>
      </c>
      <c r="AJ82" s="440">
        <f t="shared" si="55"/>
        <v>0</v>
      </c>
      <c r="AK82" s="440">
        <f t="shared" si="55"/>
        <v>0</v>
      </c>
      <c r="AL82" s="440">
        <f t="shared" si="55"/>
        <v>0</v>
      </c>
      <c r="AM82" s="440">
        <f t="shared" si="55"/>
        <v>0</v>
      </c>
      <c r="AN82" s="440">
        <f t="shared" si="55"/>
        <v>0</v>
      </c>
      <c r="AO82" s="440">
        <f>$Y$27*AO48</f>
        <v>0</v>
      </c>
    </row>
    <row r="83" spans="3:41" ht="12.75">
      <c r="C83" s="338"/>
      <c r="D83" s="338"/>
      <c r="E83" s="338"/>
      <c r="F83" s="338"/>
      <c r="G83" s="338"/>
      <c r="H83" s="338">
        <f t="shared" si="40"/>
        <v>2014</v>
      </c>
      <c r="I83" s="440">
        <f t="shared" si="38"/>
        <v>5452.885958102676</v>
      </c>
      <c r="J83" s="440"/>
      <c r="K83" s="440"/>
      <c r="L83" s="440"/>
      <c r="M83" s="440"/>
      <c r="N83" s="440"/>
      <c r="O83" s="440"/>
      <c r="P83" s="440"/>
      <c r="Q83" s="440"/>
      <c r="R83" s="440"/>
      <c r="S83" s="440"/>
      <c r="T83" s="440"/>
      <c r="U83" s="440"/>
      <c r="V83" s="440"/>
      <c r="W83" s="440"/>
      <c r="X83" s="440"/>
      <c r="Y83" s="440"/>
      <c r="Z83" s="440">
        <f aca="true" t="shared" si="56" ref="Z83:AO83">$Z$27*Z49</f>
        <v>545.2885958102676</v>
      </c>
      <c r="AA83" s="440">
        <f t="shared" si="56"/>
        <v>545.2885958102676</v>
      </c>
      <c r="AB83" s="440">
        <f t="shared" si="56"/>
        <v>545.2885958102676</v>
      </c>
      <c r="AC83" s="440">
        <f t="shared" si="56"/>
        <v>545.2885958102676</v>
      </c>
      <c r="AD83" s="440">
        <f t="shared" si="56"/>
        <v>545.2885958102676</v>
      </c>
      <c r="AE83" s="440">
        <f t="shared" si="56"/>
        <v>545.2885958102676</v>
      </c>
      <c r="AF83" s="440">
        <f t="shared" si="56"/>
        <v>545.2885958102676</v>
      </c>
      <c r="AG83" s="440">
        <f t="shared" si="56"/>
        <v>545.2885958102676</v>
      </c>
      <c r="AH83" s="440">
        <f t="shared" si="56"/>
        <v>545.2885958102676</v>
      </c>
      <c r="AI83" s="440">
        <f t="shared" si="56"/>
        <v>545.288595810268</v>
      </c>
      <c r="AJ83" s="440">
        <f t="shared" si="56"/>
        <v>0</v>
      </c>
      <c r="AK83" s="440">
        <f t="shared" si="56"/>
        <v>0</v>
      </c>
      <c r="AL83" s="440">
        <f t="shared" si="56"/>
        <v>0</v>
      </c>
      <c r="AM83" s="440">
        <f t="shared" si="56"/>
        <v>0</v>
      </c>
      <c r="AN83" s="440">
        <f t="shared" si="56"/>
        <v>0</v>
      </c>
      <c r="AO83" s="440">
        <f t="shared" si="56"/>
        <v>0</v>
      </c>
    </row>
    <row r="84" spans="3:41" ht="12.75">
      <c r="C84" s="338"/>
      <c r="D84" s="338"/>
      <c r="E84" s="338"/>
      <c r="F84" s="338"/>
      <c r="G84" s="338"/>
      <c r="H84" s="338">
        <f t="shared" si="40"/>
        <v>2015</v>
      </c>
      <c r="I84" s="440">
        <f t="shared" si="38"/>
        <v>5616.472536845754</v>
      </c>
      <c r="J84" s="440"/>
      <c r="K84" s="440"/>
      <c r="L84" s="440"/>
      <c r="M84" s="440"/>
      <c r="N84" s="440"/>
      <c r="O84" s="440"/>
      <c r="P84" s="440"/>
      <c r="Q84" s="440"/>
      <c r="R84" s="440"/>
      <c r="S84" s="440"/>
      <c r="T84" s="440"/>
      <c r="U84" s="440"/>
      <c r="V84" s="440"/>
      <c r="W84" s="440"/>
      <c r="X84" s="440"/>
      <c r="Y84" s="440"/>
      <c r="Z84" s="440"/>
      <c r="AA84" s="440">
        <f aca="true" t="shared" si="57" ref="AA84:AO84">$AA$27*AA50</f>
        <v>624.0525040939727</v>
      </c>
      <c r="AB84" s="440">
        <f t="shared" si="57"/>
        <v>624.0525040939727</v>
      </c>
      <c r="AC84" s="440">
        <f t="shared" si="57"/>
        <v>624.0525040939727</v>
      </c>
      <c r="AD84" s="440">
        <f t="shared" si="57"/>
        <v>624.0525040939727</v>
      </c>
      <c r="AE84" s="440">
        <f t="shared" si="57"/>
        <v>624.0525040939727</v>
      </c>
      <c r="AF84" s="440">
        <f t="shared" si="57"/>
        <v>624.0525040939727</v>
      </c>
      <c r="AG84" s="440">
        <f t="shared" si="57"/>
        <v>624.0525040939727</v>
      </c>
      <c r="AH84" s="440">
        <f t="shared" si="57"/>
        <v>624.0525040939727</v>
      </c>
      <c r="AI84" s="440">
        <f t="shared" si="57"/>
        <v>624.0525040939718</v>
      </c>
      <c r="AJ84" s="440">
        <f t="shared" si="57"/>
        <v>0</v>
      </c>
      <c r="AK84" s="440">
        <f t="shared" si="57"/>
        <v>0</v>
      </c>
      <c r="AL84" s="440">
        <f t="shared" si="57"/>
        <v>0</v>
      </c>
      <c r="AM84" s="440">
        <f t="shared" si="57"/>
        <v>0</v>
      </c>
      <c r="AN84" s="440">
        <f t="shared" si="57"/>
        <v>0</v>
      </c>
      <c r="AO84" s="440">
        <f t="shared" si="57"/>
        <v>0</v>
      </c>
    </row>
    <row r="85" spans="3:41" ht="12.75">
      <c r="C85" s="338"/>
      <c r="D85" s="338"/>
      <c r="E85" s="338"/>
      <c r="F85" s="338"/>
      <c r="G85" s="338"/>
      <c r="H85" s="338">
        <f t="shared" si="40"/>
        <v>2016</v>
      </c>
      <c r="I85" s="440">
        <f t="shared" si="38"/>
        <v>5784.966712951128</v>
      </c>
      <c r="J85" s="440"/>
      <c r="K85" s="440"/>
      <c r="L85" s="440"/>
      <c r="M85" s="440"/>
      <c r="N85" s="440"/>
      <c r="O85" s="440"/>
      <c r="P85" s="440"/>
      <c r="Q85" s="440"/>
      <c r="R85" s="440"/>
      <c r="S85" s="440"/>
      <c r="T85" s="440"/>
      <c r="U85" s="440"/>
      <c r="V85" s="440"/>
      <c r="W85" s="440"/>
      <c r="X85" s="440"/>
      <c r="Y85" s="440"/>
      <c r="Z85" s="440"/>
      <c r="AA85" s="440"/>
      <c r="AB85" s="440">
        <f aca="true" t="shared" si="58" ref="AB85:AO85">$AB$27*AB51</f>
        <v>723.1208391188909</v>
      </c>
      <c r="AC85" s="440">
        <f t="shared" si="58"/>
        <v>723.1208391188909</v>
      </c>
      <c r="AD85" s="440">
        <f t="shared" si="58"/>
        <v>723.1208391188909</v>
      </c>
      <c r="AE85" s="440">
        <f t="shared" si="58"/>
        <v>723.1208391188909</v>
      </c>
      <c r="AF85" s="440">
        <f t="shared" si="58"/>
        <v>723.1208391188909</v>
      </c>
      <c r="AG85" s="440">
        <f t="shared" si="58"/>
        <v>723.1208391188909</v>
      </c>
      <c r="AH85" s="440">
        <f t="shared" si="58"/>
        <v>723.1208391188909</v>
      </c>
      <c r="AI85" s="440">
        <f t="shared" si="58"/>
        <v>723.1208391188909</v>
      </c>
      <c r="AJ85" s="440">
        <f t="shared" si="58"/>
        <v>0</v>
      </c>
      <c r="AK85" s="440">
        <f t="shared" si="58"/>
        <v>0</v>
      </c>
      <c r="AL85" s="440">
        <f t="shared" si="58"/>
        <v>0</v>
      </c>
      <c r="AM85" s="440">
        <f t="shared" si="58"/>
        <v>0</v>
      </c>
      <c r="AN85" s="440">
        <f t="shared" si="58"/>
        <v>0</v>
      </c>
      <c r="AO85" s="440">
        <f t="shared" si="58"/>
        <v>0</v>
      </c>
    </row>
    <row r="86" spans="3:41" ht="12.75">
      <c r="C86" s="338"/>
      <c r="D86" s="338"/>
      <c r="E86" s="338"/>
      <c r="F86" s="338"/>
      <c r="G86" s="338"/>
      <c r="H86" s="338">
        <f t="shared" si="40"/>
        <v>2017</v>
      </c>
      <c r="I86" s="440">
        <f t="shared" si="38"/>
        <v>5958.515714339661</v>
      </c>
      <c r="J86" s="440"/>
      <c r="K86" s="440"/>
      <c r="L86" s="440"/>
      <c r="M86" s="440"/>
      <c r="N86" s="440"/>
      <c r="O86" s="440"/>
      <c r="P86" s="440"/>
      <c r="Q86" s="440"/>
      <c r="R86" s="440"/>
      <c r="S86" s="440"/>
      <c r="T86" s="440"/>
      <c r="U86" s="440"/>
      <c r="V86" s="440"/>
      <c r="W86" s="440"/>
      <c r="X86" s="440"/>
      <c r="Y86" s="440"/>
      <c r="Z86" s="440"/>
      <c r="AA86" s="440"/>
      <c r="AB86" s="440"/>
      <c r="AC86" s="440">
        <f aca="true" t="shared" si="59" ref="AC86:AO86">$AC$27*AC52</f>
        <v>851.2165306199515</v>
      </c>
      <c r="AD86" s="440">
        <f t="shared" si="59"/>
        <v>851.2165306199515</v>
      </c>
      <c r="AE86" s="440">
        <f t="shared" si="59"/>
        <v>851.2165306199515</v>
      </c>
      <c r="AF86" s="440">
        <f t="shared" si="59"/>
        <v>851.2165306199515</v>
      </c>
      <c r="AG86" s="440">
        <f t="shared" si="59"/>
        <v>851.2165306199515</v>
      </c>
      <c r="AH86" s="440">
        <f t="shared" si="59"/>
        <v>851.2165306199515</v>
      </c>
      <c r="AI86" s="440">
        <f t="shared" si="59"/>
        <v>851.2165306199526</v>
      </c>
      <c r="AJ86" s="440">
        <f t="shared" si="59"/>
        <v>0</v>
      </c>
      <c r="AK86" s="440">
        <f t="shared" si="59"/>
        <v>0</v>
      </c>
      <c r="AL86" s="440">
        <f t="shared" si="59"/>
        <v>0</v>
      </c>
      <c r="AM86" s="440">
        <f t="shared" si="59"/>
        <v>0</v>
      </c>
      <c r="AN86" s="440">
        <f t="shared" si="59"/>
        <v>0</v>
      </c>
      <c r="AO86" s="440">
        <f t="shared" si="59"/>
        <v>0</v>
      </c>
    </row>
    <row r="87" spans="3:41" ht="12.75">
      <c r="C87" s="338"/>
      <c r="D87" s="338"/>
      <c r="E87" s="338"/>
      <c r="F87" s="338"/>
      <c r="G87" s="338"/>
      <c r="H87" s="338">
        <f t="shared" si="40"/>
        <v>2018</v>
      </c>
      <c r="I87" s="440">
        <f t="shared" si="38"/>
        <v>6137.271185769851</v>
      </c>
      <c r="J87" s="440"/>
      <c r="K87" s="440"/>
      <c r="L87" s="440"/>
      <c r="M87" s="440"/>
      <c r="N87" s="440"/>
      <c r="O87" s="440"/>
      <c r="P87" s="440"/>
      <c r="Q87" s="440"/>
      <c r="R87" s="440"/>
      <c r="S87" s="440"/>
      <c r="T87" s="440"/>
      <c r="U87" s="440"/>
      <c r="V87" s="440"/>
      <c r="W87" s="440"/>
      <c r="X87" s="440"/>
      <c r="Y87" s="440"/>
      <c r="Z87" s="440"/>
      <c r="AA87" s="440"/>
      <c r="AB87" s="440"/>
      <c r="AC87" s="440"/>
      <c r="AD87" s="440">
        <f aca="true" t="shared" si="60" ref="AD87:AO87">$AD$27*AD53</f>
        <v>1022.8785309616419</v>
      </c>
      <c r="AE87" s="440">
        <f t="shared" si="60"/>
        <v>1022.8785309616419</v>
      </c>
      <c r="AF87" s="440">
        <f t="shared" si="60"/>
        <v>1022.8785309616419</v>
      </c>
      <c r="AG87" s="440">
        <f t="shared" si="60"/>
        <v>1022.8785309616419</v>
      </c>
      <c r="AH87" s="440">
        <f t="shared" si="60"/>
        <v>1022.8785309616419</v>
      </c>
      <c r="AI87" s="440">
        <f t="shared" si="60"/>
        <v>1022.8785309616424</v>
      </c>
      <c r="AJ87" s="440">
        <f t="shared" si="60"/>
        <v>0</v>
      </c>
      <c r="AK87" s="440">
        <f t="shared" si="60"/>
        <v>0</v>
      </c>
      <c r="AL87" s="440">
        <f t="shared" si="60"/>
        <v>0</v>
      </c>
      <c r="AM87" s="440">
        <f t="shared" si="60"/>
        <v>0</v>
      </c>
      <c r="AN87" s="440">
        <f t="shared" si="60"/>
        <v>0</v>
      </c>
      <c r="AO87" s="440">
        <f t="shared" si="60"/>
        <v>0</v>
      </c>
    </row>
    <row r="88" spans="3:41" ht="12.75">
      <c r="C88" s="338"/>
      <c r="D88" s="338"/>
      <c r="E88" s="338"/>
      <c r="F88" s="338"/>
      <c r="G88" s="338"/>
      <c r="H88" s="338">
        <f t="shared" si="40"/>
        <v>2019</v>
      </c>
      <c r="I88" s="440">
        <f t="shared" si="38"/>
        <v>6321.3893213429465</v>
      </c>
      <c r="J88" s="440"/>
      <c r="K88" s="440"/>
      <c r="L88" s="440"/>
      <c r="M88" s="440"/>
      <c r="N88" s="440"/>
      <c r="O88" s="440"/>
      <c r="P88" s="440"/>
      <c r="Q88" s="440"/>
      <c r="R88" s="440"/>
      <c r="S88" s="440"/>
      <c r="T88" s="440"/>
      <c r="U88" s="440"/>
      <c r="V88" s="440"/>
      <c r="W88" s="440"/>
      <c r="X88" s="440"/>
      <c r="Y88" s="440"/>
      <c r="Z88" s="440"/>
      <c r="AA88" s="440"/>
      <c r="AB88" s="440"/>
      <c r="AC88" s="440"/>
      <c r="AD88" s="440"/>
      <c r="AE88" s="440">
        <f aca="true" t="shared" si="61" ref="AE88:AO88">$AE$27*AE54</f>
        <v>1264.2778642685894</v>
      </c>
      <c r="AF88" s="440">
        <f t="shared" si="61"/>
        <v>1264.2778642685894</v>
      </c>
      <c r="AG88" s="440">
        <f t="shared" si="61"/>
        <v>1264.2778642685894</v>
      </c>
      <c r="AH88" s="440">
        <f t="shared" si="61"/>
        <v>1264.2778642685894</v>
      </c>
      <c r="AI88" s="440">
        <f t="shared" si="61"/>
        <v>1264.277864268589</v>
      </c>
      <c r="AJ88" s="440">
        <f t="shared" si="61"/>
        <v>0</v>
      </c>
      <c r="AK88" s="440">
        <f t="shared" si="61"/>
        <v>0</v>
      </c>
      <c r="AL88" s="440">
        <f t="shared" si="61"/>
        <v>0</v>
      </c>
      <c r="AM88" s="440">
        <f t="shared" si="61"/>
        <v>0</v>
      </c>
      <c r="AN88" s="440">
        <f t="shared" si="61"/>
        <v>0</v>
      </c>
      <c r="AO88" s="440">
        <f t="shared" si="61"/>
        <v>0</v>
      </c>
    </row>
    <row r="89" spans="3:41" ht="12.75">
      <c r="C89" s="338"/>
      <c r="D89" s="338"/>
      <c r="E89" s="338"/>
      <c r="F89" s="338"/>
      <c r="G89" s="338"/>
      <c r="H89" s="338">
        <f t="shared" si="40"/>
        <v>2020</v>
      </c>
      <c r="I89" s="440">
        <f t="shared" si="38"/>
        <v>4883.273250737426</v>
      </c>
      <c r="J89" s="440"/>
      <c r="K89" s="440"/>
      <c r="L89" s="440"/>
      <c r="M89" s="440"/>
      <c r="N89" s="440"/>
      <c r="O89" s="440"/>
      <c r="P89" s="440"/>
      <c r="Q89" s="440"/>
      <c r="R89" s="440"/>
      <c r="S89" s="440"/>
      <c r="T89" s="440"/>
      <c r="U89" s="440"/>
      <c r="V89" s="440"/>
      <c r="W89" s="440"/>
      <c r="X89" s="440"/>
      <c r="Y89" s="440"/>
      <c r="Z89" s="440"/>
      <c r="AA89" s="440"/>
      <c r="AB89" s="440"/>
      <c r="AC89" s="440"/>
      <c r="AD89" s="440"/>
      <c r="AE89" s="440"/>
      <c r="AF89" s="440">
        <f aca="true" t="shared" si="62" ref="AF89:AO89">$AF$27*AF55</f>
        <v>1220.8183126843564</v>
      </c>
      <c r="AG89" s="440">
        <f t="shared" si="62"/>
        <v>1220.8183126843564</v>
      </c>
      <c r="AH89" s="440">
        <f t="shared" si="62"/>
        <v>1220.8183126843564</v>
      </c>
      <c r="AI89" s="440">
        <f t="shared" si="62"/>
        <v>1220.8183126843564</v>
      </c>
      <c r="AJ89" s="440">
        <f t="shared" si="62"/>
        <v>0</v>
      </c>
      <c r="AK89" s="440">
        <f t="shared" si="62"/>
        <v>0</v>
      </c>
      <c r="AL89" s="440">
        <f t="shared" si="62"/>
        <v>0</v>
      </c>
      <c r="AM89" s="440">
        <f t="shared" si="62"/>
        <v>0</v>
      </c>
      <c r="AN89" s="440">
        <f t="shared" si="62"/>
        <v>0</v>
      </c>
      <c r="AO89" s="440">
        <f t="shared" si="62"/>
        <v>0</v>
      </c>
    </row>
    <row r="90" spans="3:41" ht="12.75">
      <c r="C90" s="338"/>
      <c r="D90" s="338"/>
      <c r="E90" s="338"/>
      <c r="F90" s="338"/>
      <c r="G90" s="338"/>
      <c r="H90" s="338">
        <f t="shared" si="40"/>
        <v>2021</v>
      </c>
      <c r="I90" s="440">
        <f t="shared" si="38"/>
        <v>2514.885724129774</v>
      </c>
      <c r="J90" s="440"/>
      <c r="K90" s="440"/>
      <c r="L90" s="440"/>
      <c r="M90" s="440"/>
      <c r="N90" s="440"/>
      <c r="O90" s="440"/>
      <c r="P90" s="440"/>
      <c r="Q90" s="440"/>
      <c r="R90" s="440"/>
      <c r="S90" s="440"/>
      <c r="T90" s="440"/>
      <c r="U90" s="440"/>
      <c r="V90" s="440"/>
      <c r="W90" s="440"/>
      <c r="X90" s="440"/>
      <c r="Y90" s="440"/>
      <c r="Z90" s="440"/>
      <c r="AA90" s="440"/>
      <c r="AB90" s="440"/>
      <c r="AC90" s="440"/>
      <c r="AD90" s="440"/>
      <c r="AE90" s="440"/>
      <c r="AF90" s="440"/>
      <c r="AG90" s="440">
        <f aca="true" t="shared" si="63" ref="AG90:AO90">$AG$27*AG56</f>
        <v>838.2952413765913</v>
      </c>
      <c r="AH90" s="440">
        <f t="shared" si="63"/>
        <v>838.2952413765913</v>
      </c>
      <c r="AI90" s="440">
        <f t="shared" si="63"/>
        <v>838.2952413765914</v>
      </c>
      <c r="AJ90" s="440">
        <f t="shared" si="63"/>
        <v>0</v>
      </c>
      <c r="AK90" s="440">
        <f t="shared" si="63"/>
        <v>0</v>
      </c>
      <c r="AL90" s="440">
        <f t="shared" si="63"/>
        <v>0</v>
      </c>
      <c r="AM90" s="440">
        <f t="shared" si="63"/>
        <v>0</v>
      </c>
      <c r="AN90" s="440">
        <f t="shared" si="63"/>
        <v>0</v>
      </c>
      <c r="AO90" s="440">
        <f t="shared" si="63"/>
        <v>0</v>
      </c>
    </row>
    <row r="91" spans="3:41" ht="12.75">
      <c r="C91" s="338"/>
      <c r="D91" s="338"/>
      <c r="E91" s="338"/>
      <c r="F91" s="338"/>
      <c r="G91" s="338"/>
      <c r="H91" s="338">
        <f t="shared" si="40"/>
        <v>2022</v>
      </c>
      <c r="I91" s="440">
        <f t="shared" si="38"/>
        <v>647.5830739634168</v>
      </c>
      <c r="J91" s="440"/>
      <c r="K91" s="440"/>
      <c r="L91" s="440"/>
      <c r="M91" s="440"/>
      <c r="N91" s="440"/>
      <c r="O91" s="440"/>
      <c r="P91" s="440"/>
      <c r="Q91" s="440"/>
      <c r="R91" s="440"/>
      <c r="S91" s="440"/>
      <c r="T91" s="440"/>
      <c r="U91" s="440"/>
      <c r="V91" s="440"/>
      <c r="W91" s="440"/>
      <c r="X91" s="440"/>
      <c r="Y91" s="440"/>
      <c r="Z91" s="440"/>
      <c r="AA91" s="440"/>
      <c r="AB91" s="440"/>
      <c r="AC91" s="440"/>
      <c r="AD91" s="440"/>
      <c r="AE91" s="440"/>
      <c r="AF91" s="440"/>
      <c r="AG91" s="440"/>
      <c r="AH91" s="440">
        <f aca="true" t="shared" si="64" ref="AH91:AO91">$AH$27*AH57</f>
        <v>323.7915369817084</v>
      </c>
      <c r="AI91" s="440">
        <f t="shared" si="64"/>
        <v>323.7915369817084</v>
      </c>
      <c r="AJ91" s="440">
        <f t="shared" si="64"/>
        <v>0</v>
      </c>
      <c r="AK91" s="440">
        <f t="shared" si="64"/>
        <v>0</v>
      </c>
      <c r="AL91" s="440">
        <f t="shared" si="64"/>
        <v>0</v>
      </c>
      <c r="AM91" s="440">
        <f t="shared" si="64"/>
        <v>0</v>
      </c>
      <c r="AN91" s="440">
        <f t="shared" si="64"/>
        <v>0</v>
      </c>
      <c r="AO91" s="440">
        <f t="shared" si="64"/>
        <v>0</v>
      </c>
    </row>
    <row r="92" spans="3:41" ht="12.75">
      <c r="C92" s="338"/>
      <c r="D92" s="338"/>
      <c r="E92" s="338"/>
      <c r="F92" s="338"/>
      <c r="G92" s="338"/>
      <c r="H92" s="338">
        <f t="shared" si="40"/>
        <v>2023</v>
      </c>
      <c r="I92" s="440">
        <f t="shared" si="38"/>
        <v>66.70105661823195</v>
      </c>
      <c r="J92" s="440"/>
      <c r="K92" s="440"/>
      <c r="L92" s="440"/>
      <c r="M92" s="440"/>
      <c r="N92" s="440"/>
      <c r="O92" s="440"/>
      <c r="P92" s="440"/>
      <c r="Q92" s="440"/>
      <c r="R92" s="440"/>
      <c r="S92" s="440"/>
      <c r="T92" s="440"/>
      <c r="U92" s="440"/>
      <c r="V92" s="440"/>
      <c r="W92" s="440"/>
      <c r="X92" s="440"/>
      <c r="Y92" s="440"/>
      <c r="Z92" s="440"/>
      <c r="AA92" s="440"/>
      <c r="AB92" s="440"/>
      <c r="AC92" s="440"/>
      <c r="AD92" s="440"/>
      <c r="AE92" s="440"/>
      <c r="AF92" s="440"/>
      <c r="AG92" s="440"/>
      <c r="AH92" s="440"/>
      <c r="AI92" s="440">
        <f aca="true" t="shared" si="65" ref="AI92:AO92">$AI$27*AI58</f>
        <v>66.70105661823195</v>
      </c>
      <c r="AJ92" s="440">
        <f t="shared" si="65"/>
        <v>0</v>
      </c>
      <c r="AK92" s="440">
        <f t="shared" si="65"/>
        <v>0</v>
      </c>
      <c r="AL92" s="440">
        <f t="shared" si="65"/>
        <v>0</v>
      </c>
      <c r="AM92" s="440">
        <f t="shared" si="65"/>
        <v>0</v>
      </c>
      <c r="AN92" s="440">
        <f t="shared" si="65"/>
        <v>0</v>
      </c>
      <c r="AO92" s="440">
        <f t="shared" si="65"/>
        <v>0</v>
      </c>
    </row>
    <row r="93" spans="3:41" ht="12.75">
      <c r="C93" s="338"/>
      <c r="D93" s="338"/>
      <c r="E93" s="338"/>
      <c r="F93" s="338"/>
      <c r="G93" s="338"/>
      <c r="H93" s="338">
        <f t="shared" si="40"/>
        <v>2024</v>
      </c>
      <c r="I93" s="440">
        <f t="shared" si="38"/>
        <v>0</v>
      </c>
      <c r="J93" s="440"/>
      <c r="K93" s="440"/>
      <c r="L93" s="440"/>
      <c r="M93" s="440"/>
      <c r="N93" s="440"/>
      <c r="O93" s="440"/>
      <c r="P93" s="440"/>
      <c r="Q93" s="440"/>
      <c r="R93" s="440"/>
      <c r="S93" s="440"/>
      <c r="T93" s="440"/>
      <c r="U93" s="440"/>
      <c r="V93" s="440"/>
      <c r="W93" s="440"/>
      <c r="X93" s="440"/>
      <c r="Y93" s="440"/>
      <c r="Z93" s="440"/>
      <c r="AA93" s="440"/>
      <c r="AB93" s="440"/>
      <c r="AC93" s="440"/>
      <c r="AD93" s="440"/>
      <c r="AE93" s="440"/>
      <c r="AF93" s="440"/>
      <c r="AG93" s="440"/>
      <c r="AH93" s="440"/>
      <c r="AI93" s="440"/>
      <c r="AJ93" s="440">
        <f aca="true" t="shared" si="66" ref="AJ93:AO93">$AJ$27*AJ59</f>
        <v>0</v>
      </c>
      <c r="AK93" s="440">
        <f t="shared" si="66"/>
        <v>0</v>
      </c>
      <c r="AL93" s="440">
        <f t="shared" si="66"/>
        <v>0</v>
      </c>
      <c r="AM93" s="440">
        <f t="shared" si="66"/>
        <v>0</v>
      </c>
      <c r="AN93" s="440">
        <f t="shared" si="66"/>
        <v>0</v>
      </c>
      <c r="AO93" s="440">
        <f t="shared" si="66"/>
        <v>0</v>
      </c>
    </row>
    <row r="94" spans="3:41" ht="12.75">
      <c r="C94" s="338"/>
      <c r="D94" s="338"/>
      <c r="E94" s="338"/>
      <c r="F94" s="338"/>
      <c r="G94" s="338"/>
      <c r="H94" s="338">
        <f t="shared" si="40"/>
        <v>2025</v>
      </c>
      <c r="I94" s="440">
        <f t="shared" si="38"/>
        <v>0</v>
      </c>
      <c r="J94" s="440"/>
      <c r="K94" s="440"/>
      <c r="L94" s="440"/>
      <c r="M94" s="440"/>
      <c r="N94" s="440"/>
      <c r="O94" s="440"/>
      <c r="P94" s="440"/>
      <c r="Q94" s="440"/>
      <c r="R94" s="440"/>
      <c r="S94" s="440"/>
      <c r="T94" s="440"/>
      <c r="U94" s="440"/>
      <c r="V94" s="440"/>
      <c r="W94" s="440"/>
      <c r="X94" s="440"/>
      <c r="Y94" s="440"/>
      <c r="Z94" s="440"/>
      <c r="AA94" s="440"/>
      <c r="AB94" s="440"/>
      <c r="AC94" s="440"/>
      <c r="AD94" s="440"/>
      <c r="AE94" s="440"/>
      <c r="AF94" s="440"/>
      <c r="AG94" s="440"/>
      <c r="AH94" s="440"/>
      <c r="AI94" s="440"/>
      <c r="AJ94" s="440"/>
      <c r="AK94" s="440">
        <f>$AK$27*AK60</f>
        <v>0</v>
      </c>
      <c r="AL94" s="440">
        <f>$AK$27*AL60</f>
        <v>0</v>
      </c>
      <c r="AM94" s="440">
        <f>$AK$27*AM60</f>
        <v>0</v>
      </c>
      <c r="AN94" s="440">
        <f>$AK$27*AN60</f>
        <v>0</v>
      </c>
      <c r="AO94" s="440">
        <f>$AK$27*AO60</f>
        <v>0</v>
      </c>
    </row>
    <row r="95" spans="3:41" ht="12.75">
      <c r="C95" s="338"/>
      <c r="D95" s="338"/>
      <c r="E95" s="338"/>
      <c r="F95" s="338"/>
      <c r="G95" s="338"/>
      <c r="H95" s="338">
        <f t="shared" si="40"/>
        <v>2026</v>
      </c>
      <c r="I95" s="440">
        <f t="shared" si="38"/>
        <v>0</v>
      </c>
      <c r="J95" s="440"/>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c r="AI95" s="440"/>
      <c r="AJ95" s="440"/>
      <c r="AK95" s="440"/>
      <c r="AL95" s="440">
        <f>$AL$27*AL61</f>
        <v>0</v>
      </c>
      <c r="AM95" s="440">
        <f>$AL$27*AM61</f>
        <v>0</v>
      </c>
      <c r="AN95" s="440">
        <f>$AL$27*AN61</f>
        <v>0</v>
      </c>
      <c r="AO95" s="440">
        <f>$AL$27*AO61</f>
        <v>0</v>
      </c>
    </row>
    <row r="96" spans="3:41" ht="12.75">
      <c r="C96" s="338"/>
      <c r="D96" s="338"/>
      <c r="E96" s="338"/>
      <c r="F96" s="338"/>
      <c r="G96" s="338"/>
      <c r="H96" s="338">
        <f t="shared" si="40"/>
        <v>2027</v>
      </c>
      <c r="I96" s="440">
        <f t="shared" si="38"/>
        <v>0</v>
      </c>
      <c r="J96" s="440"/>
      <c r="K96" s="440"/>
      <c r="L96" s="440"/>
      <c r="M96" s="440"/>
      <c r="N96" s="440"/>
      <c r="O96" s="440"/>
      <c r="P96" s="440"/>
      <c r="Q96" s="440"/>
      <c r="R96" s="440"/>
      <c r="S96" s="440"/>
      <c r="T96" s="440"/>
      <c r="U96" s="440"/>
      <c r="V96" s="440"/>
      <c r="W96" s="440"/>
      <c r="X96" s="440"/>
      <c r="Y96" s="440"/>
      <c r="Z96" s="440"/>
      <c r="AA96" s="440"/>
      <c r="AB96" s="440"/>
      <c r="AC96" s="440"/>
      <c r="AD96" s="440"/>
      <c r="AE96" s="440"/>
      <c r="AF96" s="440"/>
      <c r="AG96" s="440"/>
      <c r="AH96" s="440"/>
      <c r="AI96" s="440"/>
      <c r="AJ96" s="440"/>
      <c r="AK96" s="440"/>
      <c r="AL96" s="440"/>
      <c r="AM96" s="440">
        <f>$AM$27*AM62</f>
        <v>0</v>
      </c>
      <c r="AN96" s="440">
        <f>$AM$27*AN62</f>
        <v>0</v>
      </c>
      <c r="AO96" s="440">
        <f>$AM$27*AO62</f>
        <v>0</v>
      </c>
    </row>
    <row r="97" spans="3:41" ht="12.75">
      <c r="C97" s="338"/>
      <c r="D97" s="338"/>
      <c r="E97" s="338"/>
      <c r="F97" s="338"/>
      <c r="G97" s="338"/>
      <c r="H97" s="338">
        <f t="shared" si="40"/>
        <v>2028</v>
      </c>
      <c r="I97" s="440">
        <f t="shared" si="38"/>
        <v>0</v>
      </c>
      <c r="J97" s="338"/>
      <c r="K97" s="338"/>
      <c r="L97" s="338"/>
      <c r="M97" s="338"/>
      <c r="N97" s="338"/>
      <c r="O97" s="338"/>
      <c r="P97" s="338"/>
      <c r="Q97" s="338"/>
      <c r="R97" s="338"/>
      <c r="S97" s="338"/>
      <c r="T97" s="338"/>
      <c r="U97" s="338"/>
      <c r="V97" s="338"/>
      <c r="W97" s="338"/>
      <c r="X97" s="338"/>
      <c r="Y97" s="338"/>
      <c r="Z97" s="338"/>
      <c r="AA97" s="338"/>
      <c r="AB97" s="338"/>
      <c r="AC97" s="338"/>
      <c r="AD97" s="338"/>
      <c r="AE97" s="338"/>
      <c r="AF97" s="338"/>
      <c r="AG97" s="338"/>
      <c r="AH97" s="338"/>
      <c r="AI97" s="338"/>
      <c r="AJ97" s="338"/>
      <c r="AK97" s="338"/>
      <c r="AL97" s="338"/>
      <c r="AM97" s="338"/>
      <c r="AN97" s="440">
        <f>$AN$27*AN63</f>
        <v>0</v>
      </c>
      <c r="AO97" s="440">
        <f>$AN$27*AO63</f>
        <v>0</v>
      </c>
    </row>
    <row r="98" spans="3:41" ht="12.75">
      <c r="C98" s="338"/>
      <c r="D98" s="338"/>
      <c r="E98" s="338"/>
      <c r="F98" s="338"/>
      <c r="G98" s="338"/>
      <c r="H98" s="338">
        <f t="shared" si="40"/>
        <v>2029</v>
      </c>
      <c r="I98" s="440">
        <f t="shared" si="38"/>
        <v>0</v>
      </c>
      <c r="J98" s="338"/>
      <c r="K98" s="338"/>
      <c r="L98" s="338"/>
      <c r="M98" s="338"/>
      <c r="N98" s="338"/>
      <c r="O98" s="338"/>
      <c r="P98" s="338"/>
      <c r="Q98" s="338"/>
      <c r="R98" s="338"/>
      <c r="S98" s="338"/>
      <c r="T98" s="338"/>
      <c r="U98" s="338"/>
      <c r="V98" s="338"/>
      <c r="W98" s="338"/>
      <c r="X98" s="338"/>
      <c r="Y98" s="338"/>
      <c r="Z98" s="338"/>
      <c r="AA98" s="338"/>
      <c r="AB98" s="338"/>
      <c r="AC98" s="338"/>
      <c r="AD98" s="338"/>
      <c r="AE98" s="338"/>
      <c r="AF98" s="338"/>
      <c r="AG98" s="338"/>
      <c r="AH98" s="338"/>
      <c r="AI98" s="338"/>
      <c r="AJ98" s="338"/>
      <c r="AK98" s="338"/>
      <c r="AL98" s="338"/>
      <c r="AM98" s="338"/>
      <c r="AN98" s="338"/>
      <c r="AO98" s="440">
        <f>$AO$27*AO64</f>
        <v>0</v>
      </c>
    </row>
    <row r="99" spans="3:41" ht="12.75">
      <c r="C99" s="338"/>
      <c r="D99" s="338"/>
      <c r="E99" s="338"/>
      <c r="F99" s="338"/>
      <c r="G99" s="338"/>
      <c r="H99" s="338"/>
      <c r="I99" s="338"/>
      <c r="J99" s="338"/>
      <c r="K99" s="338"/>
      <c r="L99" s="338"/>
      <c r="M99" s="338"/>
      <c r="N99" s="338"/>
      <c r="O99" s="338"/>
      <c r="P99" s="338"/>
      <c r="Q99" s="338"/>
      <c r="R99" s="338"/>
      <c r="S99" s="338"/>
      <c r="T99" s="338"/>
      <c r="U99" s="338"/>
      <c r="V99" s="338"/>
      <c r="W99" s="338"/>
      <c r="X99" s="338"/>
      <c r="Y99" s="338"/>
      <c r="Z99" s="338"/>
      <c r="AA99" s="338"/>
      <c r="AB99" s="338"/>
      <c r="AC99" s="338"/>
      <c r="AD99" s="338"/>
      <c r="AE99" s="338"/>
      <c r="AF99" s="338"/>
      <c r="AG99" s="338"/>
      <c r="AH99" s="338"/>
      <c r="AI99" s="338"/>
      <c r="AJ99" s="338"/>
      <c r="AK99" s="338"/>
      <c r="AL99" s="338"/>
      <c r="AM99" s="338"/>
      <c r="AN99" s="338"/>
      <c r="AO99" s="338"/>
    </row>
    <row r="100" spans="3:41" ht="12.75">
      <c r="C100" s="338"/>
      <c r="D100" s="338"/>
      <c r="E100" s="338"/>
      <c r="F100" s="338"/>
      <c r="G100" s="338"/>
      <c r="H100" s="338" t="s">
        <v>3</v>
      </c>
      <c r="I100" s="441">
        <f aca="true" t="shared" si="67" ref="I100:AN100">SUM(I67:I99)</f>
        <v>328892.1518931057</v>
      </c>
      <c r="J100" s="441">
        <f t="shared" si="67"/>
        <v>0</v>
      </c>
      <c r="K100" s="441">
        <f t="shared" si="67"/>
        <v>300.93059999999997</v>
      </c>
      <c r="L100" s="441">
        <f t="shared" si="67"/>
        <v>375.1764333333333</v>
      </c>
      <c r="M100" s="441">
        <f t="shared" si="67"/>
        <v>6824.350776985597</v>
      </c>
      <c r="N100" s="441">
        <f t="shared" si="67"/>
        <v>10296.205741897416</v>
      </c>
      <c r="O100" s="441">
        <f t="shared" si="67"/>
        <v>10533.205739888845</v>
      </c>
      <c r="P100" s="441">
        <f t="shared" si="67"/>
        <v>10736.078702891344</v>
      </c>
      <c r="Q100" s="441">
        <f t="shared" si="67"/>
        <v>10956.035704883529</v>
      </c>
      <c r="R100" s="441">
        <f t="shared" si="67"/>
        <v>11195.177845382808</v>
      </c>
      <c r="S100" s="441">
        <f t="shared" si="67"/>
        <v>11455.983450374377</v>
      </c>
      <c r="T100" s="441">
        <f t="shared" si="67"/>
        <v>11741.402584337024</v>
      </c>
      <c r="U100" s="441">
        <f t="shared" si="67"/>
        <v>12054.983072850651</v>
      </c>
      <c r="V100" s="441">
        <f t="shared" si="67"/>
        <v>12401.041540531764</v>
      </c>
      <c r="W100" s="441">
        <f t="shared" si="67"/>
        <v>12784.900240836503</v>
      </c>
      <c r="X100" s="441">
        <f t="shared" si="67"/>
        <v>13213.222573926543</v>
      </c>
      <c r="Y100" s="441">
        <f t="shared" si="67"/>
        <v>13694.50112274408</v>
      </c>
      <c r="Z100" s="441">
        <f t="shared" si="67"/>
        <v>14239.789718554346</v>
      </c>
      <c r="AA100" s="441">
        <f t="shared" si="67"/>
        <v>14863.842222648318</v>
      </c>
      <c r="AB100" s="441">
        <f t="shared" si="67"/>
        <v>15586.963061767208</v>
      </c>
      <c r="AC100" s="441">
        <f t="shared" si="67"/>
        <v>16438.17959238716</v>
      </c>
      <c r="AD100" s="441">
        <f t="shared" si="67"/>
        <v>17461.058123348805</v>
      </c>
      <c r="AE100" s="441">
        <f t="shared" si="67"/>
        <v>18725.335987617393</v>
      </c>
      <c r="AF100" s="441">
        <f t="shared" si="67"/>
        <v>19946.15430030175</v>
      </c>
      <c r="AG100" s="441">
        <f t="shared" si="67"/>
        <v>20784.449541678343</v>
      </c>
      <c r="AH100" s="441">
        <f t="shared" si="67"/>
        <v>21108.241078660052</v>
      </c>
      <c r="AI100" s="441">
        <f t="shared" si="67"/>
        <v>21174.94213527837</v>
      </c>
      <c r="AJ100" s="441">
        <f t="shared" si="67"/>
        <v>0</v>
      </c>
      <c r="AK100" s="441">
        <f t="shared" si="67"/>
        <v>0</v>
      </c>
      <c r="AL100" s="441">
        <f t="shared" si="67"/>
        <v>0</v>
      </c>
      <c r="AM100" s="441">
        <f t="shared" si="67"/>
        <v>0</v>
      </c>
      <c r="AN100" s="441">
        <f t="shared" si="67"/>
        <v>0</v>
      </c>
      <c r="AO100" s="441">
        <f>SUM(AO67:AO99)</f>
        <v>0</v>
      </c>
    </row>
    <row r="101" spans="3:41" ht="12.75">
      <c r="C101" s="338"/>
      <c r="D101" s="338"/>
      <c r="E101" s="338"/>
      <c r="F101" s="338"/>
      <c r="G101" s="338"/>
      <c r="H101" s="338"/>
      <c r="I101" s="338"/>
      <c r="J101" s="338"/>
      <c r="K101" s="338"/>
      <c r="L101" s="338"/>
      <c r="M101" s="338"/>
      <c r="N101" s="338"/>
      <c r="O101" s="338"/>
      <c r="P101" s="338"/>
      <c r="Q101" s="338"/>
      <c r="R101" s="338"/>
      <c r="S101" s="338"/>
      <c r="T101" s="338"/>
      <c r="U101" s="338"/>
      <c r="V101" s="338"/>
      <c r="W101" s="338"/>
      <c r="X101" s="338"/>
      <c r="Y101" s="338"/>
      <c r="Z101" s="338"/>
      <c r="AA101" s="338"/>
      <c r="AB101" s="338"/>
      <c r="AC101" s="338"/>
      <c r="AD101" s="338"/>
      <c r="AE101" s="338"/>
      <c r="AF101" s="338"/>
      <c r="AG101" s="338"/>
      <c r="AH101" s="338"/>
      <c r="AI101" s="338"/>
      <c r="AJ101" s="338"/>
      <c r="AK101" s="338"/>
      <c r="AL101" s="338"/>
      <c r="AM101" s="338"/>
      <c r="AN101" s="338"/>
      <c r="AO101" s="338"/>
    </row>
    <row r="102" spans="3:41" ht="12.75">
      <c r="C102" s="338"/>
      <c r="D102" s="338"/>
      <c r="E102" s="338"/>
      <c r="F102" s="338"/>
      <c r="G102" s="338"/>
      <c r="H102" s="338"/>
      <c r="I102" s="338"/>
      <c r="J102" s="338"/>
      <c r="K102" s="338"/>
      <c r="L102" s="338"/>
      <c r="M102" s="338"/>
      <c r="N102" s="338"/>
      <c r="O102" s="338"/>
      <c r="P102" s="338"/>
      <c r="Q102" s="338"/>
      <c r="R102" s="338"/>
      <c r="S102" s="338"/>
      <c r="T102" s="338"/>
      <c r="U102" s="338"/>
      <c r="V102" s="338"/>
      <c r="W102" s="338"/>
      <c r="X102" s="338"/>
      <c r="Y102" s="338"/>
      <c r="Z102" s="338"/>
      <c r="AA102" s="338"/>
      <c r="AB102" s="338"/>
      <c r="AC102" s="338"/>
      <c r="AD102" s="338"/>
      <c r="AE102" s="338"/>
      <c r="AF102" s="338"/>
      <c r="AG102" s="338"/>
      <c r="AH102" s="338"/>
      <c r="AI102" s="338"/>
      <c r="AJ102" s="338"/>
      <c r="AK102" s="338"/>
      <c r="AL102" s="338"/>
      <c r="AM102" s="338"/>
      <c r="AN102" s="338"/>
      <c r="AO102" s="338"/>
    </row>
    <row r="103" spans="3:41" ht="12.75">
      <c r="C103" s="338"/>
      <c r="D103" s="338"/>
      <c r="E103" s="338"/>
      <c r="F103" s="338"/>
      <c r="G103" s="338"/>
      <c r="H103" s="338"/>
      <c r="I103" s="338"/>
      <c r="J103" s="338"/>
      <c r="K103" s="338"/>
      <c r="L103" s="338"/>
      <c r="M103" s="338"/>
      <c r="N103" s="338"/>
      <c r="O103" s="338"/>
      <c r="P103" s="338"/>
      <c r="Q103" s="338"/>
      <c r="R103" s="338"/>
      <c r="S103" s="338"/>
      <c r="T103" s="338"/>
      <c r="U103" s="338"/>
      <c r="V103" s="338"/>
      <c r="W103" s="338"/>
      <c r="X103" s="338"/>
      <c r="Y103" s="338"/>
      <c r="Z103" s="338"/>
      <c r="AA103" s="338"/>
      <c r="AB103" s="338"/>
      <c r="AC103" s="338"/>
      <c r="AD103" s="338"/>
      <c r="AE103" s="338"/>
      <c r="AF103" s="338"/>
      <c r="AG103" s="338"/>
      <c r="AH103" s="338"/>
      <c r="AI103" s="338"/>
      <c r="AJ103" s="338"/>
      <c r="AK103" s="338"/>
      <c r="AL103" s="338"/>
      <c r="AM103" s="338"/>
      <c r="AN103" s="338"/>
      <c r="AO103" s="338"/>
    </row>
    <row r="104" spans="3:41" ht="12.75">
      <c r="C104" s="338"/>
      <c r="D104" s="338" t="s">
        <v>508</v>
      </c>
      <c r="E104" s="338"/>
      <c r="F104" s="338"/>
      <c r="G104" s="338"/>
      <c r="H104" s="506">
        <f>$J$25</f>
        <v>1998</v>
      </c>
      <c r="I104" s="440">
        <f aca="true" t="shared" si="68" ref="I104:I135">SUM(J104:AO104)</f>
        <v>0</v>
      </c>
      <c r="J104" s="440">
        <f>$J$28*J33</f>
        <v>0</v>
      </c>
      <c r="K104" s="440">
        <f aca="true" t="shared" si="69" ref="K104:AO104">$J$28*K33</f>
        <v>0</v>
      </c>
      <c r="L104" s="440">
        <f t="shared" si="69"/>
        <v>0</v>
      </c>
      <c r="M104" s="440">
        <f t="shared" si="69"/>
        <v>0</v>
      </c>
      <c r="N104" s="440">
        <f t="shared" si="69"/>
        <v>0</v>
      </c>
      <c r="O104" s="440">
        <f t="shared" si="69"/>
        <v>0</v>
      </c>
      <c r="P104" s="440">
        <f t="shared" si="69"/>
        <v>0</v>
      </c>
      <c r="Q104" s="440">
        <f t="shared" si="69"/>
        <v>0</v>
      </c>
      <c r="R104" s="440">
        <f t="shared" si="69"/>
        <v>0</v>
      </c>
      <c r="S104" s="440">
        <f t="shared" si="69"/>
        <v>0</v>
      </c>
      <c r="T104" s="440">
        <f t="shared" si="69"/>
        <v>0</v>
      </c>
      <c r="U104" s="440">
        <f t="shared" si="69"/>
        <v>0</v>
      </c>
      <c r="V104" s="440">
        <f t="shared" si="69"/>
        <v>0</v>
      </c>
      <c r="W104" s="440">
        <f t="shared" si="69"/>
        <v>0</v>
      </c>
      <c r="X104" s="440">
        <f t="shared" si="69"/>
        <v>0</v>
      </c>
      <c r="Y104" s="440">
        <f t="shared" si="69"/>
        <v>0</v>
      </c>
      <c r="Z104" s="440">
        <f t="shared" si="69"/>
        <v>0</v>
      </c>
      <c r="AA104" s="440">
        <f t="shared" si="69"/>
        <v>0</v>
      </c>
      <c r="AB104" s="440">
        <f t="shared" si="69"/>
        <v>0</v>
      </c>
      <c r="AC104" s="440">
        <f t="shared" si="69"/>
        <v>0</v>
      </c>
      <c r="AD104" s="440">
        <f t="shared" si="69"/>
        <v>0</v>
      </c>
      <c r="AE104" s="440">
        <f t="shared" si="69"/>
        <v>0</v>
      </c>
      <c r="AF104" s="440">
        <f t="shared" si="69"/>
        <v>0</v>
      </c>
      <c r="AG104" s="440">
        <f t="shared" si="69"/>
        <v>0</v>
      </c>
      <c r="AH104" s="440">
        <f t="shared" si="69"/>
        <v>0</v>
      </c>
      <c r="AI104" s="440">
        <f t="shared" si="69"/>
        <v>0</v>
      </c>
      <c r="AJ104" s="440">
        <f t="shared" si="69"/>
        <v>0</v>
      </c>
      <c r="AK104" s="440">
        <f t="shared" si="69"/>
        <v>0</v>
      </c>
      <c r="AL104" s="440">
        <f t="shared" si="69"/>
        <v>0</v>
      </c>
      <c r="AM104" s="440">
        <f t="shared" si="69"/>
        <v>0</v>
      </c>
      <c r="AN104" s="440">
        <f t="shared" si="69"/>
        <v>0</v>
      </c>
      <c r="AO104" s="440">
        <f t="shared" si="69"/>
        <v>0</v>
      </c>
    </row>
    <row r="105" spans="3:41" ht="12.75">
      <c r="C105" s="338"/>
      <c r="D105" s="338"/>
      <c r="E105" s="338"/>
      <c r="F105" s="338"/>
      <c r="G105" s="338"/>
      <c r="H105" s="338">
        <f aca="true" t="shared" si="70" ref="H105:H135">H104+1</f>
        <v>1999</v>
      </c>
      <c r="I105" s="440">
        <f t="shared" si="68"/>
        <v>464.3245134324043</v>
      </c>
      <c r="J105" s="440"/>
      <c r="K105" s="440">
        <f>$K$28*K34</f>
        <v>18.57298053729617</v>
      </c>
      <c r="L105" s="440">
        <f aca="true" t="shared" si="71" ref="L105:AO105">$K$28*L34</f>
        <v>18.57298053729617</v>
      </c>
      <c r="M105" s="440">
        <f t="shared" si="71"/>
        <v>18.57298053729617</v>
      </c>
      <c r="N105" s="440">
        <f t="shared" si="71"/>
        <v>18.57298053729617</v>
      </c>
      <c r="O105" s="440">
        <f t="shared" si="71"/>
        <v>18.57298053729617</v>
      </c>
      <c r="P105" s="440">
        <f t="shared" si="71"/>
        <v>18.57298053729617</v>
      </c>
      <c r="Q105" s="440">
        <f t="shared" si="71"/>
        <v>18.57298053729617</v>
      </c>
      <c r="R105" s="440">
        <f t="shared" si="71"/>
        <v>18.57298053729617</v>
      </c>
      <c r="S105" s="440">
        <f t="shared" si="71"/>
        <v>18.57298053729617</v>
      </c>
      <c r="T105" s="440">
        <f t="shared" si="71"/>
        <v>18.57298053729617</v>
      </c>
      <c r="U105" s="440">
        <f t="shared" si="71"/>
        <v>18.57298053729617</v>
      </c>
      <c r="V105" s="440">
        <f t="shared" si="71"/>
        <v>18.57298053729617</v>
      </c>
      <c r="W105" s="440">
        <f t="shared" si="71"/>
        <v>18.57298053729617</v>
      </c>
      <c r="X105" s="440">
        <f t="shared" si="71"/>
        <v>18.57298053729617</v>
      </c>
      <c r="Y105" s="440">
        <f t="shared" si="71"/>
        <v>18.57298053729617</v>
      </c>
      <c r="Z105" s="440">
        <f t="shared" si="71"/>
        <v>18.57298053729617</v>
      </c>
      <c r="AA105" s="440">
        <f t="shared" si="71"/>
        <v>18.57298053729617</v>
      </c>
      <c r="AB105" s="440">
        <f t="shared" si="71"/>
        <v>18.57298053729617</v>
      </c>
      <c r="AC105" s="440">
        <f t="shared" si="71"/>
        <v>18.57298053729617</v>
      </c>
      <c r="AD105" s="440">
        <f t="shared" si="71"/>
        <v>18.57298053729617</v>
      </c>
      <c r="AE105" s="440">
        <f t="shared" si="71"/>
        <v>18.57298053729617</v>
      </c>
      <c r="AF105" s="440">
        <f t="shared" si="71"/>
        <v>18.57298053729617</v>
      </c>
      <c r="AG105" s="440">
        <f t="shared" si="71"/>
        <v>18.57298053729617</v>
      </c>
      <c r="AH105" s="440">
        <f t="shared" si="71"/>
        <v>18.57298053729617</v>
      </c>
      <c r="AI105" s="440">
        <f t="shared" si="71"/>
        <v>18.572980537296033</v>
      </c>
      <c r="AJ105" s="440">
        <f t="shared" si="71"/>
        <v>0</v>
      </c>
      <c r="AK105" s="440">
        <f t="shared" si="71"/>
        <v>0</v>
      </c>
      <c r="AL105" s="440">
        <f t="shared" si="71"/>
        <v>0</v>
      </c>
      <c r="AM105" s="440">
        <f t="shared" si="71"/>
        <v>0</v>
      </c>
      <c r="AN105" s="440">
        <f t="shared" si="71"/>
        <v>0</v>
      </c>
      <c r="AO105" s="440">
        <f t="shared" si="71"/>
        <v>0</v>
      </c>
    </row>
    <row r="106" spans="3:41" ht="12.75">
      <c r="C106" s="338"/>
      <c r="D106" s="338"/>
      <c r="E106" s="338"/>
      <c r="F106" s="338"/>
      <c r="G106" s="338"/>
      <c r="H106" s="338">
        <f t="shared" si="70"/>
        <v>2000</v>
      </c>
      <c r="I106" s="440">
        <f t="shared" si="68"/>
        <v>3505.538815731843</v>
      </c>
      <c r="J106" s="440"/>
      <c r="K106" s="440"/>
      <c r="L106" s="440">
        <f>$L$28*L35</f>
        <v>146.06411732216003</v>
      </c>
      <c r="M106" s="440">
        <f aca="true" t="shared" si="72" ref="M106:AO106">$L$28*M35</f>
        <v>146.06411732216003</v>
      </c>
      <c r="N106" s="440">
        <f t="shared" si="72"/>
        <v>146.06411732216003</v>
      </c>
      <c r="O106" s="440">
        <f t="shared" si="72"/>
        <v>146.06411732216003</v>
      </c>
      <c r="P106" s="440">
        <f t="shared" si="72"/>
        <v>146.06411732216003</v>
      </c>
      <c r="Q106" s="440">
        <f t="shared" si="72"/>
        <v>146.06411732216003</v>
      </c>
      <c r="R106" s="440">
        <f t="shared" si="72"/>
        <v>146.06411732216003</v>
      </c>
      <c r="S106" s="440">
        <f t="shared" si="72"/>
        <v>146.06411732216003</v>
      </c>
      <c r="T106" s="440">
        <f t="shared" si="72"/>
        <v>146.06411732216003</v>
      </c>
      <c r="U106" s="440">
        <f t="shared" si="72"/>
        <v>146.06411732216003</v>
      </c>
      <c r="V106" s="440">
        <f t="shared" si="72"/>
        <v>146.06411732216003</v>
      </c>
      <c r="W106" s="440">
        <f t="shared" si="72"/>
        <v>146.06411732216003</v>
      </c>
      <c r="X106" s="440">
        <f t="shared" si="72"/>
        <v>146.06411732216003</v>
      </c>
      <c r="Y106" s="440">
        <f t="shared" si="72"/>
        <v>146.06411732216003</v>
      </c>
      <c r="Z106" s="440">
        <f t="shared" si="72"/>
        <v>146.06411732216003</v>
      </c>
      <c r="AA106" s="440">
        <f t="shared" si="72"/>
        <v>146.06411732216003</v>
      </c>
      <c r="AB106" s="440">
        <f t="shared" si="72"/>
        <v>146.06411732216003</v>
      </c>
      <c r="AC106" s="440">
        <f t="shared" si="72"/>
        <v>146.06411732216003</v>
      </c>
      <c r="AD106" s="440">
        <f t="shared" si="72"/>
        <v>146.06411732216003</v>
      </c>
      <c r="AE106" s="440">
        <f t="shared" si="72"/>
        <v>146.06411732216003</v>
      </c>
      <c r="AF106" s="440">
        <f t="shared" si="72"/>
        <v>146.06411732216003</v>
      </c>
      <c r="AG106" s="440">
        <f t="shared" si="72"/>
        <v>146.06411732216003</v>
      </c>
      <c r="AH106" s="440">
        <f t="shared" si="72"/>
        <v>146.06411732216003</v>
      </c>
      <c r="AI106" s="440">
        <f t="shared" si="72"/>
        <v>146.06411732216148</v>
      </c>
      <c r="AJ106" s="440">
        <f t="shared" si="72"/>
        <v>0</v>
      </c>
      <c r="AK106" s="440">
        <f t="shared" si="72"/>
        <v>0</v>
      </c>
      <c r="AL106" s="440">
        <f t="shared" si="72"/>
        <v>0</v>
      </c>
      <c r="AM106" s="440">
        <f t="shared" si="72"/>
        <v>0</v>
      </c>
      <c r="AN106" s="440">
        <f t="shared" si="72"/>
        <v>0</v>
      </c>
      <c r="AO106" s="440">
        <f t="shared" si="72"/>
        <v>0</v>
      </c>
    </row>
    <row r="107" spans="3:41" ht="12.75">
      <c r="C107" s="338"/>
      <c r="D107" s="338"/>
      <c r="E107" s="338"/>
      <c r="F107" s="338"/>
      <c r="G107" s="338"/>
      <c r="H107" s="338">
        <f t="shared" si="70"/>
        <v>2001</v>
      </c>
      <c r="I107" s="440">
        <f t="shared" si="68"/>
        <v>8070.413433978662</v>
      </c>
      <c r="J107" s="440"/>
      <c r="K107" s="440"/>
      <c r="L107" s="440"/>
      <c r="M107" s="440">
        <f>$M$28*M36</f>
        <v>350.8875406077678</v>
      </c>
      <c r="N107" s="440">
        <f aca="true" t="shared" si="73" ref="N107:AO107">$M$28*N36</f>
        <v>350.8875406077678</v>
      </c>
      <c r="O107" s="440">
        <f t="shared" si="73"/>
        <v>350.8875406077678</v>
      </c>
      <c r="P107" s="440">
        <f t="shared" si="73"/>
        <v>350.8875406077678</v>
      </c>
      <c r="Q107" s="440">
        <f t="shared" si="73"/>
        <v>350.8875406077678</v>
      </c>
      <c r="R107" s="440">
        <f t="shared" si="73"/>
        <v>350.8875406077678</v>
      </c>
      <c r="S107" s="440">
        <f t="shared" si="73"/>
        <v>350.8875406077678</v>
      </c>
      <c r="T107" s="440">
        <f t="shared" si="73"/>
        <v>350.8875406077678</v>
      </c>
      <c r="U107" s="440">
        <f t="shared" si="73"/>
        <v>350.8875406077678</v>
      </c>
      <c r="V107" s="440">
        <f t="shared" si="73"/>
        <v>350.8875406077678</v>
      </c>
      <c r="W107" s="440">
        <f t="shared" si="73"/>
        <v>350.8875406077678</v>
      </c>
      <c r="X107" s="440">
        <f t="shared" si="73"/>
        <v>350.8875406077678</v>
      </c>
      <c r="Y107" s="440">
        <f t="shared" si="73"/>
        <v>350.8875406077678</v>
      </c>
      <c r="Z107" s="440">
        <f t="shared" si="73"/>
        <v>350.8875406077678</v>
      </c>
      <c r="AA107" s="440">
        <f t="shared" si="73"/>
        <v>350.8875406077678</v>
      </c>
      <c r="AB107" s="440">
        <f t="shared" si="73"/>
        <v>350.8875406077678</v>
      </c>
      <c r="AC107" s="440">
        <f t="shared" si="73"/>
        <v>350.8875406077678</v>
      </c>
      <c r="AD107" s="440">
        <f t="shared" si="73"/>
        <v>350.8875406077678</v>
      </c>
      <c r="AE107" s="440">
        <f t="shared" si="73"/>
        <v>350.8875406077678</v>
      </c>
      <c r="AF107" s="440">
        <f t="shared" si="73"/>
        <v>350.8875406077678</v>
      </c>
      <c r="AG107" s="440">
        <f t="shared" si="73"/>
        <v>350.8875406077678</v>
      </c>
      <c r="AH107" s="440">
        <f t="shared" si="73"/>
        <v>350.8875406077678</v>
      </c>
      <c r="AI107" s="440">
        <f t="shared" si="73"/>
        <v>350.88754060777114</v>
      </c>
      <c r="AJ107" s="440">
        <f t="shared" si="73"/>
        <v>0</v>
      </c>
      <c r="AK107" s="440">
        <f t="shared" si="73"/>
        <v>0</v>
      </c>
      <c r="AL107" s="440">
        <f t="shared" si="73"/>
        <v>0</v>
      </c>
      <c r="AM107" s="440">
        <f t="shared" si="73"/>
        <v>0</v>
      </c>
      <c r="AN107" s="440">
        <f t="shared" si="73"/>
        <v>0</v>
      </c>
      <c r="AO107" s="440">
        <f t="shared" si="73"/>
        <v>0</v>
      </c>
    </row>
    <row r="108" spans="3:41" ht="12.75">
      <c r="C108" s="338"/>
      <c r="D108" s="338"/>
      <c r="E108" s="338"/>
      <c r="F108" s="338"/>
      <c r="G108" s="338"/>
      <c r="H108" s="338">
        <f t="shared" si="70"/>
        <v>2002</v>
      </c>
      <c r="I108" s="440">
        <f t="shared" si="68"/>
        <v>3483.773292651646</v>
      </c>
      <c r="J108" s="440"/>
      <c r="K108" s="440"/>
      <c r="L108" s="440"/>
      <c r="M108" s="440"/>
      <c r="N108" s="440">
        <f>$N$28*N37</f>
        <v>158.35333148416572</v>
      </c>
      <c r="O108" s="440">
        <f aca="true" t="shared" si="74" ref="O108:AO108">$N$28*O37</f>
        <v>158.35333148416572</v>
      </c>
      <c r="P108" s="440">
        <f t="shared" si="74"/>
        <v>158.35333148416572</v>
      </c>
      <c r="Q108" s="440">
        <f t="shared" si="74"/>
        <v>158.35333148416572</v>
      </c>
      <c r="R108" s="440">
        <f t="shared" si="74"/>
        <v>158.35333148416572</v>
      </c>
      <c r="S108" s="440">
        <f t="shared" si="74"/>
        <v>158.35333148416572</v>
      </c>
      <c r="T108" s="440">
        <f t="shared" si="74"/>
        <v>158.35333148416572</v>
      </c>
      <c r="U108" s="440">
        <f t="shared" si="74"/>
        <v>158.35333148416572</v>
      </c>
      <c r="V108" s="440">
        <f t="shared" si="74"/>
        <v>158.35333148416572</v>
      </c>
      <c r="W108" s="440">
        <f t="shared" si="74"/>
        <v>158.35333148416572</v>
      </c>
      <c r="X108" s="440">
        <f t="shared" si="74"/>
        <v>158.35333148416572</v>
      </c>
      <c r="Y108" s="440">
        <f t="shared" si="74"/>
        <v>158.35333148416572</v>
      </c>
      <c r="Z108" s="440">
        <f t="shared" si="74"/>
        <v>158.35333148416572</v>
      </c>
      <c r="AA108" s="440">
        <f t="shared" si="74"/>
        <v>158.35333148416572</v>
      </c>
      <c r="AB108" s="440">
        <f t="shared" si="74"/>
        <v>158.35333148416572</v>
      </c>
      <c r="AC108" s="440">
        <f t="shared" si="74"/>
        <v>158.35333148416572</v>
      </c>
      <c r="AD108" s="440">
        <f t="shared" si="74"/>
        <v>158.35333148416572</v>
      </c>
      <c r="AE108" s="440">
        <f t="shared" si="74"/>
        <v>158.35333148416572</v>
      </c>
      <c r="AF108" s="440">
        <f t="shared" si="74"/>
        <v>158.35333148416572</v>
      </c>
      <c r="AG108" s="440">
        <f t="shared" si="74"/>
        <v>158.35333148416572</v>
      </c>
      <c r="AH108" s="440">
        <f t="shared" si="74"/>
        <v>158.35333148416572</v>
      </c>
      <c r="AI108" s="440">
        <f t="shared" si="74"/>
        <v>158.35333148416672</v>
      </c>
      <c r="AJ108" s="440">
        <f t="shared" si="74"/>
        <v>0</v>
      </c>
      <c r="AK108" s="440">
        <f t="shared" si="74"/>
        <v>0</v>
      </c>
      <c r="AL108" s="440">
        <f t="shared" si="74"/>
        <v>0</v>
      </c>
      <c r="AM108" s="440">
        <f t="shared" si="74"/>
        <v>0</v>
      </c>
      <c r="AN108" s="440">
        <f t="shared" si="74"/>
        <v>0</v>
      </c>
      <c r="AO108" s="440">
        <f t="shared" si="74"/>
        <v>0</v>
      </c>
    </row>
    <row r="109" spans="3:41" ht="12.75">
      <c r="C109" s="338"/>
      <c r="D109" s="338"/>
      <c r="E109" s="338"/>
      <c r="F109" s="338"/>
      <c r="G109" s="338"/>
      <c r="H109" s="338">
        <f t="shared" si="70"/>
        <v>2003</v>
      </c>
      <c r="I109" s="440">
        <f t="shared" si="68"/>
        <v>332.591043746636</v>
      </c>
      <c r="J109" s="440"/>
      <c r="K109" s="440"/>
      <c r="L109" s="440"/>
      <c r="M109" s="440"/>
      <c r="N109" s="440"/>
      <c r="O109" s="440">
        <f>$O$28*O38</f>
        <v>15.837668749839816</v>
      </c>
      <c r="P109" s="440">
        <f aca="true" t="shared" si="75" ref="P109:AO109">$O$28*P38</f>
        <v>15.837668749839816</v>
      </c>
      <c r="Q109" s="440">
        <f t="shared" si="75"/>
        <v>15.837668749839816</v>
      </c>
      <c r="R109" s="440">
        <f t="shared" si="75"/>
        <v>15.837668749839816</v>
      </c>
      <c r="S109" s="440">
        <f t="shared" si="75"/>
        <v>15.837668749839816</v>
      </c>
      <c r="T109" s="440">
        <f t="shared" si="75"/>
        <v>15.837668749839816</v>
      </c>
      <c r="U109" s="440">
        <f t="shared" si="75"/>
        <v>15.837668749839816</v>
      </c>
      <c r="V109" s="440">
        <f t="shared" si="75"/>
        <v>15.837668749839816</v>
      </c>
      <c r="W109" s="440">
        <f t="shared" si="75"/>
        <v>15.837668749839816</v>
      </c>
      <c r="X109" s="440">
        <f t="shared" si="75"/>
        <v>15.837668749839816</v>
      </c>
      <c r="Y109" s="440">
        <f t="shared" si="75"/>
        <v>15.837668749839816</v>
      </c>
      <c r="Z109" s="440">
        <f t="shared" si="75"/>
        <v>15.837668749839816</v>
      </c>
      <c r="AA109" s="440">
        <f t="shared" si="75"/>
        <v>15.837668749839816</v>
      </c>
      <c r="AB109" s="440">
        <f t="shared" si="75"/>
        <v>15.837668749839816</v>
      </c>
      <c r="AC109" s="440">
        <f t="shared" si="75"/>
        <v>15.837668749839816</v>
      </c>
      <c r="AD109" s="440">
        <f t="shared" si="75"/>
        <v>15.837668749839816</v>
      </c>
      <c r="AE109" s="440">
        <f t="shared" si="75"/>
        <v>15.837668749839816</v>
      </c>
      <c r="AF109" s="440">
        <f t="shared" si="75"/>
        <v>15.837668749839816</v>
      </c>
      <c r="AG109" s="440">
        <f t="shared" si="75"/>
        <v>15.837668749839816</v>
      </c>
      <c r="AH109" s="440">
        <f t="shared" si="75"/>
        <v>15.837668749839816</v>
      </c>
      <c r="AI109" s="440">
        <f t="shared" si="75"/>
        <v>15.837668749839686</v>
      </c>
      <c r="AJ109" s="440">
        <f t="shared" si="75"/>
        <v>0</v>
      </c>
      <c r="AK109" s="440">
        <f t="shared" si="75"/>
        <v>0</v>
      </c>
      <c r="AL109" s="440">
        <f t="shared" si="75"/>
        <v>0</v>
      </c>
      <c r="AM109" s="440">
        <f t="shared" si="75"/>
        <v>0</v>
      </c>
      <c r="AN109" s="440">
        <f t="shared" si="75"/>
        <v>0</v>
      </c>
      <c r="AO109" s="440">
        <f t="shared" si="75"/>
        <v>0</v>
      </c>
    </row>
    <row r="110" spans="3:41" ht="12.75">
      <c r="C110" s="338"/>
      <c r="D110" s="338"/>
      <c r="E110" s="338"/>
      <c r="F110" s="338"/>
      <c r="G110" s="338"/>
      <c r="H110" s="338">
        <f t="shared" si="70"/>
        <v>2004</v>
      </c>
      <c r="I110" s="440">
        <f t="shared" si="68"/>
        <v>0</v>
      </c>
      <c r="J110" s="440"/>
      <c r="K110" s="440"/>
      <c r="L110" s="440"/>
      <c r="M110" s="440"/>
      <c r="N110" s="440"/>
      <c r="O110" s="440"/>
      <c r="P110" s="440">
        <f>$P$28*P39</f>
        <v>0</v>
      </c>
      <c r="Q110" s="440">
        <f aca="true" t="shared" si="76" ref="Q110:AO110">$P$28*Q39</f>
        <v>0</v>
      </c>
      <c r="R110" s="440">
        <f t="shared" si="76"/>
        <v>0</v>
      </c>
      <c r="S110" s="440">
        <f t="shared" si="76"/>
        <v>0</v>
      </c>
      <c r="T110" s="440">
        <f t="shared" si="76"/>
        <v>0</v>
      </c>
      <c r="U110" s="440">
        <f t="shared" si="76"/>
        <v>0</v>
      </c>
      <c r="V110" s="440">
        <f t="shared" si="76"/>
        <v>0</v>
      </c>
      <c r="W110" s="440">
        <f t="shared" si="76"/>
        <v>0</v>
      </c>
      <c r="X110" s="440">
        <f t="shared" si="76"/>
        <v>0</v>
      </c>
      <c r="Y110" s="440">
        <f t="shared" si="76"/>
        <v>0</v>
      </c>
      <c r="Z110" s="440">
        <f t="shared" si="76"/>
        <v>0</v>
      </c>
      <c r="AA110" s="440">
        <f t="shared" si="76"/>
        <v>0</v>
      </c>
      <c r="AB110" s="440">
        <f t="shared" si="76"/>
        <v>0</v>
      </c>
      <c r="AC110" s="440">
        <f t="shared" si="76"/>
        <v>0</v>
      </c>
      <c r="AD110" s="440">
        <f t="shared" si="76"/>
        <v>0</v>
      </c>
      <c r="AE110" s="440">
        <f t="shared" si="76"/>
        <v>0</v>
      </c>
      <c r="AF110" s="440">
        <f t="shared" si="76"/>
        <v>0</v>
      </c>
      <c r="AG110" s="440">
        <f t="shared" si="76"/>
        <v>0</v>
      </c>
      <c r="AH110" s="440">
        <f t="shared" si="76"/>
        <v>0</v>
      </c>
      <c r="AI110" s="440">
        <f t="shared" si="76"/>
        <v>0</v>
      </c>
      <c r="AJ110" s="440">
        <f t="shared" si="76"/>
        <v>0</v>
      </c>
      <c r="AK110" s="440">
        <f t="shared" si="76"/>
        <v>0</v>
      </c>
      <c r="AL110" s="440">
        <f t="shared" si="76"/>
        <v>0</v>
      </c>
      <c r="AM110" s="440">
        <f t="shared" si="76"/>
        <v>0</v>
      </c>
      <c r="AN110" s="440">
        <f t="shared" si="76"/>
        <v>0</v>
      </c>
      <c r="AO110" s="440">
        <f t="shared" si="76"/>
        <v>0</v>
      </c>
    </row>
    <row r="111" spans="3:41" ht="12.75">
      <c r="C111" s="338"/>
      <c r="D111" s="338"/>
      <c r="E111" s="338"/>
      <c r="F111" s="338"/>
      <c r="G111" s="338"/>
      <c r="H111" s="338">
        <f t="shared" si="70"/>
        <v>2005</v>
      </c>
      <c r="I111" s="440">
        <f t="shared" si="68"/>
        <v>0</v>
      </c>
      <c r="J111" s="440"/>
      <c r="K111" s="440"/>
      <c r="L111" s="440"/>
      <c r="M111" s="440"/>
      <c r="N111" s="440"/>
      <c r="O111" s="440"/>
      <c r="P111" s="440"/>
      <c r="Q111" s="440">
        <f>$Q$28*Q40</f>
        <v>0</v>
      </c>
      <c r="R111" s="440">
        <f aca="true" t="shared" si="77" ref="R111:AO111">$Q$28*R40</f>
        <v>0</v>
      </c>
      <c r="S111" s="440">
        <f t="shared" si="77"/>
        <v>0</v>
      </c>
      <c r="T111" s="440">
        <f t="shared" si="77"/>
        <v>0</v>
      </c>
      <c r="U111" s="440">
        <f t="shared" si="77"/>
        <v>0</v>
      </c>
      <c r="V111" s="440">
        <f t="shared" si="77"/>
        <v>0</v>
      </c>
      <c r="W111" s="440">
        <f t="shared" si="77"/>
        <v>0</v>
      </c>
      <c r="X111" s="440">
        <f t="shared" si="77"/>
        <v>0</v>
      </c>
      <c r="Y111" s="440">
        <f t="shared" si="77"/>
        <v>0</v>
      </c>
      <c r="Z111" s="440">
        <f t="shared" si="77"/>
        <v>0</v>
      </c>
      <c r="AA111" s="440">
        <f t="shared" si="77"/>
        <v>0</v>
      </c>
      <c r="AB111" s="440">
        <f t="shared" si="77"/>
        <v>0</v>
      </c>
      <c r="AC111" s="440">
        <f t="shared" si="77"/>
        <v>0</v>
      </c>
      <c r="AD111" s="440">
        <f t="shared" si="77"/>
        <v>0</v>
      </c>
      <c r="AE111" s="440">
        <f t="shared" si="77"/>
        <v>0</v>
      </c>
      <c r="AF111" s="440">
        <f t="shared" si="77"/>
        <v>0</v>
      </c>
      <c r="AG111" s="440">
        <f t="shared" si="77"/>
        <v>0</v>
      </c>
      <c r="AH111" s="440">
        <f t="shared" si="77"/>
        <v>0</v>
      </c>
      <c r="AI111" s="440">
        <f t="shared" si="77"/>
        <v>0</v>
      </c>
      <c r="AJ111" s="440">
        <f t="shared" si="77"/>
        <v>0</v>
      </c>
      <c r="AK111" s="440">
        <f t="shared" si="77"/>
        <v>0</v>
      </c>
      <c r="AL111" s="440">
        <f t="shared" si="77"/>
        <v>0</v>
      </c>
      <c r="AM111" s="440">
        <f t="shared" si="77"/>
        <v>0</v>
      </c>
      <c r="AN111" s="440">
        <f t="shared" si="77"/>
        <v>0</v>
      </c>
      <c r="AO111" s="440">
        <f t="shared" si="77"/>
        <v>0</v>
      </c>
    </row>
    <row r="112" spans="3:41" ht="12.75">
      <c r="C112" s="338"/>
      <c r="D112" s="338"/>
      <c r="E112" s="338"/>
      <c r="F112" s="338"/>
      <c r="G112" s="338"/>
      <c r="H112" s="338">
        <f t="shared" si="70"/>
        <v>2006</v>
      </c>
      <c r="I112" s="440">
        <f t="shared" si="68"/>
        <v>0</v>
      </c>
      <c r="J112" s="440"/>
      <c r="K112" s="440"/>
      <c r="L112" s="440"/>
      <c r="M112" s="440"/>
      <c r="N112" s="440"/>
      <c r="O112" s="440"/>
      <c r="P112" s="440"/>
      <c r="Q112" s="440"/>
      <c r="R112" s="440">
        <f>$R$28*R41</f>
        <v>0</v>
      </c>
      <c r="S112" s="440">
        <f aca="true" t="shared" si="78" ref="S112:AO112">$R$28*S41</f>
        <v>0</v>
      </c>
      <c r="T112" s="440">
        <f t="shared" si="78"/>
        <v>0</v>
      </c>
      <c r="U112" s="440">
        <f t="shared" si="78"/>
        <v>0</v>
      </c>
      <c r="V112" s="440">
        <f t="shared" si="78"/>
        <v>0</v>
      </c>
      <c r="W112" s="440">
        <f t="shared" si="78"/>
        <v>0</v>
      </c>
      <c r="X112" s="440">
        <f t="shared" si="78"/>
        <v>0</v>
      </c>
      <c r="Y112" s="440">
        <f t="shared" si="78"/>
        <v>0</v>
      </c>
      <c r="Z112" s="440">
        <f t="shared" si="78"/>
        <v>0</v>
      </c>
      <c r="AA112" s="440">
        <f t="shared" si="78"/>
        <v>0</v>
      </c>
      <c r="AB112" s="440">
        <f t="shared" si="78"/>
        <v>0</v>
      </c>
      <c r="AC112" s="440">
        <f t="shared" si="78"/>
        <v>0</v>
      </c>
      <c r="AD112" s="440">
        <f t="shared" si="78"/>
        <v>0</v>
      </c>
      <c r="AE112" s="440">
        <f t="shared" si="78"/>
        <v>0</v>
      </c>
      <c r="AF112" s="440">
        <f t="shared" si="78"/>
        <v>0</v>
      </c>
      <c r="AG112" s="440">
        <f t="shared" si="78"/>
        <v>0</v>
      </c>
      <c r="AH112" s="440">
        <f t="shared" si="78"/>
        <v>0</v>
      </c>
      <c r="AI112" s="440">
        <f t="shared" si="78"/>
        <v>0</v>
      </c>
      <c r="AJ112" s="440">
        <f t="shared" si="78"/>
        <v>0</v>
      </c>
      <c r="AK112" s="440">
        <f t="shared" si="78"/>
        <v>0</v>
      </c>
      <c r="AL112" s="440">
        <f t="shared" si="78"/>
        <v>0</v>
      </c>
      <c r="AM112" s="440">
        <f t="shared" si="78"/>
        <v>0</v>
      </c>
      <c r="AN112" s="440">
        <f t="shared" si="78"/>
        <v>0</v>
      </c>
      <c r="AO112" s="440">
        <f t="shared" si="78"/>
        <v>0</v>
      </c>
    </row>
    <row r="113" spans="3:41" ht="12.75">
      <c r="C113" s="338"/>
      <c r="D113" s="338"/>
      <c r="E113" s="338"/>
      <c r="F113" s="338"/>
      <c r="G113" s="338"/>
      <c r="H113" s="338">
        <f t="shared" si="70"/>
        <v>2007</v>
      </c>
      <c r="I113" s="440">
        <f t="shared" si="68"/>
        <v>0</v>
      </c>
      <c r="J113" s="440"/>
      <c r="K113" s="440"/>
      <c r="L113" s="440"/>
      <c r="M113" s="440"/>
      <c r="N113" s="440"/>
      <c r="O113" s="440"/>
      <c r="P113" s="440"/>
      <c r="Q113" s="440"/>
      <c r="R113" s="440"/>
      <c r="S113" s="440">
        <f>$S$28*S42</f>
        <v>0</v>
      </c>
      <c r="T113" s="440">
        <f aca="true" t="shared" si="79" ref="T113:AO113">$S$28*T42</f>
        <v>0</v>
      </c>
      <c r="U113" s="440">
        <f t="shared" si="79"/>
        <v>0</v>
      </c>
      <c r="V113" s="440">
        <f t="shared" si="79"/>
        <v>0</v>
      </c>
      <c r="W113" s="440">
        <f t="shared" si="79"/>
        <v>0</v>
      </c>
      <c r="X113" s="440">
        <f t="shared" si="79"/>
        <v>0</v>
      </c>
      <c r="Y113" s="440">
        <f t="shared" si="79"/>
        <v>0</v>
      </c>
      <c r="Z113" s="440">
        <f t="shared" si="79"/>
        <v>0</v>
      </c>
      <c r="AA113" s="440">
        <f t="shared" si="79"/>
        <v>0</v>
      </c>
      <c r="AB113" s="440">
        <f t="shared" si="79"/>
        <v>0</v>
      </c>
      <c r="AC113" s="440">
        <f t="shared" si="79"/>
        <v>0</v>
      </c>
      <c r="AD113" s="440">
        <f t="shared" si="79"/>
        <v>0</v>
      </c>
      <c r="AE113" s="440">
        <f t="shared" si="79"/>
        <v>0</v>
      </c>
      <c r="AF113" s="440">
        <f t="shared" si="79"/>
        <v>0</v>
      </c>
      <c r="AG113" s="440">
        <f t="shared" si="79"/>
        <v>0</v>
      </c>
      <c r="AH113" s="440">
        <f t="shared" si="79"/>
        <v>0</v>
      </c>
      <c r="AI113" s="440">
        <f t="shared" si="79"/>
        <v>0</v>
      </c>
      <c r="AJ113" s="440">
        <f t="shared" si="79"/>
        <v>0</v>
      </c>
      <c r="AK113" s="440">
        <f t="shared" si="79"/>
        <v>0</v>
      </c>
      <c r="AL113" s="440">
        <f t="shared" si="79"/>
        <v>0</v>
      </c>
      <c r="AM113" s="440">
        <f t="shared" si="79"/>
        <v>0</v>
      </c>
      <c r="AN113" s="440">
        <f t="shared" si="79"/>
        <v>0</v>
      </c>
      <c r="AO113" s="440">
        <f t="shared" si="79"/>
        <v>0</v>
      </c>
    </row>
    <row r="114" spans="3:41" ht="12.75">
      <c r="C114" s="338"/>
      <c r="D114" s="338"/>
      <c r="E114" s="338"/>
      <c r="F114" s="338"/>
      <c r="G114" s="338"/>
      <c r="H114" s="338">
        <f t="shared" si="70"/>
        <v>2008</v>
      </c>
      <c r="I114" s="440">
        <f t="shared" si="68"/>
        <v>0</v>
      </c>
      <c r="J114" s="440"/>
      <c r="K114" s="440"/>
      <c r="L114" s="440"/>
      <c r="M114" s="440"/>
      <c r="N114" s="440"/>
      <c r="O114" s="440"/>
      <c r="P114" s="440"/>
      <c r="Q114" s="440"/>
      <c r="R114" s="440"/>
      <c r="S114" s="440"/>
      <c r="T114" s="440">
        <f>$T$28*T43</f>
        <v>0</v>
      </c>
      <c r="U114" s="440">
        <f aca="true" t="shared" si="80" ref="U114:AJ114">$T$28*U43</f>
        <v>0</v>
      </c>
      <c r="V114" s="440">
        <f t="shared" si="80"/>
        <v>0</v>
      </c>
      <c r="W114" s="440">
        <f t="shared" si="80"/>
        <v>0</v>
      </c>
      <c r="X114" s="440">
        <f t="shared" si="80"/>
        <v>0</v>
      </c>
      <c r="Y114" s="440">
        <f t="shared" si="80"/>
        <v>0</v>
      </c>
      <c r="Z114" s="440">
        <f t="shared" si="80"/>
        <v>0</v>
      </c>
      <c r="AA114" s="440">
        <f t="shared" si="80"/>
        <v>0</v>
      </c>
      <c r="AB114" s="440">
        <f t="shared" si="80"/>
        <v>0</v>
      </c>
      <c r="AC114" s="440">
        <f t="shared" si="80"/>
        <v>0</v>
      </c>
      <c r="AD114" s="440">
        <f t="shared" si="80"/>
        <v>0</v>
      </c>
      <c r="AE114" s="440">
        <f t="shared" si="80"/>
        <v>0</v>
      </c>
      <c r="AF114" s="440">
        <f t="shared" si="80"/>
        <v>0</v>
      </c>
      <c r="AG114" s="440">
        <f t="shared" si="80"/>
        <v>0</v>
      </c>
      <c r="AH114" s="440">
        <f t="shared" si="80"/>
        <v>0</v>
      </c>
      <c r="AI114" s="440">
        <f t="shared" si="80"/>
        <v>0</v>
      </c>
      <c r="AJ114" s="440">
        <f t="shared" si="80"/>
        <v>0</v>
      </c>
      <c r="AK114" s="440">
        <f>$T$28*AK43</f>
        <v>0</v>
      </c>
      <c r="AL114" s="440">
        <f>$T$28*AL43</f>
        <v>0</v>
      </c>
      <c r="AM114" s="440">
        <f>$T$28*AM43</f>
        <v>0</v>
      </c>
      <c r="AN114" s="440">
        <f>$T$28*AN43</f>
        <v>0</v>
      </c>
      <c r="AO114" s="440">
        <f>$T$28*AO43</f>
        <v>0</v>
      </c>
    </row>
    <row r="115" spans="3:41" ht="12.75">
      <c r="C115" s="338"/>
      <c r="D115" s="338"/>
      <c r="E115" s="338"/>
      <c r="F115" s="338"/>
      <c r="G115" s="338"/>
      <c r="H115" s="338">
        <f t="shared" si="70"/>
        <v>2009</v>
      </c>
      <c r="I115" s="440">
        <f t="shared" si="68"/>
        <v>0</v>
      </c>
      <c r="J115" s="440"/>
      <c r="K115" s="440"/>
      <c r="L115" s="440"/>
      <c r="M115" s="440"/>
      <c r="N115" s="440"/>
      <c r="O115" s="440"/>
      <c r="P115" s="440"/>
      <c r="Q115" s="440"/>
      <c r="R115" s="440"/>
      <c r="S115" s="440"/>
      <c r="T115" s="440"/>
      <c r="U115" s="440">
        <f>$U$28*U44</f>
        <v>0</v>
      </c>
      <c r="V115" s="440">
        <f aca="true" t="shared" si="81" ref="V115:AK115">$U$28*V44</f>
        <v>0</v>
      </c>
      <c r="W115" s="440">
        <f t="shared" si="81"/>
        <v>0</v>
      </c>
      <c r="X115" s="440">
        <f t="shared" si="81"/>
        <v>0</v>
      </c>
      <c r="Y115" s="440">
        <f t="shared" si="81"/>
        <v>0</v>
      </c>
      <c r="Z115" s="440">
        <f t="shared" si="81"/>
        <v>0</v>
      </c>
      <c r="AA115" s="440">
        <f t="shared" si="81"/>
        <v>0</v>
      </c>
      <c r="AB115" s="440">
        <f t="shared" si="81"/>
        <v>0</v>
      </c>
      <c r="AC115" s="440">
        <f t="shared" si="81"/>
        <v>0</v>
      </c>
      <c r="AD115" s="440">
        <f t="shared" si="81"/>
        <v>0</v>
      </c>
      <c r="AE115" s="440">
        <f t="shared" si="81"/>
        <v>0</v>
      </c>
      <c r="AF115" s="440">
        <f t="shared" si="81"/>
        <v>0</v>
      </c>
      <c r="AG115" s="440">
        <f t="shared" si="81"/>
        <v>0</v>
      </c>
      <c r="AH115" s="440">
        <f t="shared" si="81"/>
        <v>0</v>
      </c>
      <c r="AI115" s="440">
        <f t="shared" si="81"/>
        <v>0</v>
      </c>
      <c r="AJ115" s="440">
        <f t="shared" si="81"/>
        <v>0</v>
      </c>
      <c r="AK115" s="440">
        <f t="shared" si="81"/>
        <v>0</v>
      </c>
      <c r="AL115" s="440">
        <f>$U$28*AL44</f>
        <v>0</v>
      </c>
      <c r="AM115" s="440">
        <f>$U$28*AM44</f>
        <v>0</v>
      </c>
      <c r="AN115" s="440">
        <f>$U$28*AN44</f>
        <v>0</v>
      </c>
      <c r="AO115" s="440">
        <f>$U$28*AO44</f>
        <v>0</v>
      </c>
    </row>
    <row r="116" spans="3:41" ht="12.75">
      <c r="C116" s="338"/>
      <c r="D116" s="338"/>
      <c r="E116" s="338"/>
      <c r="F116" s="338"/>
      <c r="G116" s="338"/>
      <c r="H116" s="338">
        <f t="shared" si="70"/>
        <v>2010</v>
      </c>
      <c r="I116" s="440">
        <f t="shared" si="68"/>
        <v>0</v>
      </c>
      <c r="J116" s="440"/>
      <c r="K116" s="440"/>
      <c r="L116" s="440"/>
      <c r="M116" s="440"/>
      <c r="N116" s="440"/>
      <c r="O116" s="440"/>
      <c r="P116" s="440"/>
      <c r="Q116" s="440"/>
      <c r="R116" s="440"/>
      <c r="S116" s="440"/>
      <c r="T116" s="440"/>
      <c r="U116" s="440"/>
      <c r="V116" s="440">
        <f>$V$28*V45</f>
        <v>0</v>
      </c>
      <c r="W116" s="440">
        <f aca="true" t="shared" si="82" ref="W116:AL116">$V$28*W45</f>
        <v>0</v>
      </c>
      <c r="X116" s="440">
        <f t="shared" si="82"/>
        <v>0</v>
      </c>
      <c r="Y116" s="440">
        <f t="shared" si="82"/>
        <v>0</v>
      </c>
      <c r="Z116" s="440">
        <f t="shared" si="82"/>
        <v>0</v>
      </c>
      <c r="AA116" s="440">
        <f t="shared" si="82"/>
        <v>0</v>
      </c>
      <c r="AB116" s="440">
        <f t="shared" si="82"/>
        <v>0</v>
      </c>
      <c r="AC116" s="440">
        <f t="shared" si="82"/>
        <v>0</v>
      </c>
      <c r="AD116" s="440">
        <f t="shared" si="82"/>
        <v>0</v>
      </c>
      <c r="AE116" s="440">
        <f t="shared" si="82"/>
        <v>0</v>
      </c>
      <c r="AF116" s="440">
        <f t="shared" si="82"/>
        <v>0</v>
      </c>
      <c r="AG116" s="440">
        <f t="shared" si="82"/>
        <v>0</v>
      </c>
      <c r="AH116" s="440">
        <f t="shared" si="82"/>
        <v>0</v>
      </c>
      <c r="AI116" s="440">
        <f t="shared" si="82"/>
        <v>0</v>
      </c>
      <c r="AJ116" s="440">
        <f t="shared" si="82"/>
        <v>0</v>
      </c>
      <c r="AK116" s="440">
        <f t="shared" si="82"/>
        <v>0</v>
      </c>
      <c r="AL116" s="440">
        <f t="shared" si="82"/>
        <v>0</v>
      </c>
      <c r="AM116" s="440">
        <f>$V$28*AM45</f>
        <v>0</v>
      </c>
      <c r="AN116" s="440">
        <f>$V$28*AN45</f>
        <v>0</v>
      </c>
      <c r="AO116" s="440">
        <f>$V$28*AO45</f>
        <v>0</v>
      </c>
    </row>
    <row r="117" spans="3:41" ht="12.75">
      <c r="C117" s="338"/>
      <c r="D117" s="338"/>
      <c r="E117" s="338"/>
      <c r="F117" s="338"/>
      <c r="G117" s="338"/>
      <c r="H117" s="338">
        <f t="shared" si="70"/>
        <v>2011</v>
      </c>
      <c r="I117" s="440">
        <f t="shared" si="68"/>
        <v>0</v>
      </c>
      <c r="J117" s="440"/>
      <c r="K117" s="440"/>
      <c r="L117" s="440"/>
      <c r="M117" s="440"/>
      <c r="N117" s="440"/>
      <c r="O117" s="440"/>
      <c r="P117" s="440"/>
      <c r="Q117" s="440"/>
      <c r="R117" s="440"/>
      <c r="S117" s="440"/>
      <c r="T117" s="440"/>
      <c r="U117" s="440"/>
      <c r="V117" s="440"/>
      <c r="W117" s="440">
        <f>$W$28*W46</f>
        <v>0</v>
      </c>
      <c r="X117" s="440">
        <f aca="true" t="shared" si="83" ref="X117:AM117">$W$28*X46</f>
        <v>0</v>
      </c>
      <c r="Y117" s="440">
        <f t="shared" si="83"/>
        <v>0</v>
      </c>
      <c r="Z117" s="440">
        <f t="shared" si="83"/>
        <v>0</v>
      </c>
      <c r="AA117" s="440">
        <f t="shared" si="83"/>
        <v>0</v>
      </c>
      <c r="AB117" s="440">
        <f t="shared" si="83"/>
        <v>0</v>
      </c>
      <c r="AC117" s="440">
        <f t="shared" si="83"/>
        <v>0</v>
      </c>
      <c r="AD117" s="440">
        <f t="shared" si="83"/>
        <v>0</v>
      </c>
      <c r="AE117" s="440">
        <f t="shared" si="83"/>
        <v>0</v>
      </c>
      <c r="AF117" s="440">
        <f t="shared" si="83"/>
        <v>0</v>
      </c>
      <c r="AG117" s="440">
        <f t="shared" si="83"/>
        <v>0</v>
      </c>
      <c r="AH117" s="440">
        <f t="shared" si="83"/>
        <v>0</v>
      </c>
      <c r="AI117" s="440">
        <f t="shared" si="83"/>
        <v>0</v>
      </c>
      <c r="AJ117" s="440">
        <f t="shared" si="83"/>
        <v>0</v>
      </c>
      <c r="AK117" s="440">
        <f t="shared" si="83"/>
        <v>0</v>
      </c>
      <c r="AL117" s="440">
        <f t="shared" si="83"/>
        <v>0</v>
      </c>
      <c r="AM117" s="440">
        <f t="shared" si="83"/>
        <v>0</v>
      </c>
      <c r="AN117" s="440">
        <f>$W$28*AN46</f>
        <v>0</v>
      </c>
      <c r="AO117" s="440">
        <f>$W$28*AO46</f>
        <v>0</v>
      </c>
    </row>
    <row r="118" spans="3:41" ht="12.75">
      <c r="C118" s="338"/>
      <c r="D118" s="338"/>
      <c r="E118" s="338"/>
      <c r="F118" s="338"/>
      <c r="G118" s="338"/>
      <c r="H118" s="338">
        <f t="shared" si="70"/>
        <v>2012</v>
      </c>
      <c r="I118" s="440">
        <f t="shared" si="68"/>
        <v>0</v>
      </c>
      <c r="J118" s="440"/>
      <c r="K118" s="440"/>
      <c r="L118" s="440"/>
      <c r="M118" s="440"/>
      <c r="N118" s="440"/>
      <c r="O118" s="440"/>
      <c r="P118" s="440"/>
      <c r="Q118" s="440"/>
      <c r="R118" s="440"/>
      <c r="S118" s="440"/>
      <c r="T118" s="440"/>
      <c r="U118" s="440"/>
      <c r="V118" s="440"/>
      <c r="W118" s="440"/>
      <c r="X118" s="440">
        <f>$X$28*X47</f>
        <v>0</v>
      </c>
      <c r="Y118" s="440">
        <f aca="true" t="shared" si="84" ref="Y118:AN118">$X$28*Y47</f>
        <v>0</v>
      </c>
      <c r="Z118" s="440">
        <f t="shared" si="84"/>
        <v>0</v>
      </c>
      <c r="AA118" s="440">
        <f t="shared" si="84"/>
        <v>0</v>
      </c>
      <c r="AB118" s="440">
        <f t="shared" si="84"/>
        <v>0</v>
      </c>
      <c r="AC118" s="440">
        <f t="shared" si="84"/>
        <v>0</v>
      </c>
      <c r="AD118" s="440">
        <f t="shared" si="84"/>
        <v>0</v>
      </c>
      <c r="AE118" s="440">
        <f t="shared" si="84"/>
        <v>0</v>
      </c>
      <c r="AF118" s="440">
        <f t="shared" si="84"/>
        <v>0</v>
      </c>
      <c r="AG118" s="440">
        <f t="shared" si="84"/>
        <v>0</v>
      </c>
      <c r="AH118" s="440">
        <f t="shared" si="84"/>
        <v>0</v>
      </c>
      <c r="AI118" s="440">
        <f t="shared" si="84"/>
        <v>0</v>
      </c>
      <c r="AJ118" s="440">
        <f t="shared" si="84"/>
        <v>0</v>
      </c>
      <c r="AK118" s="440">
        <f t="shared" si="84"/>
        <v>0</v>
      </c>
      <c r="AL118" s="440">
        <f t="shared" si="84"/>
        <v>0</v>
      </c>
      <c r="AM118" s="440">
        <f t="shared" si="84"/>
        <v>0</v>
      </c>
      <c r="AN118" s="440">
        <f t="shared" si="84"/>
        <v>0</v>
      </c>
      <c r="AO118" s="440">
        <f>$X$28*AO47</f>
        <v>0</v>
      </c>
    </row>
    <row r="119" spans="3:41" ht="12.75">
      <c r="C119" s="338"/>
      <c r="D119" s="338"/>
      <c r="E119" s="338"/>
      <c r="F119" s="338"/>
      <c r="G119" s="338"/>
      <c r="H119" s="338">
        <f t="shared" si="70"/>
        <v>2013</v>
      </c>
      <c r="I119" s="440">
        <f t="shared" si="68"/>
        <v>0</v>
      </c>
      <c r="J119" s="440"/>
      <c r="K119" s="440"/>
      <c r="L119" s="440"/>
      <c r="M119" s="440"/>
      <c r="N119" s="440"/>
      <c r="O119" s="440"/>
      <c r="P119" s="440"/>
      <c r="Q119" s="440"/>
      <c r="R119" s="440"/>
      <c r="S119" s="440"/>
      <c r="T119" s="440"/>
      <c r="U119" s="440"/>
      <c r="V119" s="440"/>
      <c r="W119" s="440"/>
      <c r="X119" s="440"/>
      <c r="Y119" s="440">
        <f>$Y$28*Y48</f>
        <v>0</v>
      </c>
      <c r="Z119" s="440">
        <f aca="true" t="shared" si="85" ref="Z119:AO119">$Y$28*Z48</f>
        <v>0</v>
      </c>
      <c r="AA119" s="440">
        <f t="shared" si="85"/>
        <v>0</v>
      </c>
      <c r="AB119" s="440">
        <f t="shared" si="85"/>
        <v>0</v>
      </c>
      <c r="AC119" s="440">
        <f t="shared" si="85"/>
        <v>0</v>
      </c>
      <c r="AD119" s="440">
        <f t="shared" si="85"/>
        <v>0</v>
      </c>
      <c r="AE119" s="440">
        <f t="shared" si="85"/>
        <v>0</v>
      </c>
      <c r="AF119" s="440">
        <f t="shared" si="85"/>
        <v>0</v>
      </c>
      <c r="AG119" s="440">
        <f t="shared" si="85"/>
        <v>0</v>
      </c>
      <c r="AH119" s="440">
        <f t="shared" si="85"/>
        <v>0</v>
      </c>
      <c r="AI119" s="440">
        <f t="shared" si="85"/>
        <v>0</v>
      </c>
      <c r="AJ119" s="440">
        <f t="shared" si="85"/>
        <v>0</v>
      </c>
      <c r="AK119" s="440">
        <f t="shared" si="85"/>
        <v>0</v>
      </c>
      <c r="AL119" s="440">
        <f t="shared" si="85"/>
        <v>0</v>
      </c>
      <c r="AM119" s="440">
        <f t="shared" si="85"/>
        <v>0</v>
      </c>
      <c r="AN119" s="440">
        <f t="shared" si="85"/>
        <v>0</v>
      </c>
      <c r="AO119" s="440">
        <f t="shared" si="85"/>
        <v>0</v>
      </c>
    </row>
    <row r="120" spans="3:41" ht="12.75">
      <c r="C120" s="338"/>
      <c r="D120" s="338"/>
      <c r="E120" s="338"/>
      <c r="F120" s="338"/>
      <c r="G120" s="338"/>
      <c r="H120" s="338">
        <f t="shared" si="70"/>
        <v>2014</v>
      </c>
      <c r="I120" s="440">
        <f t="shared" si="68"/>
        <v>0</v>
      </c>
      <c r="J120" s="440"/>
      <c r="K120" s="440"/>
      <c r="L120" s="440"/>
      <c r="M120" s="440"/>
      <c r="N120" s="440"/>
      <c r="O120" s="440"/>
      <c r="P120" s="440"/>
      <c r="Q120" s="440"/>
      <c r="R120" s="440"/>
      <c r="S120" s="440"/>
      <c r="T120" s="440"/>
      <c r="U120" s="440"/>
      <c r="V120" s="440"/>
      <c r="W120" s="440"/>
      <c r="X120" s="440"/>
      <c r="Y120" s="440"/>
      <c r="Z120" s="440">
        <f>$Z$28*Z49</f>
        <v>0</v>
      </c>
      <c r="AA120" s="440">
        <f aca="true" t="shared" si="86" ref="AA120:AO120">$Z$28*AA49</f>
        <v>0</v>
      </c>
      <c r="AB120" s="440">
        <f t="shared" si="86"/>
        <v>0</v>
      </c>
      <c r="AC120" s="440">
        <f t="shared" si="86"/>
        <v>0</v>
      </c>
      <c r="AD120" s="440">
        <f t="shared" si="86"/>
        <v>0</v>
      </c>
      <c r="AE120" s="440">
        <f t="shared" si="86"/>
        <v>0</v>
      </c>
      <c r="AF120" s="440">
        <f t="shared" si="86"/>
        <v>0</v>
      </c>
      <c r="AG120" s="440">
        <f t="shared" si="86"/>
        <v>0</v>
      </c>
      <c r="AH120" s="440">
        <f t="shared" si="86"/>
        <v>0</v>
      </c>
      <c r="AI120" s="440">
        <f t="shared" si="86"/>
        <v>0</v>
      </c>
      <c r="AJ120" s="440">
        <f t="shared" si="86"/>
        <v>0</v>
      </c>
      <c r="AK120" s="440">
        <f t="shared" si="86"/>
        <v>0</v>
      </c>
      <c r="AL120" s="440">
        <f t="shared" si="86"/>
        <v>0</v>
      </c>
      <c r="AM120" s="440">
        <f t="shared" si="86"/>
        <v>0</v>
      </c>
      <c r="AN120" s="440">
        <f t="shared" si="86"/>
        <v>0</v>
      </c>
      <c r="AO120" s="440">
        <f t="shared" si="86"/>
        <v>0</v>
      </c>
    </row>
    <row r="121" spans="3:41" ht="12.75">
      <c r="C121" s="338"/>
      <c r="D121" s="338"/>
      <c r="E121" s="338"/>
      <c r="F121" s="338"/>
      <c r="G121" s="338"/>
      <c r="H121" s="338">
        <f t="shared" si="70"/>
        <v>2015</v>
      </c>
      <c r="I121" s="440">
        <f t="shared" si="68"/>
        <v>0</v>
      </c>
      <c r="J121" s="440"/>
      <c r="K121" s="440"/>
      <c r="L121" s="440"/>
      <c r="M121" s="440"/>
      <c r="N121" s="440"/>
      <c r="O121" s="440"/>
      <c r="P121" s="440"/>
      <c r="Q121" s="440"/>
      <c r="R121" s="440"/>
      <c r="S121" s="440"/>
      <c r="T121" s="440"/>
      <c r="U121" s="440"/>
      <c r="V121" s="440"/>
      <c r="W121" s="440"/>
      <c r="X121" s="440"/>
      <c r="Y121" s="440"/>
      <c r="Z121" s="440"/>
      <c r="AA121" s="440">
        <f>$AA$28*AA50</f>
        <v>0</v>
      </c>
      <c r="AB121" s="440">
        <f aca="true" t="shared" si="87" ref="AB121:AO121">$AA$28*AB50</f>
        <v>0</v>
      </c>
      <c r="AC121" s="440">
        <f t="shared" si="87"/>
        <v>0</v>
      </c>
      <c r="AD121" s="440">
        <f t="shared" si="87"/>
        <v>0</v>
      </c>
      <c r="AE121" s="440">
        <f t="shared" si="87"/>
        <v>0</v>
      </c>
      <c r="AF121" s="440">
        <f t="shared" si="87"/>
        <v>0</v>
      </c>
      <c r="AG121" s="440">
        <f t="shared" si="87"/>
        <v>0</v>
      </c>
      <c r="AH121" s="440">
        <f t="shared" si="87"/>
        <v>0</v>
      </c>
      <c r="AI121" s="440">
        <f t="shared" si="87"/>
        <v>0</v>
      </c>
      <c r="AJ121" s="440">
        <f t="shared" si="87"/>
        <v>0</v>
      </c>
      <c r="AK121" s="440">
        <f t="shared" si="87"/>
        <v>0</v>
      </c>
      <c r="AL121" s="440">
        <f t="shared" si="87"/>
        <v>0</v>
      </c>
      <c r="AM121" s="440">
        <f t="shared" si="87"/>
        <v>0</v>
      </c>
      <c r="AN121" s="440">
        <f t="shared" si="87"/>
        <v>0</v>
      </c>
      <c r="AO121" s="440">
        <f t="shared" si="87"/>
        <v>0</v>
      </c>
    </row>
    <row r="122" spans="3:41" ht="12.75">
      <c r="C122" s="338"/>
      <c r="D122" s="338"/>
      <c r="E122" s="338"/>
      <c r="F122" s="338"/>
      <c r="G122" s="338"/>
      <c r="H122" s="338">
        <f t="shared" si="70"/>
        <v>2016</v>
      </c>
      <c r="I122" s="440">
        <f t="shared" si="68"/>
        <v>0</v>
      </c>
      <c r="J122" s="440"/>
      <c r="K122" s="440"/>
      <c r="L122" s="440"/>
      <c r="M122" s="440"/>
      <c r="N122" s="440"/>
      <c r="O122" s="440"/>
      <c r="P122" s="440"/>
      <c r="Q122" s="440"/>
      <c r="R122" s="440"/>
      <c r="S122" s="440"/>
      <c r="T122" s="440"/>
      <c r="U122" s="440"/>
      <c r="V122" s="440"/>
      <c r="W122" s="440"/>
      <c r="X122" s="440"/>
      <c r="Y122" s="440"/>
      <c r="Z122" s="440"/>
      <c r="AA122" s="440"/>
      <c r="AB122" s="440">
        <f>$AB$28*AB51</f>
        <v>0</v>
      </c>
      <c r="AC122" s="440">
        <f aca="true" t="shared" si="88" ref="AC122:AO122">$AB$28*AC51</f>
        <v>0</v>
      </c>
      <c r="AD122" s="440">
        <f t="shared" si="88"/>
        <v>0</v>
      </c>
      <c r="AE122" s="440">
        <f t="shared" si="88"/>
        <v>0</v>
      </c>
      <c r="AF122" s="440">
        <f t="shared" si="88"/>
        <v>0</v>
      </c>
      <c r="AG122" s="440">
        <f t="shared" si="88"/>
        <v>0</v>
      </c>
      <c r="AH122" s="440">
        <f t="shared" si="88"/>
        <v>0</v>
      </c>
      <c r="AI122" s="440">
        <f t="shared" si="88"/>
        <v>0</v>
      </c>
      <c r="AJ122" s="440">
        <f t="shared" si="88"/>
        <v>0</v>
      </c>
      <c r="AK122" s="440">
        <f t="shared" si="88"/>
        <v>0</v>
      </c>
      <c r="AL122" s="440">
        <f t="shared" si="88"/>
        <v>0</v>
      </c>
      <c r="AM122" s="440">
        <f t="shared" si="88"/>
        <v>0</v>
      </c>
      <c r="AN122" s="440">
        <f t="shared" si="88"/>
        <v>0</v>
      </c>
      <c r="AO122" s="440">
        <f t="shared" si="88"/>
        <v>0</v>
      </c>
    </row>
    <row r="123" spans="3:41" ht="12.75">
      <c r="C123" s="338"/>
      <c r="D123" s="338"/>
      <c r="E123" s="338"/>
      <c r="F123" s="338"/>
      <c r="G123" s="338"/>
      <c r="H123" s="338">
        <f t="shared" si="70"/>
        <v>2017</v>
      </c>
      <c r="I123" s="440">
        <f t="shared" si="68"/>
        <v>0</v>
      </c>
      <c r="J123" s="440"/>
      <c r="K123" s="440"/>
      <c r="L123" s="440"/>
      <c r="M123" s="440"/>
      <c r="N123" s="440"/>
      <c r="O123" s="440"/>
      <c r="P123" s="440"/>
      <c r="Q123" s="440"/>
      <c r="R123" s="440"/>
      <c r="S123" s="440"/>
      <c r="T123" s="440"/>
      <c r="U123" s="440"/>
      <c r="V123" s="440"/>
      <c r="W123" s="440"/>
      <c r="X123" s="440"/>
      <c r="Y123" s="440"/>
      <c r="Z123" s="440"/>
      <c r="AA123" s="440"/>
      <c r="AB123" s="440"/>
      <c r="AC123" s="440">
        <f>$AC$28*AC52</f>
        <v>0</v>
      </c>
      <c r="AD123" s="440">
        <f aca="true" t="shared" si="89" ref="AD123:AO123">$AC$28*AD52</f>
        <v>0</v>
      </c>
      <c r="AE123" s="440">
        <f t="shared" si="89"/>
        <v>0</v>
      </c>
      <c r="AF123" s="440">
        <f t="shared" si="89"/>
        <v>0</v>
      </c>
      <c r="AG123" s="440">
        <f t="shared" si="89"/>
        <v>0</v>
      </c>
      <c r="AH123" s="440">
        <f t="shared" si="89"/>
        <v>0</v>
      </c>
      <c r="AI123" s="440">
        <f t="shared" si="89"/>
        <v>0</v>
      </c>
      <c r="AJ123" s="440">
        <f t="shared" si="89"/>
        <v>0</v>
      </c>
      <c r="AK123" s="440">
        <f t="shared" si="89"/>
        <v>0</v>
      </c>
      <c r="AL123" s="440">
        <f t="shared" si="89"/>
        <v>0</v>
      </c>
      <c r="AM123" s="440">
        <f t="shared" si="89"/>
        <v>0</v>
      </c>
      <c r="AN123" s="440">
        <f t="shared" si="89"/>
        <v>0</v>
      </c>
      <c r="AO123" s="440">
        <f t="shared" si="89"/>
        <v>0</v>
      </c>
    </row>
    <row r="124" spans="3:41" ht="12.75">
      <c r="C124" s="338"/>
      <c r="D124" s="338"/>
      <c r="E124" s="338"/>
      <c r="F124" s="338"/>
      <c r="G124" s="338"/>
      <c r="H124" s="338">
        <f t="shared" si="70"/>
        <v>2018</v>
      </c>
      <c r="I124" s="440">
        <f t="shared" si="68"/>
        <v>0</v>
      </c>
      <c r="J124" s="440"/>
      <c r="K124" s="440"/>
      <c r="L124" s="440"/>
      <c r="M124" s="440"/>
      <c r="N124" s="440"/>
      <c r="O124" s="440"/>
      <c r="P124" s="440"/>
      <c r="Q124" s="440"/>
      <c r="R124" s="440"/>
      <c r="S124" s="440"/>
      <c r="T124" s="440"/>
      <c r="U124" s="440"/>
      <c r="V124" s="440"/>
      <c r="W124" s="440"/>
      <c r="X124" s="440"/>
      <c r="Y124" s="440"/>
      <c r="Z124" s="440"/>
      <c r="AA124" s="440"/>
      <c r="AB124" s="440"/>
      <c r="AC124" s="440"/>
      <c r="AD124" s="440">
        <f>$AD$28*AD53</f>
        <v>0</v>
      </c>
      <c r="AE124" s="440">
        <f aca="true" t="shared" si="90" ref="AE124:AO124">$AD$28*AE53</f>
        <v>0</v>
      </c>
      <c r="AF124" s="440">
        <f t="shared" si="90"/>
        <v>0</v>
      </c>
      <c r="AG124" s="440">
        <f t="shared" si="90"/>
        <v>0</v>
      </c>
      <c r="AH124" s="440">
        <f t="shared" si="90"/>
        <v>0</v>
      </c>
      <c r="AI124" s="440">
        <f t="shared" si="90"/>
        <v>0</v>
      </c>
      <c r="AJ124" s="440">
        <f t="shared" si="90"/>
        <v>0</v>
      </c>
      <c r="AK124" s="440">
        <f t="shared" si="90"/>
        <v>0</v>
      </c>
      <c r="AL124" s="440">
        <f t="shared" si="90"/>
        <v>0</v>
      </c>
      <c r="AM124" s="440">
        <f t="shared" si="90"/>
        <v>0</v>
      </c>
      <c r="AN124" s="440">
        <f t="shared" si="90"/>
        <v>0</v>
      </c>
      <c r="AO124" s="440">
        <f t="shared" si="90"/>
        <v>0</v>
      </c>
    </row>
    <row r="125" spans="3:41" ht="12.75">
      <c r="C125" s="338"/>
      <c r="D125" s="338"/>
      <c r="E125" s="338"/>
      <c r="F125" s="338"/>
      <c r="G125" s="338"/>
      <c r="H125" s="338">
        <f t="shared" si="70"/>
        <v>2019</v>
      </c>
      <c r="I125" s="440">
        <f t="shared" si="68"/>
        <v>0</v>
      </c>
      <c r="J125" s="440"/>
      <c r="K125" s="440"/>
      <c r="L125" s="440"/>
      <c r="M125" s="440"/>
      <c r="N125" s="440"/>
      <c r="O125" s="440"/>
      <c r="P125" s="440"/>
      <c r="Q125" s="440"/>
      <c r="R125" s="440"/>
      <c r="S125" s="440"/>
      <c r="T125" s="440"/>
      <c r="U125" s="440"/>
      <c r="V125" s="440"/>
      <c r="W125" s="440"/>
      <c r="X125" s="440"/>
      <c r="Y125" s="440"/>
      <c r="Z125" s="440"/>
      <c r="AA125" s="440"/>
      <c r="AB125" s="440"/>
      <c r="AC125" s="440"/>
      <c r="AD125" s="440"/>
      <c r="AE125" s="440">
        <f>$AE$28*AE54</f>
        <v>0</v>
      </c>
      <c r="AF125" s="440">
        <f aca="true" t="shared" si="91" ref="AF125:AO125">$AE$28*AF54</f>
        <v>0</v>
      </c>
      <c r="AG125" s="440">
        <f t="shared" si="91"/>
        <v>0</v>
      </c>
      <c r="AH125" s="440">
        <f t="shared" si="91"/>
        <v>0</v>
      </c>
      <c r="AI125" s="440">
        <f t="shared" si="91"/>
        <v>0</v>
      </c>
      <c r="AJ125" s="440">
        <f t="shared" si="91"/>
        <v>0</v>
      </c>
      <c r="AK125" s="440">
        <f t="shared" si="91"/>
        <v>0</v>
      </c>
      <c r="AL125" s="440">
        <f t="shared" si="91"/>
        <v>0</v>
      </c>
      <c r="AM125" s="440">
        <f t="shared" si="91"/>
        <v>0</v>
      </c>
      <c r="AN125" s="440">
        <f t="shared" si="91"/>
        <v>0</v>
      </c>
      <c r="AO125" s="440">
        <f t="shared" si="91"/>
        <v>0</v>
      </c>
    </row>
    <row r="126" spans="3:41" ht="12.75">
      <c r="C126" s="338"/>
      <c r="D126" s="338"/>
      <c r="E126" s="338"/>
      <c r="F126" s="338"/>
      <c r="G126" s="338"/>
      <c r="H126" s="338">
        <f t="shared" si="70"/>
        <v>2020</v>
      </c>
      <c r="I126" s="440">
        <f t="shared" si="68"/>
        <v>0</v>
      </c>
      <c r="J126" s="440"/>
      <c r="K126" s="440"/>
      <c r="L126" s="440"/>
      <c r="M126" s="440"/>
      <c r="N126" s="440"/>
      <c r="O126" s="440"/>
      <c r="P126" s="440"/>
      <c r="Q126" s="440"/>
      <c r="R126" s="440"/>
      <c r="S126" s="440"/>
      <c r="T126" s="440"/>
      <c r="U126" s="440"/>
      <c r="V126" s="440"/>
      <c r="W126" s="440"/>
      <c r="X126" s="440"/>
      <c r="Y126" s="440"/>
      <c r="Z126" s="440"/>
      <c r="AA126" s="440"/>
      <c r="AB126" s="440"/>
      <c r="AC126" s="440"/>
      <c r="AD126" s="440"/>
      <c r="AE126" s="440"/>
      <c r="AF126" s="440">
        <f>$AF$28*AF55</f>
        <v>0</v>
      </c>
      <c r="AG126" s="440">
        <f aca="true" t="shared" si="92" ref="AG126:AO126">$AF$28*AG55</f>
        <v>0</v>
      </c>
      <c r="AH126" s="440">
        <f t="shared" si="92"/>
        <v>0</v>
      </c>
      <c r="AI126" s="440">
        <f t="shared" si="92"/>
        <v>0</v>
      </c>
      <c r="AJ126" s="440">
        <f t="shared" si="92"/>
        <v>0</v>
      </c>
      <c r="AK126" s="440">
        <f t="shared" si="92"/>
        <v>0</v>
      </c>
      <c r="AL126" s="440">
        <f t="shared" si="92"/>
        <v>0</v>
      </c>
      <c r="AM126" s="440">
        <f t="shared" si="92"/>
        <v>0</v>
      </c>
      <c r="AN126" s="440">
        <f t="shared" si="92"/>
        <v>0</v>
      </c>
      <c r="AO126" s="440">
        <f t="shared" si="92"/>
        <v>0</v>
      </c>
    </row>
    <row r="127" spans="3:41" ht="12.75">
      <c r="C127" s="338"/>
      <c r="D127" s="338"/>
      <c r="E127" s="338"/>
      <c r="F127" s="338"/>
      <c r="G127" s="338"/>
      <c r="H127" s="338">
        <f t="shared" si="70"/>
        <v>2021</v>
      </c>
      <c r="I127" s="440">
        <f t="shared" si="68"/>
        <v>0</v>
      </c>
      <c r="J127" s="440"/>
      <c r="K127" s="440"/>
      <c r="L127" s="440"/>
      <c r="M127" s="440"/>
      <c r="N127" s="440"/>
      <c r="O127" s="440"/>
      <c r="P127" s="440"/>
      <c r="Q127" s="440"/>
      <c r="R127" s="440"/>
      <c r="S127" s="440"/>
      <c r="T127" s="440"/>
      <c r="U127" s="440"/>
      <c r="V127" s="440"/>
      <c r="W127" s="440"/>
      <c r="X127" s="440"/>
      <c r="Y127" s="440"/>
      <c r="Z127" s="440"/>
      <c r="AA127" s="440"/>
      <c r="AB127" s="440"/>
      <c r="AC127" s="440"/>
      <c r="AD127" s="440"/>
      <c r="AE127" s="440"/>
      <c r="AF127" s="440"/>
      <c r="AG127" s="440">
        <f>$AG$28*AG56</f>
        <v>0</v>
      </c>
      <c r="AH127" s="440">
        <f aca="true" t="shared" si="93" ref="AH127:AO127">$AG$28*AH56</f>
        <v>0</v>
      </c>
      <c r="AI127" s="440">
        <f t="shared" si="93"/>
        <v>0</v>
      </c>
      <c r="AJ127" s="440">
        <f t="shared" si="93"/>
        <v>0</v>
      </c>
      <c r="AK127" s="440">
        <f t="shared" si="93"/>
        <v>0</v>
      </c>
      <c r="AL127" s="440">
        <f t="shared" si="93"/>
        <v>0</v>
      </c>
      <c r="AM127" s="440">
        <f t="shared" si="93"/>
        <v>0</v>
      </c>
      <c r="AN127" s="440">
        <f t="shared" si="93"/>
        <v>0</v>
      </c>
      <c r="AO127" s="440">
        <f t="shared" si="93"/>
        <v>0</v>
      </c>
    </row>
    <row r="128" spans="3:41" ht="12.75">
      <c r="C128" s="338"/>
      <c r="D128" s="338"/>
      <c r="E128" s="338"/>
      <c r="F128" s="338"/>
      <c r="G128" s="338"/>
      <c r="H128" s="338">
        <f t="shared" si="70"/>
        <v>2022</v>
      </c>
      <c r="I128" s="440">
        <f t="shared" si="68"/>
        <v>0</v>
      </c>
      <c r="J128" s="440"/>
      <c r="K128" s="440"/>
      <c r="L128" s="440"/>
      <c r="M128" s="440"/>
      <c r="N128" s="440"/>
      <c r="O128" s="440"/>
      <c r="P128" s="440"/>
      <c r="Q128" s="440"/>
      <c r="R128" s="440"/>
      <c r="S128" s="440"/>
      <c r="T128" s="440"/>
      <c r="U128" s="440"/>
      <c r="V128" s="440"/>
      <c r="W128" s="440"/>
      <c r="X128" s="440"/>
      <c r="Y128" s="440"/>
      <c r="Z128" s="440"/>
      <c r="AA128" s="440"/>
      <c r="AB128" s="440"/>
      <c r="AC128" s="440"/>
      <c r="AD128" s="440"/>
      <c r="AE128" s="440"/>
      <c r="AF128" s="440"/>
      <c r="AG128" s="440"/>
      <c r="AH128" s="440">
        <f>$AH$28*AH57</f>
        <v>0</v>
      </c>
      <c r="AI128" s="440">
        <f aca="true" t="shared" si="94" ref="AI128:AO128">$AH$28*AI57</f>
        <v>0</v>
      </c>
      <c r="AJ128" s="440">
        <f t="shared" si="94"/>
        <v>0</v>
      </c>
      <c r="AK128" s="440">
        <f t="shared" si="94"/>
        <v>0</v>
      </c>
      <c r="AL128" s="440">
        <f t="shared" si="94"/>
        <v>0</v>
      </c>
      <c r="AM128" s="440">
        <f t="shared" si="94"/>
        <v>0</v>
      </c>
      <c r="AN128" s="440">
        <f t="shared" si="94"/>
        <v>0</v>
      </c>
      <c r="AO128" s="440">
        <f t="shared" si="94"/>
        <v>0</v>
      </c>
    </row>
    <row r="129" spans="3:41" ht="12.75">
      <c r="C129" s="338"/>
      <c r="D129" s="338"/>
      <c r="E129" s="338"/>
      <c r="F129" s="338"/>
      <c r="G129" s="338"/>
      <c r="H129" s="338">
        <f t="shared" si="70"/>
        <v>2023</v>
      </c>
      <c r="I129" s="440">
        <f t="shared" si="68"/>
        <v>0</v>
      </c>
      <c r="J129" s="440"/>
      <c r="K129" s="440"/>
      <c r="L129" s="440"/>
      <c r="M129" s="440"/>
      <c r="N129" s="440"/>
      <c r="O129" s="440"/>
      <c r="P129" s="440"/>
      <c r="Q129" s="440"/>
      <c r="R129" s="440"/>
      <c r="S129" s="440"/>
      <c r="T129" s="440"/>
      <c r="U129" s="440"/>
      <c r="V129" s="440"/>
      <c r="W129" s="440"/>
      <c r="X129" s="440"/>
      <c r="Y129" s="440"/>
      <c r="Z129" s="440"/>
      <c r="AA129" s="440"/>
      <c r="AB129" s="440"/>
      <c r="AC129" s="440"/>
      <c r="AD129" s="440"/>
      <c r="AE129" s="440"/>
      <c r="AF129" s="440"/>
      <c r="AG129" s="440"/>
      <c r="AH129" s="440"/>
      <c r="AI129" s="440">
        <f>$AI$28*AI58</f>
        <v>0</v>
      </c>
      <c r="AJ129" s="440">
        <f aca="true" t="shared" si="95" ref="AJ129:AO129">$AI$28*AJ58</f>
        <v>0</v>
      </c>
      <c r="AK129" s="440">
        <f t="shared" si="95"/>
        <v>0</v>
      </c>
      <c r="AL129" s="440">
        <f t="shared" si="95"/>
        <v>0</v>
      </c>
      <c r="AM129" s="440">
        <f t="shared" si="95"/>
        <v>0</v>
      </c>
      <c r="AN129" s="440">
        <f t="shared" si="95"/>
        <v>0</v>
      </c>
      <c r="AO129" s="440">
        <f t="shared" si="95"/>
        <v>0</v>
      </c>
    </row>
    <row r="130" spans="3:41" ht="12.75">
      <c r="C130" s="338"/>
      <c r="D130" s="338"/>
      <c r="E130" s="338"/>
      <c r="F130" s="338"/>
      <c r="G130" s="338"/>
      <c r="H130" s="338">
        <f t="shared" si="70"/>
        <v>2024</v>
      </c>
      <c r="I130" s="440">
        <f t="shared" si="68"/>
        <v>0</v>
      </c>
      <c r="J130" s="440"/>
      <c r="K130" s="440"/>
      <c r="L130" s="440"/>
      <c r="M130" s="440"/>
      <c r="N130" s="440"/>
      <c r="O130" s="440"/>
      <c r="P130" s="440"/>
      <c r="Q130" s="440"/>
      <c r="R130" s="440"/>
      <c r="S130" s="440"/>
      <c r="T130" s="440"/>
      <c r="U130" s="440"/>
      <c r="V130" s="440"/>
      <c r="W130" s="440"/>
      <c r="X130" s="440"/>
      <c r="Y130" s="440"/>
      <c r="Z130" s="440"/>
      <c r="AA130" s="440"/>
      <c r="AB130" s="440"/>
      <c r="AC130" s="440"/>
      <c r="AD130" s="440"/>
      <c r="AE130" s="440"/>
      <c r="AF130" s="440"/>
      <c r="AG130" s="440"/>
      <c r="AH130" s="440"/>
      <c r="AI130" s="440"/>
      <c r="AJ130" s="440">
        <f aca="true" t="shared" si="96" ref="AJ130:AO130">$AJ$28*AJ59</f>
        <v>0</v>
      </c>
      <c r="AK130" s="440">
        <f t="shared" si="96"/>
        <v>0</v>
      </c>
      <c r="AL130" s="440">
        <f t="shared" si="96"/>
        <v>0</v>
      </c>
      <c r="AM130" s="440">
        <f t="shared" si="96"/>
        <v>0</v>
      </c>
      <c r="AN130" s="440">
        <f t="shared" si="96"/>
        <v>0</v>
      </c>
      <c r="AO130" s="440">
        <f t="shared" si="96"/>
        <v>0</v>
      </c>
    </row>
    <row r="131" spans="3:41" ht="12.75">
      <c r="C131" s="338"/>
      <c r="D131" s="338"/>
      <c r="E131" s="338"/>
      <c r="F131" s="338"/>
      <c r="G131" s="338"/>
      <c r="H131" s="338">
        <f t="shared" si="70"/>
        <v>2025</v>
      </c>
      <c r="I131" s="440">
        <f t="shared" si="68"/>
        <v>0</v>
      </c>
      <c r="J131" s="440"/>
      <c r="K131" s="440"/>
      <c r="L131" s="440"/>
      <c r="M131" s="440"/>
      <c r="N131" s="440"/>
      <c r="O131" s="440"/>
      <c r="P131" s="440"/>
      <c r="Q131" s="440"/>
      <c r="R131" s="440"/>
      <c r="S131" s="440"/>
      <c r="T131" s="440"/>
      <c r="U131" s="440"/>
      <c r="V131" s="440"/>
      <c r="W131" s="440"/>
      <c r="X131" s="440"/>
      <c r="Y131" s="440"/>
      <c r="Z131" s="440"/>
      <c r="AA131" s="440"/>
      <c r="AB131" s="440"/>
      <c r="AC131" s="440"/>
      <c r="AD131" s="440"/>
      <c r="AE131" s="440"/>
      <c r="AF131" s="440"/>
      <c r="AG131" s="440"/>
      <c r="AH131" s="440"/>
      <c r="AI131" s="440"/>
      <c r="AJ131" s="440"/>
      <c r="AK131" s="440">
        <f>$AK$28*AK60</f>
        <v>0</v>
      </c>
      <c r="AL131" s="440">
        <f>$AK$28*AL60</f>
        <v>0</v>
      </c>
      <c r="AM131" s="440">
        <f>$AK$28*AM60</f>
        <v>0</v>
      </c>
      <c r="AN131" s="440">
        <f>$AK$28*AN60</f>
        <v>0</v>
      </c>
      <c r="AO131" s="440">
        <f>$AK$28*AO60</f>
        <v>0</v>
      </c>
    </row>
    <row r="132" spans="3:41" ht="12.75">
      <c r="C132" s="338"/>
      <c r="D132" s="338"/>
      <c r="E132" s="338"/>
      <c r="F132" s="338"/>
      <c r="G132" s="338"/>
      <c r="H132" s="338">
        <f t="shared" si="70"/>
        <v>2026</v>
      </c>
      <c r="I132" s="440">
        <f t="shared" si="68"/>
        <v>0</v>
      </c>
      <c r="J132" s="440"/>
      <c r="K132" s="440"/>
      <c r="L132" s="440"/>
      <c r="M132" s="440"/>
      <c r="N132" s="440"/>
      <c r="O132" s="440"/>
      <c r="P132" s="440"/>
      <c r="Q132" s="440"/>
      <c r="R132" s="440"/>
      <c r="S132" s="440"/>
      <c r="T132" s="440"/>
      <c r="U132" s="440"/>
      <c r="V132" s="440"/>
      <c r="W132" s="440"/>
      <c r="X132" s="440"/>
      <c r="Y132" s="440"/>
      <c r="Z132" s="440"/>
      <c r="AA132" s="440"/>
      <c r="AB132" s="440"/>
      <c r="AC132" s="440"/>
      <c r="AD132" s="440"/>
      <c r="AE132" s="440"/>
      <c r="AF132" s="440"/>
      <c r="AG132" s="440"/>
      <c r="AH132" s="440"/>
      <c r="AI132" s="440"/>
      <c r="AJ132" s="440"/>
      <c r="AK132" s="440"/>
      <c r="AL132" s="440">
        <f>$AL$28*AL61</f>
        <v>0</v>
      </c>
      <c r="AM132" s="440">
        <f>$AL$28*AM61</f>
        <v>0</v>
      </c>
      <c r="AN132" s="440">
        <f>$AL$28*AN61</f>
        <v>0</v>
      </c>
      <c r="AO132" s="440">
        <f>$AL$28*AO61</f>
        <v>0</v>
      </c>
    </row>
    <row r="133" spans="3:41" ht="12.75">
      <c r="C133" s="338"/>
      <c r="D133" s="338"/>
      <c r="E133" s="338"/>
      <c r="F133" s="338"/>
      <c r="G133" s="338"/>
      <c r="H133" s="338">
        <f t="shared" si="70"/>
        <v>2027</v>
      </c>
      <c r="I133" s="440">
        <f t="shared" si="68"/>
        <v>0</v>
      </c>
      <c r="J133" s="440"/>
      <c r="K133" s="440"/>
      <c r="L133" s="440"/>
      <c r="M133" s="440"/>
      <c r="N133" s="440"/>
      <c r="O133" s="440"/>
      <c r="P133" s="440"/>
      <c r="Q133" s="440"/>
      <c r="R133" s="440"/>
      <c r="S133" s="440"/>
      <c r="T133" s="440"/>
      <c r="U133" s="440"/>
      <c r="V133" s="440"/>
      <c r="W133" s="440"/>
      <c r="X133" s="440"/>
      <c r="Y133" s="440"/>
      <c r="Z133" s="440"/>
      <c r="AA133" s="440"/>
      <c r="AB133" s="440"/>
      <c r="AC133" s="440"/>
      <c r="AD133" s="440"/>
      <c r="AE133" s="440"/>
      <c r="AF133" s="440"/>
      <c r="AG133" s="440"/>
      <c r="AH133" s="440"/>
      <c r="AI133" s="440"/>
      <c r="AJ133" s="440"/>
      <c r="AK133" s="440"/>
      <c r="AL133" s="440"/>
      <c r="AM133" s="440">
        <f>$AM$28*AM62</f>
        <v>0</v>
      </c>
      <c r="AN133" s="440">
        <f>$AM$28*AN62</f>
        <v>0</v>
      </c>
      <c r="AO133" s="440">
        <f>$AM$28*AO62</f>
        <v>0</v>
      </c>
    </row>
    <row r="134" spans="3:41" ht="12.75">
      <c r="C134" s="338"/>
      <c r="D134" s="338"/>
      <c r="E134" s="338"/>
      <c r="F134" s="338"/>
      <c r="G134" s="338"/>
      <c r="H134" s="338">
        <f t="shared" si="70"/>
        <v>2028</v>
      </c>
      <c r="I134" s="440">
        <f t="shared" si="68"/>
        <v>0</v>
      </c>
      <c r="J134" s="338"/>
      <c r="K134" s="338"/>
      <c r="L134" s="338"/>
      <c r="M134" s="338"/>
      <c r="N134" s="338"/>
      <c r="O134" s="338"/>
      <c r="P134" s="338"/>
      <c r="Q134" s="338"/>
      <c r="R134" s="338"/>
      <c r="S134" s="338"/>
      <c r="T134" s="338"/>
      <c r="U134" s="338"/>
      <c r="V134" s="338"/>
      <c r="W134" s="338"/>
      <c r="X134" s="338"/>
      <c r="Y134" s="338"/>
      <c r="Z134" s="338"/>
      <c r="AA134" s="338"/>
      <c r="AB134" s="338"/>
      <c r="AC134" s="338"/>
      <c r="AD134" s="338"/>
      <c r="AE134" s="338"/>
      <c r="AF134" s="338"/>
      <c r="AG134" s="338"/>
      <c r="AH134" s="338"/>
      <c r="AI134" s="338"/>
      <c r="AJ134" s="338"/>
      <c r="AK134" s="338"/>
      <c r="AL134" s="338"/>
      <c r="AM134" s="338"/>
      <c r="AN134" s="440">
        <f>$AN$28*AN63</f>
        <v>0</v>
      </c>
      <c r="AO134" s="440">
        <f>$AN$28*AO63</f>
        <v>0</v>
      </c>
    </row>
    <row r="135" spans="3:41" ht="12.75">
      <c r="C135" s="338"/>
      <c r="D135" s="338"/>
      <c r="E135" s="338"/>
      <c r="F135" s="338"/>
      <c r="G135" s="338"/>
      <c r="H135" s="338">
        <f t="shared" si="70"/>
        <v>2029</v>
      </c>
      <c r="I135" s="440">
        <f t="shared" si="68"/>
        <v>0</v>
      </c>
      <c r="J135" s="338"/>
      <c r="K135" s="338"/>
      <c r="L135" s="338"/>
      <c r="M135" s="338"/>
      <c r="N135" s="338"/>
      <c r="O135" s="338"/>
      <c r="P135" s="338"/>
      <c r="Q135" s="338"/>
      <c r="R135" s="338"/>
      <c r="S135" s="338"/>
      <c r="T135" s="338"/>
      <c r="U135" s="338"/>
      <c r="V135" s="338"/>
      <c r="W135" s="338"/>
      <c r="X135" s="338"/>
      <c r="Y135" s="338"/>
      <c r="Z135" s="338"/>
      <c r="AA135" s="338"/>
      <c r="AB135" s="338"/>
      <c r="AC135" s="338"/>
      <c r="AD135" s="338"/>
      <c r="AE135" s="338"/>
      <c r="AF135" s="338"/>
      <c r="AG135" s="338"/>
      <c r="AH135" s="338"/>
      <c r="AI135" s="338"/>
      <c r="AJ135" s="338"/>
      <c r="AK135" s="338"/>
      <c r="AL135" s="338"/>
      <c r="AM135" s="338"/>
      <c r="AN135" s="338"/>
      <c r="AO135" s="440">
        <f>$AO$28*AO64</f>
        <v>0</v>
      </c>
    </row>
    <row r="136" spans="3:41" ht="12.75">
      <c r="C136" s="338"/>
      <c r="D136" s="338"/>
      <c r="E136" s="338"/>
      <c r="F136" s="338"/>
      <c r="G136" s="338"/>
      <c r="H136" s="338"/>
      <c r="I136" s="338"/>
      <c r="J136" s="338"/>
      <c r="K136" s="338"/>
      <c r="L136" s="338"/>
      <c r="M136" s="338"/>
      <c r="N136" s="338"/>
      <c r="O136" s="338"/>
      <c r="P136" s="338"/>
      <c r="Q136" s="338"/>
      <c r="R136" s="338"/>
      <c r="S136" s="338"/>
      <c r="T136" s="338"/>
      <c r="U136" s="338"/>
      <c r="V136" s="338"/>
      <c r="W136" s="338"/>
      <c r="X136" s="338"/>
      <c r="Y136" s="338"/>
      <c r="Z136" s="338"/>
      <c r="AA136" s="338"/>
      <c r="AB136" s="338"/>
      <c r="AC136" s="338"/>
      <c r="AD136" s="338"/>
      <c r="AE136" s="338"/>
      <c r="AF136" s="338"/>
      <c r="AG136" s="338"/>
      <c r="AH136" s="338"/>
      <c r="AI136" s="338"/>
      <c r="AJ136" s="338"/>
      <c r="AK136" s="338"/>
      <c r="AL136" s="338"/>
      <c r="AM136" s="338"/>
      <c r="AN136" s="338"/>
      <c r="AO136" s="338"/>
    </row>
    <row r="137" spans="3:41" ht="12.75">
      <c r="C137" s="338"/>
      <c r="D137" s="338"/>
      <c r="E137" s="338"/>
      <c r="F137" s="338"/>
      <c r="G137" s="338"/>
      <c r="H137" s="338" t="s">
        <v>3</v>
      </c>
      <c r="I137" s="441">
        <f aca="true" t="shared" si="97" ref="I137:AN137">SUM(I104:I136)</f>
        <v>15856.64109954119</v>
      </c>
      <c r="J137" s="441">
        <f t="shared" si="97"/>
        <v>0</v>
      </c>
      <c r="K137" s="441">
        <f t="shared" si="97"/>
        <v>18.57298053729617</v>
      </c>
      <c r="L137" s="441">
        <f t="shared" si="97"/>
        <v>164.6370978594562</v>
      </c>
      <c r="M137" s="441">
        <f t="shared" si="97"/>
        <v>515.524638467224</v>
      </c>
      <c r="N137" s="441">
        <f t="shared" si="97"/>
        <v>673.8779699513898</v>
      </c>
      <c r="O137" s="441">
        <f t="shared" si="97"/>
        <v>689.7156387012296</v>
      </c>
      <c r="P137" s="441">
        <f t="shared" si="97"/>
        <v>689.7156387012296</v>
      </c>
      <c r="Q137" s="441">
        <f t="shared" si="97"/>
        <v>689.7156387012296</v>
      </c>
      <c r="R137" s="441">
        <f t="shared" si="97"/>
        <v>689.7156387012296</v>
      </c>
      <c r="S137" s="441">
        <f t="shared" si="97"/>
        <v>689.7156387012296</v>
      </c>
      <c r="T137" s="441">
        <f t="shared" si="97"/>
        <v>689.7156387012296</v>
      </c>
      <c r="U137" s="441">
        <f t="shared" si="97"/>
        <v>689.7156387012296</v>
      </c>
      <c r="V137" s="441">
        <f t="shared" si="97"/>
        <v>689.7156387012296</v>
      </c>
      <c r="W137" s="441">
        <f t="shared" si="97"/>
        <v>689.7156387012296</v>
      </c>
      <c r="X137" s="441">
        <f t="shared" si="97"/>
        <v>689.7156387012296</v>
      </c>
      <c r="Y137" s="441">
        <f t="shared" si="97"/>
        <v>689.7156387012296</v>
      </c>
      <c r="Z137" s="441">
        <f t="shared" si="97"/>
        <v>689.7156387012296</v>
      </c>
      <c r="AA137" s="441">
        <f t="shared" si="97"/>
        <v>689.7156387012296</v>
      </c>
      <c r="AB137" s="441">
        <f t="shared" si="97"/>
        <v>689.7156387012296</v>
      </c>
      <c r="AC137" s="441">
        <f t="shared" si="97"/>
        <v>689.7156387012296</v>
      </c>
      <c r="AD137" s="441">
        <f t="shared" si="97"/>
        <v>689.7156387012296</v>
      </c>
      <c r="AE137" s="441">
        <f t="shared" si="97"/>
        <v>689.7156387012296</v>
      </c>
      <c r="AF137" s="441">
        <f t="shared" si="97"/>
        <v>689.7156387012296</v>
      </c>
      <c r="AG137" s="441">
        <f t="shared" si="97"/>
        <v>689.7156387012296</v>
      </c>
      <c r="AH137" s="441">
        <f t="shared" si="97"/>
        <v>689.7156387012296</v>
      </c>
      <c r="AI137" s="441">
        <f t="shared" si="97"/>
        <v>689.7156387012351</v>
      </c>
      <c r="AJ137" s="441">
        <f t="shared" si="97"/>
        <v>0</v>
      </c>
      <c r="AK137" s="441">
        <f t="shared" si="97"/>
        <v>0</v>
      </c>
      <c r="AL137" s="441">
        <f t="shared" si="97"/>
        <v>0</v>
      </c>
      <c r="AM137" s="441">
        <f t="shared" si="97"/>
        <v>0</v>
      </c>
      <c r="AN137" s="441">
        <f t="shared" si="97"/>
        <v>0</v>
      </c>
      <c r="AO137" s="441">
        <f>SUM(AO104:AO136)</f>
        <v>0</v>
      </c>
    </row>
    <row r="138" spans="3:41" ht="12.75">
      <c r="C138" s="338"/>
      <c r="D138" s="338"/>
      <c r="E138" s="338"/>
      <c r="F138" s="338"/>
      <c r="G138" s="338"/>
      <c r="H138" s="338"/>
      <c r="I138" s="441"/>
      <c r="J138" s="441"/>
      <c r="K138" s="441"/>
      <c r="L138" s="441"/>
      <c r="M138" s="441"/>
      <c r="N138" s="441"/>
      <c r="O138" s="441"/>
      <c r="P138" s="441"/>
      <c r="Q138" s="441"/>
      <c r="R138" s="441"/>
      <c r="S138" s="441"/>
      <c r="T138" s="441"/>
      <c r="U138" s="441"/>
      <c r="V138" s="441"/>
      <c r="W138" s="441"/>
      <c r="X138" s="441"/>
      <c r="Y138" s="441"/>
      <c r="Z138" s="441"/>
      <c r="AA138" s="441"/>
      <c r="AB138" s="441"/>
      <c r="AC138" s="441"/>
      <c r="AD138" s="441"/>
      <c r="AE138" s="441"/>
      <c r="AF138" s="441"/>
      <c r="AG138" s="441"/>
      <c r="AH138" s="441"/>
      <c r="AI138" s="441"/>
      <c r="AJ138" s="441"/>
      <c r="AK138" s="441"/>
      <c r="AL138" s="441"/>
      <c r="AM138" s="441"/>
      <c r="AN138" s="441"/>
      <c r="AO138" s="441"/>
    </row>
    <row r="139" spans="1:41" ht="18">
      <c r="A139" s="781" t="s">
        <v>771</v>
      </c>
      <c r="C139" s="338"/>
      <c r="D139" s="338"/>
      <c r="E139" s="338"/>
      <c r="F139" s="338"/>
      <c r="G139" s="338"/>
      <c r="H139" s="338"/>
      <c r="I139" s="441"/>
      <c r="J139" s="441"/>
      <c r="K139" s="441"/>
      <c r="L139" s="441"/>
      <c r="M139" s="441"/>
      <c r="N139" s="441"/>
      <c r="O139" s="441"/>
      <c r="P139" s="441"/>
      <c r="Q139" s="441"/>
      <c r="R139" s="441"/>
      <c r="S139" s="441"/>
      <c r="T139" s="441"/>
      <c r="U139" s="441"/>
      <c r="V139" s="441"/>
      <c r="W139" s="441"/>
      <c r="X139" s="441"/>
      <c r="Y139" s="441"/>
      <c r="Z139" s="441"/>
      <c r="AA139" s="441"/>
      <c r="AB139" s="441"/>
      <c r="AC139" s="441"/>
      <c r="AD139" s="441"/>
      <c r="AE139" s="441"/>
      <c r="AF139" s="441"/>
      <c r="AG139" s="441"/>
      <c r="AH139" s="441"/>
      <c r="AI139" s="441"/>
      <c r="AJ139" s="441"/>
      <c r="AK139" s="441"/>
      <c r="AL139" s="441"/>
      <c r="AM139" s="441"/>
      <c r="AN139" s="441"/>
      <c r="AO139" s="441"/>
    </row>
    <row r="140" spans="4:41" ht="12.75">
      <c r="D140" s="766"/>
      <c r="E140" s="319"/>
      <c r="F140" s="784"/>
      <c r="G140" s="784"/>
      <c r="H140" s="784"/>
      <c r="I140" s="784"/>
      <c r="J140" s="784"/>
      <c r="K140" s="785">
        <v>1999</v>
      </c>
      <c r="L140" s="785">
        <f>K140+1</f>
        <v>2000</v>
      </c>
      <c r="M140" s="785">
        <f aca="true" t="shared" si="98" ref="M140:AI140">L140+1</f>
        <v>2001</v>
      </c>
      <c r="N140" s="785">
        <f t="shared" si="98"/>
        <v>2002</v>
      </c>
      <c r="O140" s="785">
        <f t="shared" si="98"/>
        <v>2003</v>
      </c>
      <c r="P140" s="785">
        <f t="shared" si="98"/>
        <v>2004</v>
      </c>
      <c r="Q140" s="785">
        <f t="shared" si="98"/>
        <v>2005</v>
      </c>
      <c r="R140" s="785">
        <f t="shared" si="98"/>
        <v>2006</v>
      </c>
      <c r="S140" s="785">
        <f t="shared" si="98"/>
        <v>2007</v>
      </c>
      <c r="T140" s="785">
        <f t="shared" si="98"/>
        <v>2008</v>
      </c>
      <c r="U140" s="785">
        <f t="shared" si="98"/>
        <v>2009</v>
      </c>
      <c r="V140" s="785">
        <f t="shared" si="98"/>
        <v>2010</v>
      </c>
      <c r="W140" s="785">
        <f t="shared" si="98"/>
        <v>2011</v>
      </c>
      <c r="X140" s="785">
        <f t="shared" si="98"/>
        <v>2012</v>
      </c>
      <c r="Y140" s="785">
        <f t="shared" si="98"/>
        <v>2013</v>
      </c>
      <c r="Z140" s="785">
        <f t="shared" si="98"/>
        <v>2014</v>
      </c>
      <c r="AA140" s="785">
        <f t="shared" si="98"/>
        <v>2015</v>
      </c>
      <c r="AB140" s="785">
        <f t="shared" si="98"/>
        <v>2016</v>
      </c>
      <c r="AC140" s="785">
        <f t="shared" si="98"/>
        <v>2017</v>
      </c>
      <c r="AD140" s="785">
        <f t="shared" si="98"/>
        <v>2018</v>
      </c>
      <c r="AE140" s="785">
        <f t="shared" si="98"/>
        <v>2019</v>
      </c>
      <c r="AF140" s="785">
        <f t="shared" si="98"/>
        <v>2020</v>
      </c>
      <c r="AG140" s="785">
        <f t="shared" si="98"/>
        <v>2021</v>
      </c>
      <c r="AH140" s="785">
        <f t="shared" si="98"/>
        <v>2022</v>
      </c>
      <c r="AI140" s="786">
        <f t="shared" si="98"/>
        <v>2023</v>
      </c>
      <c r="AJ140" s="441"/>
      <c r="AK140" s="441"/>
      <c r="AL140" s="441"/>
      <c r="AM140" s="441"/>
      <c r="AN140" s="441"/>
      <c r="AO140" s="441"/>
    </row>
    <row r="141" spans="4:41" s="11" customFormat="1" ht="15.75">
      <c r="D141" s="787" t="s">
        <v>763</v>
      </c>
      <c r="E141" s="272"/>
      <c r="F141" s="788">
        <f>'PPW PPE'!F16/Inputs!G7/1000</f>
        <v>140953.22069473684</v>
      </c>
      <c r="G141" s="789">
        <v>1</v>
      </c>
      <c r="H141" s="272"/>
      <c r="I141" s="272"/>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790"/>
      <c r="AJ141" s="9"/>
      <c r="AK141" s="9"/>
      <c r="AL141" s="9"/>
      <c r="AM141" s="9"/>
      <c r="AN141" s="9"/>
      <c r="AO141" s="9"/>
    </row>
    <row r="142" spans="4:41" s="11" customFormat="1" ht="17.25">
      <c r="D142" s="791" t="s">
        <v>762</v>
      </c>
      <c r="E142" s="272"/>
      <c r="F142" s="792">
        <f>-Inputs!G18/Inputs!G7</f>
        <v>-1888.1963368421054</v>
      </c>
      <c r="G142" s="18"/>
      <c r="H142" s="272"/>
      <c r="I142" s="272"/>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790"/>
      <c r="AJ142" s="9"/>
      <c r="AK142" s="9"/>
      <c r="AL142" s="9"/>
      <c r="AM142" s="9"/>
      <c r="AN142" s="9"/>
      <c r="AO142" s="9"/>
    </row>
    <row r="143" spans="4:41" s="11" customFormat="1" ht="15.75">
      <c r="D143" s="791" t="s">
        <v>3</v>
      </c>
      <c r="E143" s="272"/>
      <c r="F143" s="788">
        <f>SUM(F141:F142)</f>
        <v>139065.02435789473</v>
      </c>
      <c r="G143" s="18" t="s">
        <v>764</v>
      </c>
      <c r="H143" s="272"/>
      <c r="I143" s="272"/>
      <c r="J143" s="18"/>
      <c r="K143" s="18"/>
      <c r="L143" s="18">
        <v>1</v>
      </c>
      <c r="M143" s="18">
        <f>L143+1</f>
        <v>2</v>
      </c>
      <c r="N143" s="18">
        <f aca="true" t="shared" si="99" ref="N143:Y143">M143+1</f>
        <v>3</v>
      </c>
      <c r="O143" s="18">
        <f t="shared" si="99"/>
        <v>4</v>
      </c>
      <c r="P143" s="18">
        <f t="shared" si="99"/>
        <v>5</v>
      </c>
      <c r="Q143" s="18">
        <f t="shared" si="99"/>
        <v>6</v>
      </c>
      <c r="R143" s="18">
        <f t="shared" si="99"/>
        <v>7</v>
      </c>
      <c r="S143" s="18">
        <f t="shared" si="99"/>
        <v>8</v>
      </c>
      <c r="T143" s="18">
        <f t="shared" si="99"/>
        <v>9</v>
      </c>
      <c r="U143" s="18">
        <f t="shared" si="99"/>
        <v>10</v>
      </c>
      <c r="V143" s="18">
        <f t="shared" si="99"/>
        <v>11</v>
      </c>
      <c r="W143" s="18">
        <f t="shared" si="99"/>
        <v>12</v>
      </c>
      <c r="X143" s="18">
        <f t="shared" si="99"/>
        <v>13</v>
      </c>
      <c r="Y143" s="18">
        <f t="shared" si="99"/>
        <v>14</v>
      </c>
      <c r="Z143" s="18"/>
      <c r="AA143" s="18"/>
      <c r="AB143" s="18"/>
      <c r="AC143" s="18"/>
      <c r="AD143" s="18"/>
      <c r="AE143" s="18"/>
      <c r="AF143" s="18"/>
      <c r="AG143" s="18"/>
      <c r="AH143" s="18"/>
      <c r="AI143" s="790"/>
      <c r="AJ143" s="9"/>
      <c r="AK143" s="9"/>
      <c r="AL143" s="9"/>
      <c r="AM143" s="9"/>
      <c r="AN143" s="9"/>
      <c r="AO143" s="9"/>
    </row>
    <row r="144" spans="4:41" s="11" customFormat="1" ht="12.75">
      <c r="D144" s="271"/>
      <c r="E144" s="272"/>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790"/>
      <c r="AJ144" s="9"/>
      <c r="AK144" s="9"/>
      <c r="AL144" s="9"/>
      <c r="AM144" s="9"/>
      <c r="AN144" s="9"/>
      <c r="AO144" s="9"/>
    </row>
    <row r="145" spans="4:35" s="11" customFormat="1" ht="12.75">
      <c r="D145" s="17"/>
      <c r="E145" s="272"/>
      <c r="F145" s="272"/>
      <c r="G145" s="272"/>
      <c r="H145" s="793"/>
      <c r="I145" s="272"/>
      <c r="J145" s="794"/>
      <c r="K145" s="756"/>
      <c r="L145" s="756"/>
      <c r="M145" s="756"/>
      <c r="N145" s="756"/>
      <c r="O145" s="756"/>
      <c r="P145" s="756"/>
      <c r="Q145" s="756"/>
      <c r="R145" s="756"/>
      <c r="S145" s="756"/>
      <c r="T145" s="756"/>
      <c r="U145" s="756"/>
      <c r="V145" s="756"/>
      <c r="W145" s="756"/>
      <c r="X145" s="756"/>
      <c r="Y145" s="756"/>
      <c r="Z145" s="756"/>
      <c r="AA145" s="756"/>
      <c r="AB145" s="272"/>
      <c r="AC145" s="272"/>
      <c r="AD145" s="272"/>
      <c r="AE145" s="272"/>
      <c r="AF145" s="272"/>
      <c r="AG145" s="272"/>
      <c r="AH145" s="272"/>
      <c r="AI145" s="631"/>
    </row>
    <row r="146" spans="4:35" s="11" customFormat="1" ht="12.75">
      <c r="D146" s="17" t="s">
        <v>468</v>
      </c>
      <c r="E146" s="272"/>
      <c r="F146" s="272"/>
      <c r="G146" s="807">
        <f>H9+H146</f>
        <v>897.1172713955166</v>
      </c>
      <c r="H146" s="808">
        <f>'Keep RevReq'!G47+'Keep RevReq'!G48</f>
        <v>-55656.90081042063</v>
      </c>
      <c r="I146" s="272"/>
      <c r="J146" s="794">
        <f>SUM(K146:AI146)</f>
        <v>139065.02435789473</v>
      </c>
      <c r="K146" s="793">
        <f>8182.8</f>
        <v>8182.8</v>
      </c>
      <c r="L146" s="793">
        <f>($F$143-$K$146)/$Y$143</f>
        <v>9348.730311278194</v>
      </c>
      <c r="M146" s="793">
        <f>L146</f>
        <v>9348.730311278194</v>
      </c>
      <c r="N146" s="793">
        <f aca="true" t="shared" si="100" ref="N146:X146">M146</f>
        <v>9348.730311278194</v>
      </c>
      <c r="O146" s="793">
        <f t="shared" si="100"/>
        <v>9348.730311278194</v>
      </c>
      <c r="P146" s="793">
        <f t="shared" si="100"/>
        <v>9348.730311278194</v>
      </c>
      <c r="Q146" s="793">
        <f t="shared" si="100"/>
        <v>9348.730311278194</v>
      </c>
      <c r="R146" s="793">
        <f t="shared" si="100"/>
        <v>9348.730311278194</v>
      </c>
      <c r="S146" s="793">
        <f t="shared" si="100"/>
        <v>9348.730311278194</v>
      </c>
      <c r="T146" s="793">
        <f t="shared" si="100"/>
        <v>9348.730311278194</v>
      </c>
      <c r="U146" s="793">
        <f t="shared" si="100"/>
        <v>9348.730311278194</v>
      </c>
      <c r="V146" s="793">
        <f t="shared" si="100"/>
        <v>9348.730311278194</v>
      </c>
      <c r="W146" s="793">
        <f t="shared" si="100"/>
        <v>9348.730311278194</v>
      </c>
      <c r="X146" s="793">
        <f t="shared" si="100"/>
        <v>9348.730311278194</v>
      </c>
      <c r="Y146" s="793">
        <f>X146</f>
        <v>9348.730311278194</v>
      </c>
      <c r="Z146" s="272"/>
      <c r="AA146" s="272"/>
      <c r="AB146" s="272"/>
      <c r="AC146" s="272"/>
      <c r="AD146" s="272"/>
      <c r="AE146" s="272"/>
      <c r="AF146" s="272"/>
      <c r="AG146" s="272"/>
      <c r="AH146" s="272"/>
      <c r="AI146" s="631"/>
    </row>
    <row r="147" spans="4:41" ht="12.75">
      <c r="D147" s="283"/>
      <c r="E147" s="177"/>
      <c r="F147" s="805"/>
      <c r="G147" s="806"/>
      <c r="H147" s="795"/>
      <c r="I147" s="795"/>
      <c r="J147" s="796"/>
      <c r="K147" s="795"/>
      <c r="L147" s="795"/>
      <c r="M147" s="795"/>
      <c r="N147" s="795"/>
      <c r="O147" s="795"/>
      <c r="P147" s="795"/>
      <c r="Q147" s="795"/>
      <c r="R147" s="795"/>
      <c r="S147" s="795"/>
      <c r="T147" s="795"/>
      <c r="U147" s="795"/>
      <c r="V147" s="795"/>
      <c r="W147" s="795"/>
      <c r="X147" s="795"/>
      <c r="Y147" s="795"/>
      <c r="Z147" s="795"/>
      <c r="AA147" s="795"/>
      <c r="AB147" s="795"/>
      <c r="AC147" s="795"/>
      <c r="AD147" s="795"/>
      <c r="AE147" s="795"/>
      <c r="AF147" s="795"/>
      <c r="AG147" s="795"/>
      <c r="AH147" s="795"/>
      <c r="AI147" s="797"/>
      <c r="AJ147" s="338"/>
      <c r="AK147" s="338"/>
      <c r="AL147" s="338"/>
      <c r="AM147" s="338"/>
      <c r="AN147" s="338"/>
      <c r="AO147" s="338"/>
    </row>
    <row r="148" spans="3:41" ht="12.75">
      <c r="C148" s="57"/>
      <c r="D148" s="57"/>
      <c r="E148" s="57"/>
      <c r="F148" s="57"/>
      <c r="G148" s="57"/>
      <c r="H148" s="57"/>
      <c r="I148" s="493"/>
      <c r="J148" s="57"/>
      <c r="K148" s="493"/>
      <c r="L148" s="57"/>
      <c r="M148" s="57"/>
      <c r="N148" s="57"/>
      <c r="O148" s="57"/>
      <c r="P148" s="57"/>
      <c r="Q148" s="57"/>
      <c r="R148" s="57"/>
      <c r="S148" s="57"/>
      <c r="T148" s="57"/>
      <c r="U148" s="57"/>
      <c r="V148" s="57"/>
      <c r="W148" s="57"/>
      <c r="X148" s="57"/>
      <c r="Y148" s="493"/>
      <c r="Z148" s="57"/>
      <c r="AA148" s="57"/>
      <c r="AB148" s="57"/>
      <c r="AC148" s="57"/>
      <c r="AD148" s="57"/>
      <c r="AE148" s="57"/>
      <c r="AF148" s="57"/>
      <c r="AG148" s="57"/>
      <c r="AH148" s="57"/>
      <c r="AI148" s="57"/>
      <c r="AJ148" s="57"/>
      <c r="AK148" s="57"/>
      <c r="AL148" s="57"/>
      <c r="AM148" s="57"/>
      <c r="AN148" s="57"/>
      <c r="AO148" s="57"/>
    </row>
    <row r="149" spans="1:41" ht="18">
      <c r="A149" s="781" t="s">
        <v>462</v>
      </c>
      <c r="C149" s="57"/>
      <c r="D149" s="57"/>
      <c r="E149" s="57"/>
      <c r="F149" s="57"/>
      <c r="G149" s="159"/>
      <c r="H149" s="57"/>
      <c r="I149" s="493"/>
      <c r="J149" s="57"/>
      <c r="K149" s="57"/>
      <c r="L149" s="57"/>
      <c r="M149" s="57"/>
      <c r="N149" s="57"/>
      <c r="O149" s="57"/>
      <c r="P149" s="57"/>
      <c r="Q149" s="57"/>
      <c r="R149" s="57"/>
      <c r="S149" s="57"/>
      <c r="T149" s="57"/>
      <c r="U149" s="57"/>
      <c r="V149" s="57"/>
      <c r="W149" s="57"/>
      <c r="X149" s="57"/>
      <c r="Y149" s="493"/>
      <c r="Z149" s="57"/>
      <c r="AA149" s="57"/>
      <c r="AB149" s="57"/>
      <c r="AC149" s="57"/>
      <c r="AD149" s="57"/>
      <c r="AE149" s="57"/>
      <c r="AF149" s="57"/>
      <c r="AG149" s="57"/>
      <c r="AH149" s="57"/>
      <c r="AI149" s="57"/>
      <c r="AJ149" s="57"/>
      <c r="AK149" s="57"/>
      <c r="AL149" s="57"/>
      <c r="AM149" s="57"/>
      <c r="AN149" s="57"/>
      <c r="AO149" s="57"/>
    </row>
    <row r="150" spans="3:41" ht="12.75">
      <c r="C150" s="57"/>
      <c r="D150" s="57"/>
      <c r="E150" s="57"/>
      <c r="F150" s="57"/>
      <c r="G150" s="57"/>
      <c r="H150" s="57"/>
      <c r="I150" s="57"/>
      <c r="J150" s="57"/>
      <c r="K150" s="57"/>
      <c r="L150" s="57"/>
      <c r="M150" s="57"/>
      <c r="N150" s="57"/>
      <c r="O150" s="57"/>
      <c r="P150" s="57"/>
      <c r="Q150" s="57"/>
      <c r="R150" s="57"/>
      <c r="S150" s="57"/>
      <c r="T150" s="57"/>
      <c r="U150" s="57"/>
      <c r="V150" s="57"/>
      <c r="W150" s="57"/>
      <c r="X150" s="57"/>
      <c r="Y150" s="493"/>
      <c r="Z150" s="57"/>
      <c r="AA150" s="57"/>
      <c r="AB150" s="57"/>
      <c r="AC150" s="57"/>
      <c r="AD150" s="57"/>
      <c r="AE150" s="57"/>
      <c r="AF150" s="57"/>
      <c r="AG150" s="57"/>
      <c r="AH150" s="57"/>
      <c r="AI150" s="57"/>
      <c r="AJ150" s="57"/>
      <c r="AK150" s="57"/>
      <c r="AL150" s="57"/>
      <c r="AM150" s="57"/>
      <c r="AN150" s="57"/>
      <c r="AO150" s="57"/>
    </row>
    <row r="151" spans="1:41" ht="18">
      <c r="A151" s="766"/>
      <c r="B151" s="319"/>
      <c r="C151" s="799" t="s">
        <v>769</v>
      </c>
      <c r="D151" s="698"/>
      <c r="E151" s="698"/>
      <c r="F151" s="698"/>
      <c r="G151" s="698"/>
      <c r="H151" s="698"/>
      <c r="I151" s="698"/>
      <c r="J151" s="713"/>
      <c r="K151" s="698"/>
      <c r="L151" s="698"/>
      <c r="M151" s="698"/>
      <c r="N151" s="698"/>
      <c r="O151" s="698"/>
      <c r="P151" s="698"/>
      <c r="Q151" s="698"/>
      <c r="R151" s="698"/>
      <c r="S151" s="698"/>
      <c r="T151" s="698"/>
      <c r="U151" s="698"/>
      <c r="V151" s="698"/>
      <c r="W151" s="698"/>
      <c r="X151" s="698"/>
      <c r="Y151" s="698"/>
      <c r="Z151" s="698"/>
      <c r="AA151" s="698"/>
      <c r="AB151" s="699"/>
      <c r="AC151" s="698"/>
      <c r="AD151" s="698"/>
      <c r="AE151" s="698"/>
      <c r="AF151" s="698"/>
      <c r="AG151" s="698"/>
      <c r="AH151" s="698"/>
      <c r="AI151" s="700"/>
      <c r="AJ151" s="57"/>
      <c r="AK151" s="57"/>
      <c r="AL151" s="57"/>
      <c r="AM151" s="57"/>
      <c r="AN151" s="57"/>
      <c r="AO151" s="57"/>
    </row>
    <row r="152" spans="1:41" ht="12.75">
      <c r="A152" s="284"/>
      <c r="B152" s="321"/>
      <c r="C152" s="415"/>
      <c r="D152" s="415"/>
      <c r="E152" s="415"/>
      <c r="F152" s="415"/>
      <c r="G152" s="415"/>
      <c r="H152" s="321"/>
      <c r="I152" s="321"/>
      <c r="J152" s="711"/>
      <c r="K152" s="701">
        <v>1999</v>
      </c>
      <c r="L152" s="701">
        <f>K152+1</f>
        <v>2000</v>
      </c>
      <c r="M152" s="701">
        <f aca="true" t="shared" si="101" ref="M152:AI152">L152+1</f>
        <v>2001</v>
      </c>
      <c r="N152" s="701">
        <f t="shared" si="101"/>
        <v>2002</v>
      </c>
      <c r="O152" s="701">
        <f t="shared" si="101"/>
        <v>2003</v>
      </c>
      <c r="P152" s="701">
        <f t="shared" si="101"/>
        <v>2004</v>
      </c>
      <c r="Q152" s="701">
        <f t="shared" si="101"/>
        <v>2005</v>
      </c>
      <c r="R152" s="701">
        <f t="shared" si="101"/>
        <v>2006</v>
      </c>
      <c r="S152" s="701">
        <f t="shared" si="101"/>
        <v>2007</v>
      </c>
      <c r="T152" s="701">
        <f t="shared" si="101"/>
        <v>2008</v>
      </c>
      <c r="U152" s="701">
        <f t="shared" si="101"/>
        <v>2009</v>
      </c>
      <c r="V152" s="701">
        <f t="shared" si="101"/>
        <v>2010</v>
      </c>
      <c r="W152" s="701">
        <f t="shared" si="101"/>
        <v>2011</v>
      </c>
      <c r="X152" s="701">
        <f t="shared" si="101"/>
        <v>2012</v>
      </c>
      <c r="Y152" s="701">
        <f t="shared" si="101"/>
        <v>2013</v>
      </c>
      <c r="Z152" s="701">
        <f t="shared" si="101"/>
        <v>2014</v>
      </c>
      <c r="AA152" s="701">
        <f t="shared" si="101"/>
        <v>2015</v>
      </c>
      <c r="AB152" s="701">
        <f t="shared" si="101"/>
        <v>2016</v>
      </c>
      <c r="AC152" s="701">
        <f t="shared" si="101"/>
        <v>2017</v>
      </c>
      <c r="AD152" s="701">
        <f t="shared" si="101"/>
        <v>2018</v>
      </c>
      <c r="AE152" s="701">
        <f t="shared" si="101"/>
        <v>2019</v>
      </c>
      <c r="AF152" s="701">
        <f t="shared" si="101"/>
        <v>2020</v>
      </c>
      <c r="AG152" s="701">
        <f t="shared" si="101"/>
        <v>2021</v>
      </c>
      <c r="AH152" s="701">
        <f t="shared" si="101"/>
        <v>2022</v>
      </c>
      <c r="AI152" s="702">
        <f t="shared" si="101"/>
        <v>2023</v>
      </c>
      <c r="AJ152" s="57"/>
      <c r="AK152" s="57"/>
      <c r="AL152" s="57"/>
      <c r="AM152" s="57"/>
      <c r="AN152" s="57"/>
      <c r="AO152" s="57"/>
    </row>
    <row r="153" spans="1:41" ht="12.75">
      <c r="A153" s="284"/>
      <c r="B153" s="321"/>
      <c r="C153" s="415"/>
      <c r="D153" s="415"/>
      <c r="E153" s="415"/>
      <c r="F153" s="415"/>
      <c r="G153" s="415"/>
      <c r="H153" s="798" t="s">
        <v>515</v>
      </c>
      <c r="I153" s="321"/>
      <c r="J153" s="321"/>
      <c r="K153" s="321"/>
      <c r="L153" s="321"/>
      <c r="M153" s="321"/>
      <c r="N153" s="321"/>
      <c r="O153" s="321"/>
      <c r="P153" s="321"/>
      <c r="Q153" s="321"/>
      <c r="R153" s="321"/>
      <c r="S153" s="321"/>
      <c r="T153" s="321"/>
      <c r="U153" s="321"/>
      <c r="V153" s="321"/>
      <c r="W153" s="321"/>
      <c r="X153" s="321"/>
      <c r="Y153" s="321"/>
      <c r="Z153" s="321"/>
      <c r="AA153" s="321"/>
      <c r="AB153" s="321"/>
      <c r="AC153" s="321"/>
      <c r="AD153" s="321"/>
      <c r="AE153" s="321"/>
      <c r="AF153" s="321"/>
      <c r="AG153" s="321"/>
      <c r="AH153" s="321"/>
      <c r="AI153" s="285"/>
      <c r="AJ153" s="57"/>
      <c r="AK153" s="57"/>
      <c r="AL153" s="57"/>
      <c r="AM153" s="57"/>
      <c r="AN153" s="57"/>
      <c r="AO153" s="57"/>
    </row>
    <row r="154" spans="1:41" ht="12.75">
      <c r="A154" s="284"/>
      <c r="B154" s="321"/>
      <c r="C154" s="415"/>
      <c r="D154" s="415"/>
      <c r="E154" s="415"/>
      <c r="F154" s="415"/>
      <c r="G154" s="415"/>
      <c r="H154" s="321" t="s">
        <v>3</v>
      </c>
      <c r="I154" s="321"/>
      <c r="J154" s="703">
        <f>SUM(K154:AI154)</f>
        <v>341475.5274857278</v>
      </c>
      <c r="K154" s="704">
        <f>K155+K156+K157+K158</f>
        <v>9888.558570238825</v>
      </c>
      <c r="L154" s="704">
        <f aca="true" t="shared" si="102" ref="L154:AH154">L155+L156+L157</f>
        <v>11706.437403943319</v>
      </c>
      <c r="M154" s="704">
        <f t="shared" si="102"/>
        <v>13847.549919391033</v>
      </c>
      <c r="N154" s="704">
        <f t="shared" si="102"/>
        <v>14586.809338153735</v>
      </c>
      <c r="O154" s="704">
        <f t="shared" si="102"/>
        <v>16470.600514696045</v>
      </c>
      <c r="P154" s="704">
        <f t="shared" si="102"/>
        <v>17187.51292411755</v>
      </c>
      <c r="Q154" s="704">
        <f t="shared" si="102"/>
        <v>16835.37820260693</v>
      </c>
      <c r="R154" s="704">
        <f t="shared" si="102"/>
        <v>15524.924394760788</v>
      </c>
      <c r="S154" s="704">
        <f t="shared" si="102"/>
        <v>13842.450635165682</v>
      </c>
      <c r="T154" s="704">
        <f t="shared" si="102"/>
        <v>13048.258517479208</v>
      </c>
      <c r="U154" s="704">
        <f t="shared" si="102"/>
        <v>12052.715938886768</v>
      </c>
      <c r="V154" s="704">
        <f t="shared" si="102"/>
        <v>11429.790674576974</v>
      </c>
      <c r="W154" s="704">
        <f t="shared" si="102"/>
        <v>11197.989174183527</v>
      </c>
      <c r="X154" s="704">
        <f t="shared" si="102"/>
        <v>10831.406383040669</v>
      </c>
      <c r="Y154" s="704">
        <f t="shared" si="102"/>
        <v>10653.220470830194</v>
      </c>
      <c r="Z154" s="704">
        <f t="shared" si="102"/>
        <v>10981.177407729592</v>
      </c>
      <c r="AA154" s="704">
        <f t="shared" si="102"/>
        <v>11318.973072355022</v>
      </c>
      <c r="AB154" s="704">
        <f t="shared" si="102"/>
        <v>11666.902606919211</v>
      </c>
      <c r="AC154" s="704">
        <f t="shared" si="102"/>
        <v>12998.069463279575</v>
      </c>
      <c r="AD154" s="704">
        <f t="shared" si="102"/>
        <v>13730.334129782883</v>
      </c>
      <c r="AE154" s="704">
        <f t="shared" si="102"/>
        <v>14966.196398859804</v>
      </c>
      <c r="AF154" s="704">
        <f t="shared" si="102"/>
        <v>16053.105078838082</v>
      </c>
      <c r="AG154" s="704">
        <f t="shared" si="102"/>
        <v>16853.27045107224</v>
      </c>
      <c r="AH154" s="704">
        <f t="shared" si="102"/>
        <v>17019.578614097896</v>
      </c>
      <c r="AI154" s="803">
        <f>AI155+AI156+AI157+AI158</f>
        <v>16784.317200722235</v>
      </c>
      <c r="AJ154" s="57"/>
      <c r="AK154" s="57"/>
      <c r="AL154" s="57"/>
      <c r="AM154" s="57"/>
      <c r="AN154" s="57"/>
      <c r="AO154" s="57"/>
    </row>
    <row r="155" spans="1:41" ht="12.75">
      <c r="A155" s="284"/>
      <c r="B155" s="321"/>
      <c r="C155" s="415"/>
      <c r="D155" s="415"/>
      <c r="E155" s="415"/>
      <c r="F155" s="415"/>
      <c r="G155" s="415"/>
      <c r="H155" s="321" t="s">
        <v>768</v>
      </c>
      <c r="I155" s="321"/>
      <c r="J155" s="324">
        <f>SUM(K155:AG155)</f>
        <v>66800.84436190478</v>
      </c>
      <c r="K155" s="324">
        <f>K209/1000/0.525</f>
        <v>10038.92878095238</v>
      </c>
      <c r="L155" s="324">
        <f aca="true" t="shared" si="103" ref="L155:AI155">L209/1000/0.525</f>
        <v>9624.340514285715</v>
      </c>
      <c r="M155" s="324">
        <f t="shared" si="103"/>
        <v>9501.77822857143</v>
      </c>
      <c r="N155" s="324">
        <f t="shared" si="103"/>
        <v>7870.617580952381</v>
      </c>
      <c r="O155" s="324">
        <f t="shared" si="103"/>
        <v>7572.509314285715</v>
      </c>
      <c r="P155" s="324">
        <f t="shared" si="103"/>
        <v>6691.9712</v>
      </c>
      <c r="Q155" s="324">
        <f t="shared" si="103"/>
        <v>4995.051657142858</v>
      </c>
      <c r="R155" s="324">
        <f t="shared" si="103"/>
        <v>2909.777352380952</v>
      </c>
      <c r="S155" s="324">
        <f t="shared" si="103"/>
        <v>1551.0884761904763</v>
      </c>
      <c r="T155" s="324">
        <f t="shared" si="103"/>
        <v>1551.0884761904763</v>
      </c>
      <c r="U155" s="324">
        <f t="shared" si="103"/>
        <v>1412.3988000000002</v>
      </c>
      <c r="V155" s="324">
        <f t="shared" si="103"/>
        <v>1412.3988000000002</v>
      </c>
      <c r="W155" s="324">
        <f t="shared" si="103"/>
        <v>1172.304419047619</v>
      </c>
      <c r="X155" s="324">
        <f t="shared" si="103"/>
        <v>496.59074285714286</v>
      </c>
      <c r="Y155" s="324">
        <f t="shared" si="103"/>
        <v>1.9047621781716036E-05</v>
      </c>
      <c r="Z155" s="324">
        <f t="shared" si="103"/>
        <v>0</v>
      </c>
      <c r="AA155" s="324">
        <f t="shared" si="103"/>
        <v>0</v>
      </c>
      <c r="AB155" s="324">
        <f t="shared" si="103"/>
        <v>0</v>
      </c>
      <c r="AC155" s="324">
        <f t="shared" si="103"/>
        <v>0</v>
      </c>
      <c r="AD155" s="324">
        <f t="shared" si="103"/>
        <v>0</v>
      </c>
      <c r="AE155" s="324">
        <f t="shared" si="103"/>
        <v>0</v>
      </c>
      <c r="AF155" s="324">
        <f t="shared" si="103"/>
        <v>0</v>
      </c>
      <c r="AG155" s="324">
        <f t="shared" si="103"/>
        <v>0</v>
      </c>
      <c r="AH155" s="324">
        <f t="shared" si="103"/>
        <v>0</v>
      </c>
      <c r="AI155" s="800">
        <f t="shared" si="103"/>
        <v>0</v>
      </c>
      <c r="AJ155" s="57"/>
      <c r="AK155" s="57"/>
      <c r="AL155" s="57"/>
      <c r="AM155" s="57"/>
      <c r="AN155" s="57"/>
      <c r="AO155" s="57"/>
    </row>
    <row r="156" spans="1:41" ht="12.75">
      <c r="A156" s="284"/>
      <c r="B156" s="321"/>
      <c r="C156" s="415"/>
      <c r="D156" s="415"/>
      <c r="E156" s="415"/>
      <c r="F156" s="415"/>
      <c r="G156" s="415"/>
      <c r="H156" s="321" t="s">
        <v>687</v>
      </c>
      <c r="I156" s="321"/>
      <c r="J156" s="324">
        <f>SUM(K156:AG156)</f>
        <v>247762.3831440513</v>
      </c>
      <c r="K156" s="706">
        <f>K293</f>
        <v>610.3078690711579</v>
      </c>
      <c r="L156" s="706">
        <f aca="true" t="shared" si="104" ref="L156:AI156">L293</f>
        <v>2360.7749694423155</v>
      </c>
      <c r="M156" s="706">
        <f t="shared" si="104"/>
        <v>4624.449770604315</v>
      </c>
      <c r="N156" s="706">
        <f t="shared" si="104"/>
        <v>6994.869836986065</v>
      </c>
      <c r="O156" s="706">
        <f t="shared" si="104"/>
        <v>9176.769280195043</v>
      </c>
      <c r="P156" s="706">
        <f t="shared" si="104"/>
        <v>10774.219803902264</v>
      </c>
      <c r="Q156" s="706">
        <f t="shared" si="104"/>
        <v>12119.004625248786</v>
      </c>
      <c r="R156" s="706">
        <f t="shared" si="104"/>
        <v>12893.825122164548</v>
      </c>
      <c r="S156" s="706">
        <f t="shared" si="104"/>
        <v>12570.040238759917</v>
      </c>
      <c r="T156" s="706">
        <f t="shared" si="104"/>
        <v>11775.848121073443</v>
      </c>
      <c r="U156" s="706">
        <f t="shared" si="104"/>
        <v>10918.995218671478</v>
      </c>
      <c r="V156" s="706">
        <f t="shared" si="104"/>
        <v>10296.069954361685</v>
      </c>
      <c r="W156" s="706">
        <f t="shared" si="104"/>
        <v>10304.36283492062</v>
      </c>
      <c r="X156" s="706">
        <f t="shared" si="104"/>
        <v>10613.493719968237</v>
      </c>
      <c r="Y156" s="706">
        <f t="shared" si="104"/>
        <v>10931.898531567283</v>
      </c>
      <c r="Z156" s="706">
        <f t="shared" si="104"/>
        <v>11259.855487514304</v>
      </c>
      <c r="AA156" s="706">
        <f t="shared" si="104"/>
        <v>11597.651152139733</v>
      </c>
      <c r="AB156" s="706">
        <f t="shared" si="104"/>
        <v>11945.580686703923</v>
      </c>
      <c r="AC156" s="706">
        <f t="shared" si="104"/>
        <v>13276.747543064286</v>
      </c>
      <c r="AD156" s="706">
        <f t="shared" si="104"/>
        <v>14009.012209567594</v>
      </c>
      <c r="AE156" s="706">
        <f t="shared" si="104"/>
        <v>15244.874478644515</v>
      </c>
      <c r="AF156" s="706">
        <f t="shared" si="104"/>
        <v>16331.783158622793</v>
      </c>
      <c r="AG156" s="706">
        <f t="shared" si="104"/>
        <v>17131.948530856953</v>
      </c>
      <c r="AH156" s="706">
        <f t="shared" si="104"/>
        <v>17298.25669388261</v>
      </c>
      <c r="AI156" s="707">
        <f t="shared" si="104"/>
        <v>17062.995280506948</v>
      </c>
      <c r="AJ156" s="57"/>
      <c r="AK156" s="57"/>
      <c r="AL156" s="57"/>
      <c r="AM156" s="57"/>
      <c r="AN156" s="57"/>
      <c r="AO156" s="57"/>
    </row>
    <row r="157" spans="1:41" ht="12.75">
      <c r="A157" s="284"/>
      <c r="B157" s="321"/>
      <c r="C157" s="415"/>
      <c r="D157" s="415"/>
      <c r="E157" s="415"/>
      <c r="F157" s="415"/>
      <c r="G157" s="415"/>
      <c r="H157" s="321" t="s">
        <v>688</v>
      </c>
      <c r="I157" s="321"/>
      <c r="J157" s="324">
        <f>SUM(K157:AG157)</f>
        <v>-6409.595835048376</v>
      </c>
      <c r="K157" s="703">
        <f>K12</f>
        <v>-278.67807978471194</v>
      </c>
      <c r="L157" s="703">
        <f aca="true" t="shared" si="105" ref="L157:AI157">L12</f>
        <v>-278.67807978471194</v>
      </c>
      <c r="M157" s="703">
        <f t="shared" si="105"/>
        <v>-278.67807978471194</v>
      </c>
      <c r="N157" s="703">
        <f t="shared" si="105"/>
        <v>-278.67807978471194</v>
      </c>
      <c r="O157" s="703">
        <f t="shared" si="105"/>
        <v>-278.67807978471194</v>
      </c>
      <c r="P157" s="703">
        <f t="shared" si="105"/>
        <v>-278.67807978471194</v>
      </c>
      <c r="Q157" s="703">
        <f t="shared" si="105"/>
        <v>-278.67807978471194</v>
      </c>
      <c r="R157" s="703">
        <f t="shared" si="105"/>
        <v>-278.67807978471194</v>
      </c>
      <c r="S157" s="703">
        <f t="shared" si="105"/>
        <v>-278.67807978471194</v>
      </c>
      <c r="T157" s="703">
        <f t="shared" si="105"/>
        <v>-278.67807978471194</v>
      </c>
      <c r="U157" s="703">
        <f t="shared" si="105"/>
        <v>-278.67807978471194</v>
      </c>
      <c r="V157" s="703">
        <f t="shared" si="105"/>
        <v>-278.67807978471194</v>
      </c>
      <c r="W157" s="703">
        <f t="shared" si="105"/>
        <v>-278.67807978471194</v>
      </c>
      <c r="X157" s="703">
        <f t="shared" si="105"/>
        <v>-278.67807978471194</v>
      </c>
      <c r="Y157" s="703">
        <f t="shared" si="105"/>
        <v>-278.67807978471194</v>
      </c>
      <c r="Z157" s="703">
        <f t="shared" si="105"/>
        <v>-278.67807978471194</v>
      </c>
      <c r="AA157" s="703">
        <f t="shared" si="105"/>
        <v>-278.67807978471194</v>
      </c>
      <c r="AB157" s="703">
        <f t="shared" si="105"/>
        <v>-278.67807978471194</v>
      </c>
      <c r="AC157" s="703">
        <f t="shared" si="105"/>
        <v>-278.67807978471194</v>
      </c>
      <c r="AD157" s="703">
        <f t="shared" si="105"/>
        <v>-278.67807978471194</v>
      </c>
      <c r="AE157" s="703">
        <f t="shared" si="105"/>
        <v>-278.67807978471194</v>
      </c>
      <c r="AF157" s="703">
        <f t="shared" si="105"/>
        <v>-278.67807978471194</v>
      </c>
      <c r="AG157" s="703">
        <f t="shared" si="105"/>
        <v>-278.67807978471194</v>
      </c>
      <c r="AH157" s="703">
        <f t="shared" si="105"/>
        <v>-278.67807978471194</v>
      </c>
      <c r="AI157" s="705">
        <f t="shared" si="105"/>
        <v>-278.67807978471194</v>
      </c>
      <c r="AJ157" s="57"/>
      <c r="AK157" s="57"/>
      <c r="AL157" s="57"/>
      <c r="AM157" s="57"/>
      <c r="AN157" s="57"/>
      <c r="AO157" s="57"/>
    </row>
    <row r="158" spans="1:41" ht="12.75">
      <c r="A158" s="284"/>
      <c r="B158" s="321"/>
      <c r="C158" s="415"/>
      <c r="D158" s="415"/>
      <c r="E158" s="415"/>
      <c r="F158" s="415"/>
      <c r="G158" s="415"/>
      <c r="H158" s="321" t="s">
        <v>718</v>
      </c>
      <c r="I158" s="321"/>
      <c r="J158" s="324">
        <f>SUM(K158:AG158)</f>
        <v>-482</v>
      </c>
      <c r="K158" s="703">
        <f>K170</f>
        <v>-482</v>
      </c>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5"/>
      <c r="AJ158" s="57"/>
      <c r="AK158" s="57"/>
      <c r="AL158" s="57"/>
      <c r="AM158" s="57"/>
      <c r="AN158" s="57"/>
      <c r="AO158" s="57"/>
    </row>
    <row r="159" spans="1:41" ht="12.75">
      <c r="A159" s="283"/>
      <c r="B159" s="177"/>
      <c r="C159" s="664"/>
      <c r="D159" s="664"/>
      <c r="E159" s="664"/>
      <c r="F159" s="664"/>
      <c r="G159" s="664"/>
      <c r="H159" s="177"/>
      <c r="I159" s="177"/>
      <c r="J159" s="177"/>
      <c r="K159" s="708"/>
      <c r="L159" s="708"/>
      <c r="M159" s="708"/>
      <c r="N159" s="708"/>
      <c r="O159" s="708"/>
      <c r="P159" s="708"/>
      <c r="Q159" s="708"/>
      <c r="R159" s="708"/>
      <c r="S159" s="708"/>
      <c r="T159" s="708"/>
      <c r="U159" s="708"/>
      <c r="V159" s="708"/>
      <c r="W159" s="708"/>
      <c r="X159" s="708"/>
      <c r="Y159" s="708"/>
      <c r="Z159" s="708"/>
      <c r="AA159" s="708"/>
      <c r="AB159" s="708"/>
      <c r="AC159" s="708"/>
      <c r="AD159" s="708"/>
      <c r="AE159" s="708"/>
      <c r="AF159" s="708"/>
      <c r="AG159" s="708"/>
      <c r="AH159" s="708"/>
      <c r="AI159" s="802"/>
      <c r="AJ159" s="57"/>
      <c r="AK159" s="57"/>
      <c r="AL159" s="57"/>
      <c r="AM159" s="57"/>
      <c r="AN159" s="57"/>
      <c r="AO159" s="57"/>
    </row>
    <row r="160" spans="3:41" ht="12.75">
      <c r="C160" s="57"/>
      <c r="D160" s="57"/>
      <c r="E160" s="57"/>
      <c r="F160" s="57"/>
      <c r="G160" s="57"/>
      <c r="H160" s="57"/>
      <c r="I160" s="57"/>
      <c r="J160" s="57"/>
      <c r="K160" s="57"/>
      <c r="L160" s="57"/>
      <c r="M160" s="57"/>
      <c r="N160" s="57"/>
      <c r="O160" s="57"/>
      <c r="P160" s="57"/>
      <c r="Q160" s="57"/>
      <c r="R160" s="57"/>
      <c r="S160" s="57"/>
      <c r="T160" s="57"/>
      <c r="U160" s="57"/>
      <c r="V160" s="57"/>
      <c r="W160" s="57"/>
      <c r="X160" s="57"/>
      <c r="Y160" s="493"/>
      <c r="Z160" s="57"/>
      <c r="AA160" s="57"/>
      <c r="AB160" s="57"/>
      <c r="AC160" s="57"/>
      <c r="AD160" s="57"/>
      <c r="AE160" s="57"/>
      <c r="AF160" s="57"/>
      <c r="AG160" s="57"/>
      <c r="AH160" s="57"/>
      <c r="AI160" s="57"/>
      <c r="AJ160" s="57"/>
      <c r="AK160" s="57"/>
      <c r="AL160" s="57"/>
      <c r="AM160" s="57"/>
      <c r="AN160" s="57"/>
      <c r="AO160" s="57"/>
    </row>
    <row r="161" spans="3:41" ht="12.75">
      <c r="C161" s="57"/>
      <c r="D161" s="57"/>
      <c r="E161" s="57"/>
      <c r="F161" s="57"/>
      <c r="G161" s="57"/>
      <c r="H161" s="57"/>
      <c r="I161" s="57"/>
      <c r="J161" s="57"/>
      <c r="K161" s="57"/>
      <c r="L161" s="57"/>
      <c r="M161" s="57"/>
      <c r="N161" s="57"/>
      <c r="O161" s="57"/>
      <c r="P161" s="57"/>
      <c r="Q161" s="57"/>
      <c r="R161" s="57"/>
      <c r="S161" s="57"/>
      <c r="T161" s="57"/>
      <c r="U161" s="57"/>
      <c r="V161" s="57"/>
      <c r="W161" s="57"/>
      <c r="X161" s="57"/>
      <c r="Y161" s="493"/>
      <c r="Z161" s="57"/>
      <c r="AA161" s="57"/>
      <c r="AB161" s="57"/>
      <c r="AC161" s="57"/>
      <c r="AD161" s="57"/>
      <c r="AE161" s="57"/>
      <c r="AF161" s="57"/>
      <c r="AG161" s="57"/>
      <c r="AH161" s="57"/>
      <c r="AI161" s="57"/>
      <c r="AJ161" s="57"/>
      <c r="AK161" s="57"/>
      <c r="AL161" s="57"/>
      <c r="AM161" s="57"/>
      <c r="AN161" s="57"/>
      <c r="AO161" s="57"/>
    </row>
    <row r="162" spans="3:41" ht="12.75">
      <c r="C162" s="57"/>
      <c r="D162" s="57"/>
      <c r="E162" s="57"/>
      <c r="F162" s="57"/>
      <c r="G162" s="57"/>
      <c r="H162" s="57"/>
      <c r="I162" s="57"/>
      <c r="J162" s="57"/>
      <c r="K162" s="57"/>
      <c r="L162" s="57"/>
      <c r="M162" s="57"/>
      <c r="N162" s="57"/>
      <c r="O162" s="57"/>
      <c r="P162" s="57"/>
      <c r="Q162" s="57"/>
      <c r="R162" s="57"/>
      <c r="S162" s="57"/>
      <c r="T162" s="57"/>
      <c r="U162" s="57"/>
      <c r="V162" s="57"/>
      <c r="W162" s="57"/>
      <c r="X162" s="57"/>
      <c r="Y162" s="493"/>
      <c r="Z162" s="57"/>
      <c r="AA162" s="57"/>
      <c r="AB162" s="57"/>
      <c r="AC162" s="57"/>
      <c r="AD162" s="57"/>
      <c r="AE162" s="57"/>
      <c r="AF162" s="57"/>
      <c r="AG162" s="57"/>
      <c r="AH162" s="57"/>
      <c r="AI162" s="57"/>
      <c r="AJ162" s="57"/>
      <c r="AK162" s="57"/>
      <c r="AL162" s="57"/>
      <c r="AM162" s="57"/>
      <c r="AN162" s="57"/>
      <c r="AO162" s="57"/>
    </row>
    <row r="163" spans="1:41" ht="18">
      <c r="A163" s="766"/>
      <c r="B163" s="319"/>
      <c r="C163" s="799" t="s">
        <v>767</v>
      </c>
      <c r="D163" s="698"/>
      <c r="E163" s="319"/>
      <c r="F163" s="319"/>
      <c r="G163" s="319"/>
      <c r="H163" s="698"/>
      <c r="I163" s="698"/>
      <c r="J163" s="713">
        <v>0.5605917164327923</v>
      </c>
      <c r="K163" s="698"/>
      <c r="L163" s="698"/>
      <c r="M163" s="698"/>
      <c r="N163" s="698"/>
      <c r="O163" s="698"/>
      <c r="P163" s="698"/>
      <c r="Q163" s="698"/>
      <c r="R163" s="698"/>
      <c r="S163" s="698"/>
      <c r="T163" s="698"/>
      <c r="U163" s="698"/>
      <c r="V163" s="698"/>
      <c r="W163" s="698"/>
      <c r="X163" s="698"/>
      <c r="Y163" s="698"/>
      <c r="Z163" s="698"/>
      <c r="AA163" s="698"/>
      <c r="AB163" s="699"/>
      <c r="AC163" s="698"/>
      <c r="AD163" s="698"/>
      <c r="AE163" s="698"/>
      <c r="AF163" s="698"/>
      <c r="AG163" s="698"/>
      <c r="AH163" s="698"/>
      <c r="AI163" s="700"/>
      <c r="AJ163" s="57"/>
      <c r="AK163" s="57"/>
      <c r="AL163" s="57"/>
      <c r="AM163" s="57"/>
      <c r="AN163" s="57"/>
      <c r="AO163" s="57"/>
    </row>
    <row r="164" spans="1:35" ht="12.75">
      <c r="A164" s="284"/>
      <c r="B164" s="321"/>
      <c r="C164" s="321"/>
      <c r="D164" s="321"/>
      <c r="E164" s="321"/>
      <c r="F164" s="321"/>
      <c r="G164" s="321"/>
      <c r="H164" s="321"/>
      <c r="I164" s="321"/>
      <c r="J164" s="711">
        <f>'PPW PPE'!N29/1000</f>
        <v>37464.28834000001</v>
      </c>
      <c r="K164" s="701">
        <v>1999</v>
      </c>
      <c r="L164" s="701">
        <f>K164+1</f>
        <v>2000</v>
      </c>
      <c r="M164" s="701">
        <f aca="true" t="shared" si="106" ref="M164:AI164">L164+1</f>
        <v>2001</v>
      </c>
      <c r="N164" s="701">
        <f t="shared" si="106"/>
        <v>2002</v>
      </c>
      <c r="O164" s="701">
        <f t="shared" si="106"/>
        <v>2003</v>
      </c>
      <c r="P164" s="701">
        <f t="shared" si="106"/>
        <v>2004</v>
      </c>
      <c r="Q164" s="701">
        <f t="shared" si="106"/>
        <v>2005</v>
      </c>
      <c r="R164" s="701">
        <f t="shared" si="106"/>
        <v>2006</v>
      </c>
      <c r="S164" s="701">
        <f t="shared" si="106"/>
        <v>2007</v>
      </c>
      <c r="T164" s="701">
        <f t="shared" si="106"/>
        <v>2008</v>
      </c>
      <c r="U164" s="701">
        <f t="shared" si="106"/>
        <v>2009</v>
      </c>
      <c r="V164" s="701">
        <f t="shared" si="106"/>
        <v>2010</v>
      </c>
      <c r="W164" s="701">
        <f t="shared" si="106"/>
        <v>2011</v>
      </c>
      <c r="X164" s="701">
        <f t="shared" si="106"/>
        <v>2012</v>
      </c>
      <c r="Y164" s="701">
        <f t="shared" si="106"/>
        <v>2013</v>
      </c>
      <c r="Z164" s="701">
        <f t="shared" si="106"/>
        <v>2014</v>
      </c>
      <c r="AA164" s="701">
        <f t="shared" si="106"/>
        <v>2015</v>
      </c>
      <c r="AB164" s="701">
        <f t="shared" si="106"/>
        <v>2016</v>
      </c>
      <c r="AC164" s="701">
        <f t="shared" si="106"/>
        <v>2017</v>
      </c>
      <c r="AD164" s="701">
        <f t="shared" si="106"/>
        <v>2018</v>
      </c>
      <c r="AE164" s="701">
        <f t="shared" si="106"/>
        <v>2019</v>
      </c>
      <c r="AF164" s="701">
        <f t="shared" si="106"/>
        <v>2020</v>
      </c>
      <c r="AG164" s="701">
        <f t="shared" si="106"/>
        <v>2021</v>
      </c>
      <c r="AH164" s="701">
        <f t="shared" si="106"/>
        <v>2022</v>
      </c>
      <c r="AI164" s="702">
        <f t="shared" si="106"/>
        <v>2023</v>
      </c>
    </row>
    <row r="165" spans="1:35" ht="12.75">
      <c r="A165" s="284"/>
      <c r="B165" s="321"/>
      <c r="C165" s="321"/>
      <c r="D165" s="321"/>
      <c r="E165" s="321"/>
      <c r="F165" s="321"/>
      <c r="G165" s="321"/>
      <c r="H165" s="798" t="s">
        <v>719</v>
      </c>
      <c r="I165" s="321"/>
      <c r="J165" s="321"/>
      <c r="K165" s="321"/>
      <c r="L165" s="321"/>
      <c r="M165" s="321"/>
      <c r="N165" s="321"/>
      <c r="O165" s="321"/>
      <c r="P165" s="321"/>
      <c r="Q165" s="321"/>
      <c r="R165" s="321"/>
      <c r="S165" s="321"/>
      <c r="T165" s="321"/>
      <c r="U165" s="321"/>
      <c r="V165" s="321"/>
      <c r="W165" s="321"/>
      <c r="X165" s="321"/>
      <c r="Y165" s="321"/>
      <c r="Z165" s="321"/>
      <c r="AA165" s="321"/>
      <c r="AB165" s="321"/>
      <c r="AC165" s="321"/>
      <c r="AD165" s="321"/>
      <c r="AE165" s="321"/>
      <c r="AF165" s="321"/>
      <c r="AG165" s="321"/>
      <c r="AH165" s="321"/>
      <c r="AI165" s="285"/>
    </row>
    <row r="166" spans="1:35" ht="12.75">
      <c r="A166" s="284"/>
      <c r="B166" s="321"/>
      <c r="C166" s="321"/>
      <c r="D166" s="321"/>
      <c r="E166" s="321"/>
      <c r="F166" s="321"/>
      <c r="G166" s="321"/>
      <c r="H166" s="321" t="s">
        <v>3</v>
      </c>
      <c r="I166" s="321"/>
      <c r="J166" s="703">
        <f>SUM(K166:AI166)</f>
        <v>173430.20976216797</v>
      </c>
      <c r="K166" s="704">
        <f>K167+K168+K169+K170</f>
        <v>5303.264466371715</v>
      </c>
      <c r="L166" s="704">
        <f aca="true" t="shared" si="107" ref="L166:AH166">L167+L168+L169</f>
        <v>6384.321591024453</v>
      </c>
      <c r="M166" s="704">
        <f t="shared" si="107"/>
        <v>7390.859719457905</v>
      </c>
      <c r="N166" s="704">
        <f t="shared" si="107"/>
        <v>7602.394103762849</v>
      </c>
      <c r="O166" s="704">
        <f t="shared" si="107"/>
        <v>8471.679314393643</v>
      </c>
      <c r="P166" s="704">
        <f t="shared" si="107"/>
        <v>8736.84594028265</v>
      </c>
      <c r="Q166" s="704">
        <f t="shared" si="107"/>
        <v>8424.339691243613</v>
      </c>
      <c r="R166" s="704">
        <f t="shared" si="107"/>
        <v>7623.391925538925</v>
      </c>
      <c r="S166" s="704">
        <f t="shared" si="107"/>
        <v>6707.924376719965</v>
      </c>
      <c r="T166" s="704">
        <f t="shared" si="107"/>
        <v>6330.68312081889</v>
      </c>
      <c r="U166" s="704">
        <f t="shared" si="107"/>
        <v>5845.92970855083</v>
      </c>
      <c r="V166" s="704">
        <f t="shared" si="107"/>
        <v>5550.040208003677</v>
      </c>
      <c r="W166" s="704">
        <f t="shared" si="107"/>
        <v>5419.384405145208</v>
      </c>
      <c r="X166" s="704">
        <f t="shared" si="107"/>
        <v>5187.422085990095</v>
      </c>
      <c r="Y166" s="704">
        <f t="shared" si="107"/>
        <v>5060.27972527466</v>
      </c>
      <c r="Z166" s="704">
        <f t="shared" si="107"/>
        <v>5216.059268671555</v>
      </c>
      <c r="AA166" s="704">
        <f t="shared" si="107"/>
        <v>5376.512209368635</v>
      </c>
      <c r="AB166" s="704">
        <f t="shared" si="107"/>
        <v>5541.7787382866245</v>
      </c>
      <c r="AC166" s="704">
        <f t="shared" si="107"/>
        <v>6174.082995057797</v>
      </c>
      <c r="AD166" s="704">
        <f t="shared" si="107"/>
        <v>6521.908711646869</v>
      </c>
      <c r="AE166" s="704">
        <f t="shared" si="107"/>
        <v>7108.943289458406</v>
      </c>
      <c r="AF166" s="704">
        <f t="shared" si="107"/>
        <v>7625.224912448088</v>
      </c>
      <c r="AG166" s="704">
        <f t="shared" si="107"/>
        <v>8005.303464259314</v>
      </c>
      <c r="AH166" s="703">
        <f t="shared" si="107"/>
        <v>8084.2998416965</v>
      </c>
      <c r="AI166" s="705">
        <f>AI167+AI168+AI169+AI170</f>
        <v>13737.33594869508</v>
      </c>
    </row>
    <row r="167" spans="1:35" ht="12.75">
      <c r="A167" s="284"/>
      <c r="B167" s="321"/>
      <c r="C167" s="321"/>
      <c r="D167" s="321"/>
      <c r="E167" s="321"/>
      <c r="F167" s="321"/>
      <c r="G167" s="321"/>
      <c r="H167" s="321" t="s">
        <v>768</v>
      </c>
      <c r="I167" s="321"/>
      <c r="J167" s="324">
        <f>SUM(K167:AG167)</f>
        <v>37447.99999999999</v>
      </c>
      <c r="K167" s="324">
        <f aca="true" t="shared" si="108" ref="K167:AI167">K209/1000/0.525*$J$163</f>
        <v>5627.740316460653</v>
      </c>
      <c r="L167" s="324">
        <f t="shared" si="108"/>
        <v>5395.3255684370915</v>
      </c>
      <c r="M167" s="324">
        <f t="shared" si="108"/>
        <v>5326.6181663185935</v>
      </c>
      <c r="N167" s="324">
        <f t="shared" si="108"/>
        <v>4412.203019092207</v>
      </c>
      <c r="O167" s="324">
        <f t="shared" si="108"/>
        <v>4245.0859941987355</v>
      </c>
      <c r="P167" s="324">
        <f t="shared" si="108"/>
        <v>3751.4636213268127</v>
      </c>
      <c r="Q167" s="324">
        <f t="shared" si="108"/>
        <v>2800.184582148178</v>
      </c>
      <c r="R167" s="324">
        <f t="shared" si="108"/>
        <v>1631.1970804085036</v>
      </c>
      <c r="S167" s="324">
        <f t="shared" si="108"/>
        <v>869.5273512067433</v>
      </c>
      <c r="T167" s="324">
        <f t="shared" si="108"/>
        <v>869.5273512067433</v>
      </c>
      <c r="U167" s="324">
        <f t="shared" si="108"/>
        <v>791.7790675796161</v>
      </c>
      <c r="V167" s="324">
        <f t="shared" si="108"/>
        <v>791.7790675796161</v>
      </c>
      <c r="W167" s="324">
        <f t="shared" si="108"/>
        <v>657.184146455652</v>
      </c>
      <c r="X167" s="324">
        <f t="shared" si="108"/>
        <v>278.3846569029211</v>
      </c>
      <c r="Y167" s="324">
        <f t="shared" si="108"/>
        <v>1.0677938988574833E-05</v>
      </c>
      <c r="Z167" s="324">
        <f t="shared" si="108"/>
        <v>0</v>
      </c>
      <c r="AA167" s="324">
        <f t="shared" si="108"/>
        <v>0</v>
      </c>
      <c r="AB167" s="324">
        <f t="shared" si="108"/>
        <v>0</v>
      </c>
      <c r="AC167" s="324">
        <f t="shared" si="108"/>
        <v>0</v>
      </c>
      <c r="AD167" s="324">
        <f t="shared" si="108"/>
        <v>0</v>
      </c>
      <c r="AE167" s="324">
        <f t="shared" si="108"/>
        <v>0</v>
      </c>
      <c r="AF167" s="324">
        <f t="shared" si="108"/>
        <v>0</v>
      </c>
      <c r="AG167" s="324">
        <f t="shared" si="108"/>
        <v>0</v>
      </c>
      <c r="AH167" s="324">
        <f t="shared" si="108"/>
        <v>0</v>
      </c>
      <c r="AI167" s="800">
        <f t="shared" si="108"/>
        <v>0</v>
      </c>
    </row>
    <row r="168" spans="1:35" ht="12.75">
      <c r="A168" s="284"/>
      <c r="B168" s="321"/>
      <c r="C168" s="321"/>
      <c r="D168" s="321"/>
      <c r="E168" s="321"/>
      <c r="F168" s="321"/>
      <c r="G168" s="321"/>
      <c r="H168" s="321" t="s">
        <v>687</v>
      </c>
      <c r="I168" s="321"/>
      <c r="J168" s="324">
        <f>SUM(K168:AG168)</f>
        <v>117687.13199342432</v>
      </c>
      <c r="K168" s="706">
        <f aca="true" t="shared" si="109" ref="K168:AI168">K291</f>
        <v>289.8962378088</v>
      </c>
      <c r="L168" s="706">
        <f t="shared" si="109"/>
        <v>1121.3681104850998</v>
      </c>
      <c r="M168" s="706">
        <f t="shared" si="109"/>
        <v>2196.6136410370495</v>
      </c>
      <c r="N168" s="706">
        <f t="shared" si="109"/>
        <v>3322.5631725683807</v>
      </c>
      <c r="O168" s="706">
        <f t="shared" si="109"/>
        <v>4358.965408092646</v>
      </c>
      <c r="P168" s="706">
        <f t="shared" si="109"/>
        <v>5117.754406853575</v>
      </c>
      <c r="Q168" s="706">
        <f t="shared" si="109"/>
        <v>5756.527196993174</v>
      </c>
      <c r="R168" s="706">
        <f t="shared" si="109"/>
        <v>6124.56693302816</v>
      </c>
      <c r="S168" s="706">
        <f t="shared" si="109"/>
        <v>5970.76911341096</v>
      </c>
      <c r="T168" s="706">
        <f t="shared" si="109"/>
        <v>5593.527857509885</v>
      </c>
      <c r="U168" s="706">
        <f t="shared" si="109"/>
        <v>5186.522728868952</v>
      </c>
      <c r="V168" s="706">
        <f t="shared" si="109"/>
        <v>4890.6332283218</v>
      </c>
      <c r="W168" s="706">
        <f t="shared" si="109"/>
        <v>4894.572346587294</v>
      </c>
      <c r="X168" s="706">
        <f t="shared" si="109"/>
        <v>5041.409516984912</v>
      </c>
      <c r="Y168" s="706">
        <f t="shared" si="109"/>
        <v>5192.65180249446</v>
      </c>
      <c r="Z168" s="706">
        <f t="shared" si="109"/>
        <v>5348.431356569294</v>
      </c>
      <c r="AA168" s="706">
        <f t="shared" si="109"/>
        <v>5508.884297266373</v>
      </c>
      <c r="AB168" s="706">
        <f t="shared" si="109"/>
        <v>5674.150826184363</v>
      </c>
      <c r="AC168" s="706">
        <f t="shared" si="109"/>
        <v>6306.4550829555355</v>
      </c>
      <c r="AD168" s="706">
        <f t="shared" si="109"/>
        <v>6654.280799544607</v>
      </c>
      <c r="AE168" s="706">
        <f t="shared" si="109"/>
        <v>7241.315377356144</v>
      </c>
      <c r="AF168" s="706">
        <f t="shared" si="109"/>
        <v>7757.597000345826</v>
      </c>
      <c r="AG168" s="706">
        <f t="shared" si="109"/>
        <v>8137.675552157052</v>
      </c>
      <c r="AH168" s="706">
        <f t="shared" si="109"/>
        <v>8216.671929594238</v>
      </c>
      <c r="AI168" s="707">
        <f t="shared" si="109"/>
        <v>8104.922758240799</v>
      </c>
    </row>
    <row r="169" spans="1:35" ht="12.75">
      <c r="A169" s="284"/>
      <c r="B169" s="321"/>
      <c r="C169" s="321"/>
      <c r="D169" s="321"/>
      <c r="E169" s="321"/>
      <c r="F169" s="321"/>
      <c r="G169" s="321"/>
      <c r="H169" s="321" t="s">
        <v>688</v>
      </c>
      <c r="I169" s="321"/>
      <c r="J169" s="324">
        <f>SUM(K169:AG169)</f>
        <v>-3044.5580216479784</v>
      </c>
      <c r="K169" s="703">
        <f>K12*Inputs!$G$7</f>
        <v>-132.37208789773817</v>
      </c>
      <c r="L169" s="703">
        <f>L12*Inputs!$G$7</f>
        <v>-132.37208789773817</v>
      </c>
      <c r="M169" s="703">
        <f>M12*Inputs!$G$7</f>
        <v>-132.37208789773817</v>
      </c>
      <c r="N169" s="703">
        <f>N12*Inputs!$G$7</f>
        <v>-132.37208789773817</v>
      </c>
      <c r="O169" s="703">
        <f>O12*Inputs!$G$7</f>
        <v>-132.37208789773817</v>
      </c>
      <c r="P169" s="703">
        <f>P12*Inputs!$G$7</f>
        <v>-132.37208789773817</v>
      </c>
      <c r="Q169" s="703">
        <f>Q12*Inputs!$G$7</f>
        <v>-132.37208789773817</v>
      </c>
      <c r="R169" s="703">
        <f>R12*Inputs!$G$7</f>
        <v>-132.37208789773817</v>
      </c>
      <c r="S169" s="703">
        <f>S12*Inputs!$G$7</f>
        <v>-132.37208789773817</v>
      </c>
      <c r="T169" s="703">
        <f>T12*Inputs!$G$7</f>
        <v>-132.37208789773817</v>
      </c>
      <c r="U169" s="703">
        <f>U12*Inputs!$G$7</f>
        <v>-132.37208789773817</v>
      </c>
      <c r="V169" s="703">
        <f>V12*Inputs!$G$7</f>
        <v>-132.37208789773817</v>
      </c>
      <c r="W169" s="703">
        <f>W12*Inputs!$G$7</f>
        <v>-132.37208789773817</v>
      </c>
      <c r="X169" s="703">
        <f>X12*Inputs!$G$7</f>
        <v>-132.37208789773817</v>
      </c>
      <c r="Y169" s="703">
        <f>Y12*Inputs!$G$7</f>
        <v>-132.37208789773817</v>
      </c>
      <c r="Z169" s="703">
        <f>Z12*Inputs!$G$7</f>
        <v>-132.37208789773817</v>
      </c>
      <c r="AA169" s="703">
        <f>AA12*Inputs!$G$7</f>
        <v>-132.37208789773817</v>
      </c>
      <c r="AB169" s="703">
        <f>AB12*Inputs!$G$7</f>
        <v>-132.37208789773817</v>
      </c>
      <c r="AC169" s="703">
        <f>AC12*Inputs!$G$7</f>
        <v>-132.37208789773817</v>
      </c>
      <c r="AD169" s="703">
        <f>AD12*Inputs!$G$7</f>
        <v>-132.37208789773817</v>
      </c>
      <c r="AE169" s="703">
        <f>AE12*Inputs!$G$7</f>
        <v>-132.37208789773817</v>
      </c>
      <c r="AF169" s="703">
        <f>AF12*Inputs!$G$7</f>
        <v>-132.37208789773817</v>
      </c>
      <c r="AG169" s="703">
        <f>AG12*Inputs!$G$7</f>
        <v>-132.37208789773817</v>
      </c>
      <c r="AH169" s="703">
        <f>AH12*Inputs!$G$7</f>
        <v>-132.37208789773817</v>
      </c>
      <c r="AI169" s="705">
        <f>AI12*Inputs!$G$7</f>
        <v>-132.37208789773817</v>
      </c>
    </row>
    <row r="170" spans="1:35" ht="12.75">
      <c r="A170" s="284"/>
      <c r="B170" s="321"/>
      <c r="C170" s="321"/>
      <c r="D170" s="321"/>
      <c r="E170" s="321"/>
      <c r="F170" s="321"/>
      <c r="G170" s="321"/>
      <c r="H170" s="321" t="s">
        <v>718</v>
      </c>
      <c r="I170" s="321"/>
      <c r="J170" s="324">
        <f>SUM(K170:AG170)</f>
        <v>-482</v>
      </c>
      <c r="K170" s="703">
        <v>-482</v>
      </c>
      <c r="L170" s="703"/>
      <c r="M170" s="703"/>
      <c r="N170" s="703"/>
      <c r="O170" s="703"/>
      <c r="P170" s="703"/>
      <c r="Q170" s="703"/>
      <c r="R170" s="703"/>
      <c r="S170" s="703"/>
      <c r="T170" s="703"/>
      <c r="U170" s="703"/>
      <c r="V170" s="703"/>
      <c r="W170" s="703"/>
      <c r="X170" s="703"/>
      <c r="Y170" s="703"/>
      <c r="Z170" s="703"/>
      <c r="AA170" s="703"/>
      <c r="AB170" s="703"/>
      <c r="AC170" s="703"/>
      <c r="AD170" s="703"/>
      <c r="AE170" s="703"/>
      <c r="AF170" s="703"/>
      <c r="AG170" s="703"/>
      <c r="AH170" s="703"/>
      <c r="AI170" s="705">
        <f>8547.78527835202-2783</f>
        <v>5764.785278352019</v>
      </c>
    </row>
    <row r="171" spans="1:35" ht="12.75">
      <c r="A171" s="284"/>
      <c r="B171" s="321"/>
      <c r="C171" s="321"/>
      <c r="D171" s="321"/>
      <c r="E171" s="321"/>
      <c r="F171" s="321"/>
      <c r="G171" s="321"/>
      <c r="H171" s="321"/>
      <c r="I171" s="321"/>
      <c r="J171" s="321"/>
      <c r="K171" s="703"/>
      <c r="L171" s="703"/>
      <c r="M171" s="703"/>
      <c r="N171" s="703"/>
      <c r="O171" s="703"/>
      <c r="P171" s="703"/>
      <c r="Q171" s="703"/>
      <c r="R171" s="703"/>
      <c r="S171" s="703"/>
      <c r="T171" s="703"/>
      <c r="U171" s="703"/>
      <c r="V171" s="703"/>
      <c r="W171" s="703"/>
      <c r="X171" s="703"/>
      <c r="Y171" s="703"/>
      <c r="Z171" s="703"/>
      <c r="AA171" s="703"/>
      <c r="AB171" s="703"/>
      <c r="AC171" s="703"/>
      <c r="AD171" s="703"/>
      <c r="AE171" s="703"/>
      <c r="AF171" s="703"/>
      <c r="AG171" s="703"/>
      <c r="AH171" s="703"/>
      <c r="AI171" s="801">
        <f>-J169+E206/1000</f>
        <v>4435.901321647978</v>
      </c>
    </row>
    <row r="172" spans="1:35" ht="12.75">
      <c r="A172" s="283"/>
      <c r="B172" s="177"/>
      <c r="C172" s="177"/>
      <c r="D172" s="177"/>
      <c r="E172" s="177"/>
      <c r="F172" s="177"/>
      <c r="G172" s="177"/>
      <c r="H172" s="708"/>
      <c r="I172" s="708"/>
      <c r="J172" s="708"/>
      <c r="K172" s="708"/>
      <c r="L172" s="708"/>
      <c r="M172" s="708"/>
      <c r="N172" s="708"/>
      <c r="O172" s="708"/>
      <c r="P172" s="708"/>
      <c r="Q172" s="708"/>
      <c r="R172" s="708"/>
      <c r="S172" s="708"/>
      <c r="T172" s="708"/>
      <c r="U172" s="708"/>
      <c r="V172" s="708"/>
      <c r="W172" s="708"/>
      <c r="X172" s="708"/>
      <c r="Y172" s="708"/>
      <c r="Z172" s="708"/>
      <c r="AA172" s="708"/>
      <c r="AB172" s="708"/>
      <c r="AC172" s="708"/>
      <c r="AD172" s="708"/>
      <c r="AE172" s="708"/>
      <c r="AF172" s="708"/>
      <c r="AG172" s="177"/>
      <c r="AH172" s="177"/>
      <c r="AI172" s="767"/>
    </row>
    <row r="174" ht="12.75">
      <c r="I174" s="152"/>
    </row>
    <row r="176" spans="1:25" ht="18.75">
      <c r="A176" s="458" t="s">
        <v>765</v>
      </c>
      <c r="B176" s="681"/>
      <c r="C176" s="681"/>
      <c r="D176" s="681"/>
      <c r="E176" s="681"/>
      <c r="F176" s="681"/>
      <c r="G176" s="681"/>
      <c r="H176" s="681"/>
      <c r="I176" s="681"/>
      <c r="J176" s="681"/>
      <c r="K176" s="681"/>
      <c r="L176" s="681"/>
      <c r="M176" s="681"/>
      <c r="N176" s="681"/>
      <c r="O176" s="681"/>
      <c r="P176" s="681"/>
      <c r="Q176" s="681"/>
      <c r="R176" s="681"/>
      <c r="S176" s="681"/>
      <c r="T176" s="681"/>
      <c r="U176" s="681"/>
      <c r="V176" s="681"/>
      <c r="W176" s="681"/>
      <c r="X176" s="681"/>
      <c r="Y176" s="681"/>
    </row>
    <row r="177" spans="1:25" ht="12.75">
      <c r="A177" s="681"/>
      <c r="B177" s="682"/>
      <c r="C177" s="682"/>
      <c r="D177" s="683"/>
      <c r="E177" s="683"/>
      <c r="F177" s="683"/>
      <c r="G177" s="683"/>
      <c r="H177" s="683"/>
      <c r="I177" s="683"/>
      <c r="J177" s="683"/>
      <c r="K177" s="683"/>
      <c r="L177" s="683"/>
      <c r="M177" s="683"/>
      <c r="N177" s="683"/>
      <c r="O177" s="683"/>
      <c r="P177" s="683"/>
      <c r="Q177" s="683"/>
      <c r="R177" s="683"/>
      <c r="S177" s="683"/>
      <c r="T177" s="683"/>
      <c r="U177" s="683"/>
      <c r="V177" s="683"/>
      <c r="W177" s="683"/>
      <c r="X177" s="683"/>
      <c r="Y177" s="683"/>
    </row>
    <row r="178" spans="1:25" ht="12.75">
      <c r="A178" s="681"/>
      <c r="B178" s="684"/>
      <c r="C178" s="684"/>
      <c r="D178" s="682"/>
      <c r="E178" s="682"/>
      <c r="F178" s="682"/>
      <c r="G178" s="685" t="s">
        <v>689</v>
      </c>
      <c r="H178" s="684"/>
      <c r="I178" s="684"/>
      <c r="J178" s="684"/>
      <c r="K178" s="684"/>
      <c r="L178" s="684"/>
      <c r="M178" s="684"/>
      <c r="N178" s="684"/>
      <c r="O178" s="684"/>
      <c r="P178" s="684"/>
      <c r="Q178" s="684"/>
      <c r="R178" s="684"/>
      <c r="S178" s="684"/>
      <c r="T178" s="684"/>
      <c r="U178" s="684"/>
      <c r="V178" s="684"/>
      <c r="W178" s="684"/>
      <c r="X178" s="684"/>
      <c r="Y178" s="684"/>
    </row>
    <row r="179" spans="1:25" ht="12.75">
      <c r="A179" s="681"/>
      <c r="B179" s="684"/>
      <c r="C179" s="684"/>
      <c r="D179" s="682"/>
      <c r="E179" s="682"/>
      <c r="F179" s="684"/>
      <c r="G179" s="686" t="s">
        <v>690</v>
      </c>
      <c r="H179" s="682"/>
      <c r="I179" s="684"/>
      <c r="J179" s="684"/>
      <c r="K179" s="684"/>
      <c r="L179" s="684"/>
      <c r="M179" s="684"/>
      <c r="N179" s="684"/>
      <c r="O179" s="684"/>
      <c r="P179" s="684"/>
      <c r="Q179" s="684"/>
      <c r="R179" s="684"/>
      <c r="S179" s="684"/>
      <c r="T179" s="684"/>
      <c r="U179" s="684"/>
      <c r="V179" s="684"/>
      <c r="W179" s="684"/>
      <c r="X179" s="684"/>
      <c r="Y179" s="684"/>
    </row>
    <row r="180" spans="1:25" ht="12.75">
      <c r="A180" s="681"/>
      <c r="B180" s="684"/>
      <c r="C180" s="684"/>
      <c r="D180" s="684"/>
      <c r="E180" s="684"/>
      <c r="F180" s="684"/>
      <c r="G180" s="684"/>
      <c r="H180" s="684"/>
      <c r="I180" s="684"/>
      <c r="J180" s="684"/>
      <c r="K180" s="684"/>
      <c r="L180" s="684"/>
      <c r="M180" s="684"/>
      <c r="N180" s="684"/>
      <c r="O180" s="684"/>
      <c r="P180" s="684"/>
      <c r="Q180" s="684"/>
      <c r="R180" s="684"/>
      <c r="S180" s="684"/>
      <c r="T180" s="684"/>
      <c r="U180" s="684"/>
      <c r="V180" s="684"/>
      <c r="W180" s="684"/>
      <c r="X180" s="684"/>
      <c r="Y180" s="684"/>
    </row>
    <row r="181" spans="1:25" ht="12.75">
      <c r="A181" s="681"/>
      <c r="B181" s="684"/>
      <c r="C181" s="687" t="s">
        <v>691</v>
      </c>
      <c r="D181" s="687" t="s">
        <v>692</v>
      </c>
      <c r="E181" s="687" t="s">
        <v>693</v>
      </c>
      <c r="F181" s="687" t="s">
        <v>694</v>
      </c>
      <c r="G181" s="687" t="s">
        <v>695</v>
      </c>
      <c r="H181" s="687" t="s">
        <v>696</v>
      </c>
      <c r="I181" s="687" t="s">
        <v>697</v>
      </c>
      <c r="J181" s="687" t="s">
        <v>698</v>
      </c>
      <c r="K181" s="688">
        <v>1999</v>
      </c>
      <c r="L181" s="688">
        <v>2000</v>
      </c>
      <c r="M181" s="688">
        <v>2001</v>
      </c>
      <c r="N181" s="688">
        <v>2002</v>
      </c>
      <c r="O181" s="688">
        <v>2003</v>
      </c>
      <c r="P181" s="688">
        <v>2004</v>
      </c>
      <c r="Q181" s="688">
        <v>2005</v>
      </c>
      <c r="R181" s="688">
        <v>2006</v>
      </c>
      <c r="S181" s="688">
        <v>2007</v>
      </c>
      <c r="T181" s="688">
        <v>2008</v>
      </c>
      <c r="U181" s="688">
        <v>2009</v>
      </c>
      <c r="V181" s="688">
        <v>2010</v>
      </c>
      <c r="W181" s="688">
        <v>2011</v>
      </c>
      <c r="X181" s="688">
        <v>2012</v>
      </c>
      <c r="Y181" s="687"/>
    </row>
    <row r="182" spans="1:25" ht="12.75">
      <c r="A182" s="681"/>
      <c r="B182" s="684"/>
      <c r="C182" s="687" t="s">
        <v>699</v>
      </c>
      <c r="D182" s="687" t="s">
        <v>700</v>
      </c>
      <c r="E182" s="687" t="s">
        <v>700</v>
      </c>
      <c r="F182" s="687" t="s">
        <v>701</v>
      </c>
      <c r="G182" s="687" t="s">
        <v>702</v>
      </c>
      <c r="H182" s="687" t="s">
        <v>703</v>
      </c>
      <c r="I182" s="687" t="s">
        <v>704</v>
      </c>
      <c r="J182" s="687" t="s">
        <v>705</v>
      </c>
      <c r="K182" s="687" t="s">
        <v>706</v>
      </c>
      <c r="L182" s="687" t="s">
        <v>706</v>
      </c>
      <c r="M182" s="687" t="s">
        <v>706</v>
      </c>
      <c r="N182" s="687" t="s">
        <v>706</v>
      </c>
      <c r="O182" s="687" t="s">
        <v>706</v>
      </c>
      <c r="P182" s="687" t="s">
        <v>706</v>
      </c>
      <c r="Q182" s="687" t="s">
        <v>706</v>
      </c>
      <c r="R182" s="687" t="s">
        <v>706</v>
      </c>
      <c r="S182" s="687" t="s">
        <v>706</v>
      </c>
      <c r="T182" s="687" t="s">
        <v>706</v>
      </c>
      <c r="U182" s="687" t="s">
        <v>706</v>
      </c>
      <c r="V182" s="687" t="s">
        <v>706</v>
      </c>
      <c r="W182" s="687" t="s">
        <v>706</v>
      </c>
      <c r="X182" s="687" t="s">
        <v>706</v>
      </c>
      <c r="Y182" s="687"/>
    </row>
    <row r="183" spans="1:25" ht="12.75">
      <c r="A183" s="681"/>
      <c r="B183" s="682"/>
      <c r="C183" s="682"/>
      <c r="D183" s="682"/>
      <c r="E183" s="682"/>
      <c r="F183" s="682"/>
      <c r="G183" s="682"/>
      <c r="H183" s="682"/>
      <c r="I183" s="682"/>
      <c r="J183" s="682"/>
      <c r="K183" s="682"/>
      <c r="L183" s="682"/>
      <c r="M183" s="682"/>
      <c r="N183" s="682"/>
      <c r="O183" s="682"/>
      <c r="P183" s="682"/>
      <c r="Q183" s="682"/>
      <c r="R183" s="682"/>
      <c r="S183" s="682"/>
      <c r="T183" s="682"/>
      <c r="U183" s="682"/>
      <c r="V183" s="682"/>
      <c r="W183" s="682"/>
      <c r="X183" s="682"/>
      <c r="Y183" s="682"/>
    </row>
    <row r="184" spans="1:25" ht="12.75">
      <c r="A184" s="681"/>
      <c r="B184" s="689" t="s">
        <v>707</v>
      </c>
      <c r="C184" s="689"/>
      <c r="D184" s="773"/>
      <c r="E184" s="773"/>
      <c r="F184" s="773"/>
      <c r="G184" s="773"/>
      <c r="H184" s="773"/>
      <c r="I184" s="773"/>
      <c r="J184" s="773"/>
      <c r="K184" s="773"/>
      <c r="L184" s="773"/>
      <c r="M184" s="773"/>
      <c r="N184" s="773"/>
      <c r="O184" s="773"/>
      <c r="P184" s="773"/>
      <c r="Q184" s="773"/>
      <c r="R184" s="773"/>
      <c r="S184" s="773"/>
      <c r="T184" s="773"/>
      <c r="U184" s="773"/>
      <c r="V184" s="773"/>
      <c r="W184" s="773"/>
      <c r="X184" s="773"/>
      <c r="Y184" s="773"/>
    </row>
    <row r="185" spans="1:25" ht="12.75">
      <c r="A185" s="681"/>
      <c r="B185" s="689">
        <v>303.104</v>
      </c>
      <c r="C185" s="690"/>
      <c r="D185" s="774">
        <v>2561474.43</v>
      </c>
      <c r="E185" s="775">
        <v>1022565.62</v>
      </c>
      <c r="F185" s="773"/>
      <c r="G185" s="773">
        <f>D185-E185</f>
        <v>1538908.81</v>
      </c>
      <c r="H185" s="778">
        <v>0.05</v>
      </c>
      <c r="I185" s="773"/>
      <c r="J185" s="773"/>
      <c r="K185" s="773">
        <f aca="true" t="shared" si="110" ref="K185:V185">ROUND($H185*$D185,2)</f>
        <v>128073.72</v>
      </c>
      <c r="L185" s="773">
        <f t="shared" si="110"/>
        <v>128073.72</v>
      </c>
      <c r="M185" s="773">
        <f t="shared" si="110"/>
        <v>128073.72</v>
      </c>
      <c r="N185" s="773">
        <f t="shared" si="110"/>
        <v>128073.72</v>
      </c>
      <c r="O185" s="773">
        <f t="shared" si="110"/>
        <v>128073.72</v>
      </c>
      <c r="P185" s="773">
        <f t="shared" si="110"/>
        <v>128073.72</v>
      </c>
      <c r="Q185" s="773">
        <f t="shared" si="110"/>
        <v>128073.72</v>
      </c>
      <c r="R185" s="773">
        <f t="shared" si="110"/>
        <v>128073.72</v>
      </c>
      <c r="S185" s="773">
        <f t="shared" si="110"/>
        <v>128073.72</v>
      </c>
      <c r="T185" s="773">
        <f t="shared" si="110"/>
        <v>128073.72</v>
      </c>
      <c r="U185" s="773">
        <f t="shared" si="110"/>
        <v>128073.72</v>
      </c>
      <c r="V185" s="773">
        <f t="shared" si="110"/>
        <v>128073.72</v>
      </c>
      <c r="W185" s="773">
        <f>ROUND($H185*$D185,2)-126049.55</f>
        <v>2024.1699999999983</v>
      </c>
      <c r="X185" s="773"/>
      <c r="Y185" s="773">
        <f aca="true" t="shared" si="111" ref="Y185:Y201">D185-E185-SUM(K185:X185)</f>
        <v>0</v>
      </c>
    </row>
    <row r="186" spans="1:25" ht="12.75">
      <c r="A186" s="681"/>
      <c r="B186" s="689">
        <v>399.3</v>
      </c>
      <c r="C186" s="691">
        <v>2012</v>
      </c>
      <c r="D186" s="774">
        <v>3205431.65</v>
      </c>
      <c r="E186" s="775">
        <v>1624044.22</v>
      </c>
      <c r="F186" s="773"/>
      <c r="G186" s="773">
        <f aca="true" t="shared" si="112" ref="G186:G197">D186-E186-F186</f>
        <v>1581387.43</v>
      </c>
      <c r="H186" s="779"/>
      <c r="I186" s="773">
        <v>41400000</v>
      </c>
      <c r="J186" s="780">
        <f aca="true" t="shared" si="113" ref="J186:J193">G186/I186</f>
        <v>0.038197764009661836</v>
      </c>
      <c r="K186" s="773">
        <f>ROUND($J186*K211,2)</f>
        <v>150881.17</v>
      </c>
      <c r="L186" s="773">
        <f>ROUND($J186*L211,2)</f>
        <v>145151.5</v>
      </c>
      <c r="M186" s="773">
        <f>ROUND($J186*M211,2)</f>
        <v>145151.5</v>
      </c>
      <c r="N186" s="773">
        <f>ROUND($J186*N211,2)</f>
        <v>145151.5</v>
      </c>
      <c r="O186" s="773">
        <f>ROUND($J186*O211,2)</f>
        <v>145151.5</v>
      </c>
      <c r="P186" s="773">
        <f aca="true" t="shared" si="114" ref="P186:V186">ROUND($J186*P211,2)</f>
        <v>145151.5</v>
      </c>
      <c r="Q186" s="773">
        <f t="shared" si="114"/>
        <v>145151.5</v>
      </c>
      <c r="R186" s="773">
        <f t="shared" si="114"/>
        <v>145151.5</v>
      </c>
      <c r="S186" s="773">
        <f t="shared" si="114"/>
        <v>76395.53</v>
      </c>
      <c r="T186" s="773">
        <f t="shared" si="114"/>
        <v>76395.53</v>
      </c>
      <c r="U186" s="773">
        <f t="shared" si="114"/>
        <v>76395.53</v>
      </c>
      <c r="V186" s="773">
        <f t="shared" si="114"/>
        <v>76395.53</v>
      </c>
      <c r="W186" s="773">
        <f>ROUND($J186*W211,2)</f>
        <v>76395.53</v>
      </c>
      <c r="X186" s="773">
        <f>ROUND($J186*X211,2)</f>
        <v>32468.1</v>
      </c>
      <c r="Y186" s="773">
        <f t="shared" si="111"/>
        <v>0.009999999776482582</v>
      </c>
    </row>
    <row r="187" spans="1:25" ht="12.75">
      <c r="A187" s="681"/>
      <c r="B187" s="689">
        <v>399.411</v>
      </c>
      <c r="C187" s="691">
        <v>2012</v>
      </c>
      <c r="D187" s="774">
        <v>3989459.58</v>
      </c>
      <c r="E187" s="775">
        <v>1709172.25</v>
      </c>
      <c r="F187" s="773"/>
      <c r="G187" s="773">
        <f t="shared" si="112"/>
        <v>2280287.33</v>
      </c>
      <c r="H187" s="779"/>
      <c r="I187" s="773">
        <v>41400000</v>
      </c>
      <c r="J187" s="780">
        <f t="shared" si="113"/>
        <v>0.0550794041062802</v>
      </c>
      <c r="K187" s="773">
        <f>ROUND($J187*K211,2)</f>
        <v>217563.65</v>
      </c>
      <c r="L187" s="773">
        <f>ROUND($J187*L211,2)</f>
        <v>209301.74</v>
      </c>
      <c r="M187" s="773">
        <f>ROUND($J187*M211,2)</f>
        <v>209301.74</v>
      </c>
      <c r="N187" s="773">
        <f>ROUND($J187*N211,2)</f>
        <v>209301.74</v>
      </c>
      <c r="O187" s="773">
        <f>ROUND($J187*O211,2)</f>
        <v>209301.74</v>
      </c>
      <c r="P187" s="773">
        <f aca="true" t="shared" si="115" ref="P187:V187">ROUND($J187*P211,2)</f>
        <v>209301.74</v>
      </c>
      <c r="Q187" s="773">
        <f t="shared" si="115"/>
        <v>209301.74</v>
      </c>
      <c r="R187" s="773">
        <f t="shared" si="115"/>
        <v>209301.74</v>
      </c>
      <c r="S187" s="773">
        <f t="shared" si="115"/>
        <v>110158.81</v>
      </c>
      <c r="T187" s="773">
        <f t="shared" si="115"/>
        <v>110158.81</v>
      </c>
      <c r="U187" s="773">
        <f t="shared" si="115"/>
        <v>110158.81</v>
      </c>
      <c r="V187" s="773">
        <f t="shared" si="115"/>
        <v>110158.81</v>
      </c>
      <c r="W187" s="773">
        <f>ROUND($J187*W211,2)</f>
        <v>110158.81</v>
      </c>
      <c r="X187" s="773">
        <f>ROUND($J187*X211,2)</f>
        <v>46817.49</v>
      </c>
      <c r="Y187" s="773">
        <f t="shared" si="111"/>
        <v>-0.0400000000372529</v>
      </c>
    </row>
    <row r="188" spans="1:25" ht="12.75">
      <c r="A188" s="681"/>
      <c r="B188" s="689">
        <v>399.412</v>
      </c>
      <c r="C188" s="691">
        <v>2012</v>
      </c>
      <c r="D188" s="774">
        <v>521691.47</v>
      </c>
      <c r="E188" s="775">
        <v>285289.46</v>
      </c>
      <c r="F188" s="773"/>
      <c r="G188" s="773">
        <f t="shared" si="112"/>
        <v>236402.00999999995</v>
      </c>
      <c r="H188" s="779"/>
      <c r="I188" s="773">
        <v>41400000</v>
      </c>
      <c r="J188" s="780">
        <f t="shared" si="113"/>
        <v>0.005710193478260868</v>
      </c>
      <c r="K188" s="773">
        <f>ROUND($J188*K211,2)</f>
        <v>22555.26</v>
      </c>
      <c r="L188" s="773">
        <f>ROUND($J188*L211,2)</f>
        <v>21698.74</v>
      </c>
      <c r="M188" s="773">
        <f>ROUND($J188*M211,2)</f>
        <v>21698.74</v>
      </c>
      <c r="N188" s="773">
        <f>ROUND($J188*N211,2)</f>
        <v>21698.74</v>
      </c>
      <c r="O188" s="773">
        <f>ROUND($J188*O211,2)</f>
        <v>21698.74</v>
      </c>
      <c r="P188" s="773">
        <f aca="true" t="shared" si="116" ref="P188:V188">ROUND($J188*P211,2)</f>
        <v>21698.74</v>
      </c>
      <c r="Q188" s="773">
        <f t="shared" si="116"/>
        <v>21698.74</v>
      </c>
      <c r="R188" s="773">
        <f t="shared" si="116"/>
        <v>21698.74</v>
      </c>
      <c r="S188" s="773">
        <f t="shared" si="116"/>
        <v>11420.39</v>
      </c>
      <c r="T188" s="773">
        <f t="shared" si="116"/>
        <v>11420.39</v>
      </c>
      <c r="U188" s="773">
        <f t="shared" si="116"/>
        <v>11420.39</v>
      </c>
      <c r="V188" s="773">
        <f t="shared" si="116"/>
        <v>11420.39</v>
      </c>
      <c r="W188" s="773">
        <f>ROUND($J188*W211,2)</f>
        <v>11420.39</v>
      </c>
      <c r="X188" s="773">
        <f>ROUND($J188*X211,2)</f>
        <v>4853.66</v>
      </c>
      <c r="Y188" s="773">
        <f t="shared" si="111"/>
        <v>-0.040000000124564394</v>
      </c>
    </row>
    <row r="189" spans="1:25" ht="12.75">
      <c r="A189" s="681"/>
      <c r="B189" s="689">
        <v>399.413</v>
      </c>
      <c r="C189" s="691">
        <v>2012</v>
      </c>
      <c r="D189" s="774">
        <v>7232820.43</v>
      </c>
      <c r="E189" s="775">
        <v>3734219.22</v>
      </c>
      <c r="F189" s="773"/>
      <c r="G189" s="773">
        <f t="shared" si="112"/>
        <v>3498601.2099999995</v>
      </c>
      <c r="H189" s="779"/>
      <c r="I189" s="773">
        <v>41400000</v>
      </c>
      <c r="J189" s="780">
        <f t="shared" si="113"/>
        <v>0.08450727560386473</v>
      </c>
      <c r="K189" s="773">
        <f>ROUND($J189*K211,2)</f>
        <v>333803.74</v>
      </c>
      <c r="L189" s="773">
        <f>ROUND($J189*L211,2)</f>
        <v>321127.65</v>
      </c>
      <c r="M189" s="773">
        <f>ROUND($J189*M211,2)</f>
        <v>321127.65</v>
      </c>
      <c r="N189" s="773">
        <f>ROUND($J189*N211,2)</f>
        <v>321127.65</v>
      </c>
      <c r="O189" s="773">
        <f>ROUND($J189*O211,2)</f>
        <v>321127.65</v>
      </c>
      <c r="P189" s="773">
        <f aca="true" t="shared" si="117" ref="P189:V189">ROUND($J189*P211,2)</f>
        <v>321127.65</v>
      </c>
      <c r="Q189" s="773">
        <f t="shared" si="117"/>
        <v>321127.65</v>
      </c>
      <c r="R189" s="773">
        <f t="shared" si="117"/>
        <v>321127.65</v>
      </c>
      <c r="S189" s="773">
        <f t="shared" si="117"/>
        <v>169014.55</v>
      </c>
      <c r="T189" s="773">
        <f t="shared" si="117"/>
        <v>169014.55</v>
      </c>
      <c r="U189" s="773">
        <f t="shared" si="117"/>
        <v>169014.55</v>
      </c>
      <c r="V189" s="773">
        <f t="shared" si="117"/>
        <v>169014.55</v>
      </c>
      <c r="W189" s="773">
        <f>ROUND($J189*W211,2)</f>
        <v>169014.55</v>
      </c>
      <c r="X189" s="773">
        <f>ROUND($J189*X211,2)</f>
        <v>71831.18</v>
      </c>
      <c r="Y189" s="773">
        <f t="shared" si="111"/>
        <v>-0.009999999310821295</v>
      </c>
    </row>
    <row r="190" spans="1:25" ht="12.75">
      <c r="A190" s="681" t="s">
        <v>708</v>
      </c>
      <c r="B190" s="689">
        <v>399.421</v>
      </c>
      <c r="C190" s="691">
        <v>2012</v>
      </c>
      <c r="D190" s="774">
        <v>5128218</v>
      </c>
      <c r="E190" s="775">
        <v>3286887.47</v>
      </c>
      <c r="F190" s="773"/>
      <c r="G190" s="773">
        <f t="shared" si="112"/>
        <v>1841330.5299999998</v>
      </c>
      <c r="H190" s="779"/>
      <c r="I190" s="773">
        <v>41400000</v>
      </c>
      <c r="J190" s="780">
        <f t="shared" si="113"/>
        <v>0.04447658285024154</v>
      </c>
      <c r="K190" s="773">
        <f>ROUND($J190*K211,2)</f>
        <v>175682.5</v>
      </c>
      <c r="L190" s="773">
        <f>ROUND($J190*L211,2)</f>
        <v>169011.01</v>
      </c>
      <c r="M190" s="773">
        <f>ROUND($J190*M211,2)</f>
        <v>169011.01</v>
      </c>
      <c r="N190" s="773">
        <f>ROUND($J190*N211,2)</f>
        <v>169011.01</v>
      </c>
      <c r="O190" s="773">
        <f>ROUND($J190*O211,2)</f>
        <v>169011.01</v>
      </c>
      <c r="P190" s="773">
        <f aca="true" t="shared" si="118" ref="P190:V190">ROUND($J190*P211,2)</f>
        <v>169011.01</v>
      </c>
      <c r="Q190" s="773">
        <f t="shared" si="118"/>
        <v>169011.01</v>
      </c>
      <c r="R190" s="773">
        <f t="shared" si="118"/>
        <v>169011.01</v>
      </c>
      <c r="S190" s="773">
        <f t="shared" si="118"/>
        <v>88953.17</v>
      </c>
      <c r="T190" s="773">
        <f t="shared" si="118"/>
        <v>88953.17</v>
      </c>
      <c r="U190" s="773">
        <f t="shared" si="118"/>
        <v>88953.17</v>
      </c>
      <c r="V190" s="773">
        <f t="shared" si="118"/>
        <v>88953.17</v>
      </c>
      <c r="W190" s="773">
        <f>ROUND($J190*W211,2)</f>
        <v>88953.17</v>
      </c>
      <c r="X190" s="773">
        <f>ROUND($J190*X211,2)</f>
        <v>37805.1</v>
      </c>
      <c r="Y190" s="773">
        <f t="shared" si="111"/>
        <v>0.010000000009313226</v>
      </c>
    </row>
    <row r="191" spans="1:25" ht="12.75">
      <c r="A191" s="681" t="s">
        <v>709</v>
      </c>
      <c r="B191" s="689">
        <v>399.422</v>
      </c>
      <c r="C191" s="691">
        <v>2003</v>
      </c>
      <c r="D191" s="774">
        <v>2844821.43</v>
      </c>
      <c r="E191" s="775">
        <v>1143621.43</v>
      </c>
      <c r="F191" s="773"/>
      <c r="G191" s="773">
        <f t="shared" si="112"/>
        <v>1701200.0000000002</v>
      </c>
      <c r="H191" s="779"/>
      <c r="I191" s="773">
        <v>19150000</v>
      </c>
      <c r="J191" s="780">
        <f t="shared" si="113"/>
        <v>0.08883550913838122</v>
      </c>
      <c r="K191" s="773">
        <f>ROUND($J191*K211,2)</f>
        <v>350900.26</v>
      </c>
      <c r="L191" s="773">
        <f>ROUND($J191*L211,2)</f>
        <v>337574.93</v>
      </c>
      <c r="M191" s="773">
        <f>ROUND($J191*M211,2)</f>
        <v>337574.93</v>
      </c>
      <c r="N191" s="773">
        <f>ROUND($J191*N211,2)</f>
        <v>337574.93</v>
      </c>
      <c r="O191" s="773">
        <f>ROUND($J191*O211,2)</f>
        <v>337574.93</v>
      </c>
      <c r="P191" s="773"/>
      <c r="Q191" s="773"/>
      <c r="R191" s="773"/>
      <c r="S191" s="773"/>
      <c r="T191" s="773"/>
      <c r="U191" s="773"/>
      <c r="V191" s="773"/>
      <c r="W191" s="773"/>
      <c r="X191" s="773"/>
      <c r="Y191" s="773">
        <f t="shared" si="111"/>
        <v>0.02000000048428774</v>
      </c>
    </row>
    <row r="192" spans="1:25" ht="12.75">
      <c r="A192" s="681" t="s">
        <v>710</v>
      </c>
      <c r="B192" s="689">
        <v>399.423</v>
      </c>
      <c r="C192" s="691">
        <v>2001</v>
      </c>
      <c r="D192" s="774">
        <v>6066265.1</v>
      </c>
      <c r="E192" s="775">
        <v>4271334.61</v>
      </c>
      <c r="F192" s="773"/>
      <c r="G192" s="773">
        <f t="shared" si="112"/>
        <v>1794930.4899999993</v>
      </c>
      <c r="H192" s="779"/>
      <c r="I192" s="773">
        <v>11550000</v>
      </c>
      <c r="J192" s="780">
        <f t="shared" si="113"/>
        <v>0.15540523722943717</v>
      </c>
      <c r="K192" s="773">
        <f>ROUND($J192*K211,2)</f>
        <v>613850.69</v>
      </c>
      <c r="L192" s="773">
        <f>ROUND($J192*L211,2)</f>
        <v>590539.9</v>
      </c>
      <c r="M192" s="773">
        <f>ROUND($J192*M211,2)</f>
        <v>590539.9</v>
      </c>
      <c r="N192" s="773"/>
      <c r="O192" s="773"/>
      <c r="P192" s="773"/>
      <c r="Q192" s="773"/>
      <c r="R192" s="773"/>
      <c r="S192" s="773"/>
      <c r="T192" s="773"/>
      <c r="U192" s="773"/>
      <c r="V192" s="773"/>
      <c r="W192" s="773"/>
      <c r="X192" s="773"/>
      <c r="Y192" s="773">
        <f t="shared" si="111"/>
        <v>0</v>
      </c>
    </row>
    <row r="193" spans="1:25" ht="12.75">
      <c r="A193" s="681"/>
      <c r="B193" s="689">
        <v>399.44</v>
      </c>
      <c r="C193" s="691">
        <v>2012</v>
      </c>
      <c r="D193" s="774">
        <v>524965.87</v>
      </c>
      <c r="E193" s="775">
        <v>282694.57</v>
      </c>
      <c r="F193" s="773"/>
      <c r="G193" s="773">
        <f t="shared" si="112"/>
        <v>242271.3</v>
      </c>
      <c r="H193" s="779"/>
      <c r="I193" s="773">
        <v>41400000</v>
      </c>
      <c r="J193" s="780">
        <f t="shared" si="113"/>
        <v>0.0058519637681159415</v>
      </c>
      <c r="K193" s="773">
        <f>ROUND($J193*K211,2)</f>
        <v>23115.26</v>
      </c>
      <c r="L193" s="773">
        <f aca="true" t="shared" si="119" ref="L193:X193">ROUND($J193*L211,2)</f>
        <v>22237.46</v>
      </c>
      <c r="M193" s="773">
        <f t="shared" si="119"/>
        <v>22237.46</v>
      </c>
      <c r="N193" s="773">
        <f t="shared" si="119"/>
        <v>22237.46</v>
      </c>
      <c r="O193" s="773">
        <f t="shared" si="119"/>
        <v>22237.46</v>
      </c>
      <c r="P193" s="773">
        <f t="shared" si="119"/>
        <v>22237.46</v>
      </c>
      <c r="Q193" s="773">
        <f t="shared" si="119"/>
        <v>22237.46</v>
      </c>
      <c r="R193" s="773">
        <f t="shared" si="119"/>
        <v>22237.46</v>
      </c>
      <c r="S193" s="773">
        <f t="shared" si="119"/>
        <v>11703.93</v>
      </c>
      <c r="T193" s="773">
        <f t="shared" si="119"/>
        <v>11703.93</v>
      </c>
      <c r="U193" s="773">
        <f t="shared" si="119"/>
        <v>11703.93</v>
      </c>
      <c r="V193" s="773">
        <f t="shared" si="119"/>
        <v>11703.93</v>
      </c>
      <c r="W193" s="773">
        <f t="shared" si="119"/>
        <v>11703.93</v>
      </c>
      <c r="X193" s="773">
        <f t="shared" si="119"/>
        <v>4974.17</v>
      </c>
      <c r="Y193" s="773">
        <f t="shared" si="111"/>
        <v>0</v>
      </c>
    </row>
    <row r="194" spans="1:25" ht="12.75">
      <c r="A194" s="681"/>
      <c r="B194" s="689">
        <v>399.51</v>
      </c>
      <c r="C194" s="690"/>
      <c r="D194" s="774">
        <v>838356.51</v>
      </c>
      <c r="E194" s="775">
        <v>596782.74</v>
      </c>
      <c r="F194" s="773"/>
      <c r="G194" s="773">
        <f t="shared" si="112"/>
        <v>241573.77000000002</v>
      </c>
      <c r="H194" s="778">
        <v>0.2114</v>
      </c>
      <c r="I194" s="773"/>
      <c r="J194" s="780"/>
      <c r="K194" s="773">
        <f>ROUND($H194*$D194,2)</f>
        <v>177228.57</v>
      </c>
      <c r="L194" s="773">
        <f>ROUND($H194*$D194,2)-112883.37</f>
        <v>64345.20000000001</v>
      </c>
      <c r="M194" s="773"/>
      <c r="N194" s="773"/>
      <c r="O194" s="773"/>
      <c r="P194" s="773"/>
      <c r="Q194" s="773"/>
      <c r="R194" s="773"/>
      <c r="S194" s="773"/>
      <c r="T194" s="773"/>
      <c r="U194" s="773"/>
      <c r="V194" s="773"/>
      <c r="W194" s="773"/>
      <c r="X194" s="773"/>
      <c r="Y194" s="773">
        <f t="shared" si="111"/>
        <v>0</v>
      </c>
    </row>
    <row r="195" spans="1:25" ht="12.75">
      <c r="A195" s="681"/>
      <c r="B195" s="689">
        <v>399.52</v>
      </c>
      <c r="C195" s="690"/>
      <c r="D195" s="774">
        <v>21327699</v>
      </c>
      <c r="E195" s="775">
        <v>8406539.61</v>
      </c>
      <c r="F195" s="773"/>
      <c r="G195" s="773">
        <f t="shared" si="112"/>
        <v>12921159.39</v>
      </c>
      <c r="H195" s="778">
        <v>0.0925</v>
      </c>
      <c r="I195" s="773"/>
      <c r="J195" s="780"/>
      <c r="K195" s="773">
        <f>ROUND($H195*$D195,2)</f>
        <v>1972812.16</v>
      </c>
      <c r="L195" s="773">
        <f aca="true" t="shared" si="120" ref="L195:P196">ROUND($H195*$D195,2)</f>
        <v>1972812.16</v>
      </c>
      <c r="M195" s="773">
        <f t="shared" si="120"/>
        <v>1972812.16</v>
      </c>
      <c r="N195" s="773">
        <f t="shared" si="120"/>
        <v>1972812.16</v>
      </c>
      <c r="O195" s="773">
        <f t="shared" si="120"/>
        <v>1972812.16</v>
      </c>
      <c r="P195" s="773">
        <f t="shared" si="120"/>
        <v>1972812.16</v>
      </c>
      <c r="Q195" s="773">
        <f>ROUND($H195*$D195,2)-888525.73</f>
        <v>1084286.43</v>
      </c>
      <c r="R195" s="773"/>
      <c r="S195" s="773"/>
      <c r="T195" s="773"/>
      <c r="U195" s="773"/>
      <c r="V195" s="773"/>
      <c r="W195" s="773"/>
      <c r="X195" s="773"/>
      <c r="Y195" s="773">
        <f t="shared" si="111"/>
        <v>0</v>
      </c>
    </row>
    <row r="196" spans="1:25" ht="12.75">
      <c r="A196" s="681"/>
      <c r="B196" s="689">
        <v>399.6</v>
      </c>
      <c r="C196" s="690"/>
      <c r="D196" s="774">
        <v>1235987.06</v>
      </c>
      <c r="E196" s="775">
        <v>397099.32</v>
      </c>
      <c r="F196" s="773"/>
      <c r="G196" s="773">
        <f t="shared" si="112"/>
        <v>838887.74</v>
      </c>
      <c r="H196" s="778">
        <v>0.0859</v>
      </c>
      <c r="I196" s="773"/>
      <c r="J196" s="780"/>
      <c r="K196" s="773">
        <f>ROUND($H196*$D196,2)</f>
        <v>106171.29</v>
      </c>
      <c r="L196" s="773">
        <f t="shared" si="120"/>
        <v>106171.29</v>
      </c>
      <c r="M196" s="773">
        <f t="shared" si="120"/>
        <v>106171.29</v>
      </c>
      <c r="N196" s="773">
        <f t="shared" si="120"/>
        <v>106171.29</v>
      </c>
      <c r="O196" s="773">
        <f t="shared" si="120"/>
        <v>106171.29</v>
      </c>
      <c r="P196" s="773">
        <f t="shared" si="120"/>
        <v>106171.29</v>
      </c>
      <c r="Q196" s="773">
        <f>ROUND($H196*$D196,2)</f>
        <v>106171.29</v>
      </c>
      <c r="R196" s="773">
        <f>ROUND($H196*$D196,2)-10482.58</f>
        <v>95688.70999999999</v>
      </c>
      <c r="S196" s="773"/>
      <c r="T196" s="773"/>
      <c r="U196" s="773"/>
      <c r="V196" s="773"/>
      <c r="W196" s="773"/>
      <c r="X196" s="773"/>
      <c r="Y196" s="773">
        <f t="shared" si="111"/>
        <v>0</v>
      </c>
    </row>
    <row r="197" spans="1:25" ht="12.75">
      <c r="A197" s="681"/>
      <c r="B197" s="689">
        <v>399.61</v>
      </c>
      <c r="C197" s="690"/>
      <c r="D197" s="774">
        <v>1479215.5</v>
      </c>
      <c r="E197" s="775">
        <v>841535.42</v>
      </c>
      <c r="F197" s="773"/>
      <c r="G197" s="773">
        <f t="shared" si="112"/>
        <v>637680.08</v>
      </c>
      <c r="H197" s="778">
        <v>0.0859</v>
      </c>
      <c r="I197" s="773"/>
      <c r="J197" s="780"/>
      <c r="K197" s="773">
        <f>ROUND($H197*$D197,2)</f>
        <v>127064.61</v>
      </c>
      <c r="L197" s="773">
        <f>ROUND($H197*$D197,2)</f>
        <v>127064.61</v>
      </c>
      <c r="M197" s="773">
        <f>ROUND($H197*$D197,2)</f>
        <v>127064.61</v>
      </c>
      <c r="N197" s="773">
        <f>ROUND($H197*$D197,2)</f>
        <v>127064.61</v>
      </c>
      <c r="O197" s="773">
        <f>ROUND($H197*$D197,2)</f>
        <v>127064.61</v>
      </c>
      <c r="P197" s="773">
        <f>ROUND($H197*$D197,2)-124707.58</f>
        <v>2357.029999999999</v>
      </c>
      <c r="Q197" s="773"/>
      <c r="R197" s="773"/>
      <c r="S197" s="773"/>
      <c r="T197" s="773"/>
      <c r="U197" s="773"/>
      <c r="V197" s="773"/>
      <c r="W197" s="773"/>
      <c r="X197" s="773"/>
      <c r="Y197" s="773">
        <f t="shared" si="111"/>
        <v>0</v>
      </c>
    </row>
    <row r="198" spans="1:25" ht="12.75">
      <c r="A198" s="681"/>
      <c r="B198" s="689">
        <v>399.7</v>
      </c>
      <c r="C198" s="691">
        <v>2012</v>
      </c>
      <c r="D198" s="774">
        <v>4401531.84</v>
      </c>
      <c r="E198" s="775">
        <v>2358635.54</v>
      </c>
      <c r="F198" s="773"/>
      <c r="G198" s="773">
        <f>D198-E198-F198</f>
        <v>2042896.2999999998</v>
      </c>
      <c r="H198" s="779"/>
      <c r="I198" s="773">
        <v>41400000</v>
      </c>
      <c r="J198" s="780">
        <f>G198/I198</f>
        <v>0.049345321256038646</v>
      </c>
      <c r="K198" s="773">
        <f>ROUND($J198*K211,2)</f>
        <v>194914.02</v>
      </c>
      <c r="L198" s="773">
        <f aca="true" t="shared" si="121" ref="L198:X198">ROUND($J198*L211,2)</f>
        <v>187512.22</v>
      </c>
      <c r="M198" s="773">
        <f t="shared" si="121"/>
        <v>187512.22</v>
      </c>
      <c r="N198" s="773">
        <f t="shared" si="121"/>
        <v>187512.22</v>
      </c>
      <c r="O198" s="773">
        <f t="shared" si="121"/>
        <v>187512.22</v>
      </c>
      <c r="P198" s="773">
        <f t="shared" si="121"/>
        <v>187512.22</v>
      </c>
      <c r="Q198" s="773">
        <f t="shared" si="121"/>
        <v>187512.22</v>
      </c>
      <c r="R198" s="773">
        <f t="shared" si="121"/>
        <v>187512.22</v>
      </c>
      <c r="S198" s="773">
        <f t="shared" si="121"/>
        <v>98690.64</v>
      </c>
      <c r="T198" s="773">
        <f t="shared" si="121"/>
        <v>98690.64</v>
      </c>
      <c r="U198" s="773">
        <f t="shared" si="121"/>
        <v>98690.64</v>
      </c>
      <c r="V198" s="773">
        <f t="shared" si="121"/>
        <v>98690.64</v>
      </c>
      <c r="W198" s="773">
        <f t="shared" si="121"/>
        <v>98690.64</v>
      </c>
      <c r="X198" s="773">
        <f t="shared" si="121"/>
        <v>41943.52</v>
      </c>
      <c r="Y198" s="773">
        <f t="shared" si="111"/>
        <v>0.02000000048428774</v>
      </c>
    </row>
    <row r="199" spans="1:25" ht="12.75">
      <c r="A199" s="681"/>
      <c r="B199" s="689">
        <v>399.701</v>
      </c>
      <c r="C199" s="691">
        <v>2001</v>
      </c>
      <c r="D199" s="774">
        <v>2697049.38</v>
      </c>
      <c r="E199" s="775">
        <v>1889098.19</v>
      </c>
      <c r="F199" s="773"/>
      <c r="G199" s="773">
        <f>D199-E199-F199</f>
        <v>807951.19</v>
      </c>
      <c r="H199" s="779"/>
      <c r="I199" s="773">
        <v>11550000</v>
      </c>
      <c r="J199" s="780">
        <f>G199/I199</f>
        <v>0.06995248398268397</v>
      </c>
      <c r="K199" s="773">
        <f>ROUND($J199*K211,2)</f>
        <v>276312.31</v>
      </c>
      <c r="L199" s="773">
        <f>ROUND($J199*L211,2)</f>
        <v>265819.44</v>
      </c>
      <c r="M199" s="773">
        <f>ROUND($J199*M211,2)</f>
        <v>265819.44</v>
      </c>
      <c r="N199" s="773"/>
      <c r="O199" s="773"/>
      <c r="P199" s="773"/>
      <c r="Q199" s="773"/>
      <c r="R199" s="773"/>
      <c r="S199" s="773"/>
      <c r="T199" s="773"/>
      <c r="U199" s="773"/>
      <c r="V199" s="773"/>
      <c r="W199" s="773"/>
      <c r="X199" s="773"/>
      <c r="Y199" s="773">
        <f t="shared" si="111"/>
        <v>0</v>
      </c>
    </row>
    <row r="200" spans="1:25" ht="12.75">
      <c r="A200" s="681"/>
      <c r="B200" s="689">
        <v>399.702</v>
      </c>
      <c r="C200" s="691">
        <v>2008</v>
      </c>
      <c r="D200" s="774">
        <v>1501597.05</v>
      </c>
      <c r="E200" s="775">
        <v>243768.35</v>
      </c>
      <c r="F200" s="773"/>
      <c r="G200" s="773">
        <f>D200-E200-F200</f>
        <v>1257828.7</v>
      </c>
      <c r="H200" s="779"/>
      <c r="I200" s="773">
        <v>34550000</v>
      </c>
      <c r="J200" s="780">
        <f>G200/I200</f>
        <v>0.03640604052098408</v>
      </c>
      <c r="K200" s="773">
        <f>ROUND($J200*K211,2)</f>
        <v>143803.86</v>
      </c>
      <c r="L200" s="773">
        <f aca="true" t="shared" si="122" ref="L200:T200">ROUND($J200*L211,2)</f>
        <v>138342.95</v>
      </c>
      <c r="M200" s="773">
        <f t="shared" si="122"/>
        <v>138342.95</v>
      </c>
      <c r="N200" s="773">
        <f t="shared" si="122"/>
        <v>138342.95</v>
      </c>
      <c r="O200" s="773">
        <f t="shared" si="122"/>
        <v>138342.95</v>
      </c>
      <c r="P200" s="773">
        <f t="shared" si="122"/>
        <v>138342.95</v>
      </c>
      <c r="Q200" s="773">
        <f t="shared" si="122"/>
        <v>138342.95</v>
      </c>
      <c r="R200" s="773">
        <f t="shared" si="122"/>
        <v>138342.95</v>
      </c>
      <c r="S200" s="773">
        <f t="shared" si="122"/>
        <v>72812.08</v>
      </c>
      <c r="T200" s="773">
        <f t="shared" si="122"/>
        <v>72812.08</v>
      </c>
      <c r="U200" s="773"/>
      <c r="V200" s="773"/>
      <c r="W200" s="773"/>
      <c r="X200" s="773"/>
      <c r="Y200" s="773">
        <f t="shared" si="111"/>
        <v>0.030000000027939677</v>
      </c>
    </row>
    <row r="201" spans="1:25" ht="12.75">
      <c r="A201" s="681"/>
      <c r="B201" s="689">
        <v>399.703</v>
      </c>
      <c r="C201" s="691">
        <v>2002</v>
      </c>
      <c r="D201" s="774">
        <v>632205.27</v>
      </c>
      <c r="E201" s="775">
        <v>0</v>
      </c>
      <c r="F201" s="773"/>
      <c r="G201" s="773">
        <f>D201-E201-F201</f>
        <v>632205.27</v>
      </c>
      <c r="H201" s="779"/>
      <c r="I201" s="773">
        <v>15350000</v>
      </c>
      <c r="J201" s="780">
        <f>G201/I201</f>
        <v>0.041186011074918566</v>
      </c>
      <c r="K201" s="773">
        <f>ROUND($J201*K211,2)</f>
        <v>162684.74</v>
      </c>
      <c r="L201" s="773">
        <f>ROUND($J201*L211,2)</f>
        <v>156506.84</v>
      </c>
      <c r="M201" s="773">
        <f>ROUND($J201*M211,2)</f>
        <v>156506.84</v>
      </c>
      <c r="N201" s="773">
        <f>ROUND($J201*N211,2)</f>
        <v>156506.84</v>
      </c>
      <c r="O201" s="773"/>
      <c r="P201" s="773"/>
      <c r="Q201" s="773"/>
      <c r="R201" s="773"/>
      <c r="S201" s="773"/>
      <c r="T201" s="773"/>
      <c r="U201" s="773"/>
      <c r="V201" s="773"/>
      <c r="W201" s="773"/>
      <c r="X201" s="773"/>
      <c r="Y201" s="773">
        <f t="shared" si="111"/>
        <v>0.010000000125728548</v>
      </c>
    </row>
    <row r="202" spans="1:25" ht="12.75">
      <c r="A202" s="681"/>
      <c r="B202" s="682"/>
      <c r="C202" s="682"/>
      <c r="D202" s="777" t="s">
        <v>711</v>
      </c>
      <c r="E202" s="777"/>
      <c r="F202" s="777"/>
      <c r="G202" s="777"/>
      <c r="H202" s="777"/>
      <c r="I202" s="777"/>
      <c r="J202" s="777"/>
      <c r="K202" s="777"/>
      <c r="L202" s="777"/>
      <c r="M202" s="777"/>
      <c r="N202" s="777"/>
      <c r="O202" s="777"/>
      <c r="P202" s="777"/>
      <c r="Q202" s="777"/>
      <c r="R202" s="777"/>
      <c r="S202" s="777"/>
      <c r="T202" s="777"/>
      <c r="U202" s="777"/>
      <c r="V202" s="777"/>
      <c r="W202" s="777"/>
      <c r="X202" s="777"/>
      <c r="Y202" s="777"/>
    </row>
    <row r="203" spans="1:25" ht="12.75">
      <c r="A203" s="681"/>
      <c r="B203" s="689" t="s">
        <v>712</v>
      </c>
      <c r="C203" s="689"/>
      <c r="D203" s="773">
        <f>SUM(D185:D201)</f>
        <v>66188789.57000001</v>
      </c>
      <c r="E203" s="773">
        <f>SUM(E185:E201)</f>
        <v>32093288.020000003</v>
      </c>
      <c r="F203" s="773">
        <f>SUM(F185:F201)</f>
        <v>0</v>
      </c>
      <c r="G203" s="773">
        <f>SUM(G185:G201)</f>
        <v>34095501.55</v>
      </c>
      <c r="H203" s="773"/>
      <c r="I203" s="773"/>
      <c r="J203" s="773"/>
      <c r="K203" s="773">
        <f aca="true" t="shared" si="123" ref="K203:Y203">SUM(K185:K202)</f>
        <v>5177417.81</v>
      </c>
      <c r="L203" s="773">
        <f t="shared" si="123"/>
        <v>4963291.36</v>
      </c>
      <c r="M203" s="773">
        <f t="shared" si="123"/>
        <v>4898946.16</v>
      </c>
      <c r="N203" s="773">
        <f t="shared" si="123"/>
        <v>4042586.8200000003</v>
      </c>
      <c r="O203" s="773">
        <f t="shared" si="123"/>
        <v>3886079.9800000004</v>
      </c>
      <c r="P203" s="773">
        <f t="shared" si="123"/>
        <v>3423797.47</v>
      </c>
      <c r="Q203" s="773">
        <f t="shared" si="123"/>
        <v>2532914.7100000004</v>
      </c>
      <c r="R203" s="773">
        <f t="shared" si="123"/>
        <v>1438145.7</v>
      </c>
      <c r="S203" s="773">
        <f t="shared" si="123"/>
        <v>767222.8200000001</v>
      </c>
      <c r="T203" s="773">
        <f t="shared" si="123"/>
        <v>767222.8200000001</v>
      </c>
      <c r="U203" s="773">
        <f t="shared" si="123"/>
        <v>694410.7400000001</v>
      </c>
      <c r="V203" s="773">
        <f t="shared" si="123"/>
        <v>694410.7400000001</v>
      </c>
      <c r="W203" s="773">
        <f t="shared" si="123"/>
        <v>568361.19</v>
      </c>
      <c r="X203" s="773">
        <f t="shared" si="123"/>
        <v>240693.22</v>
      </c>
      <c r="Y203" s="773">
        <f t="shared" si="123"/>
        <v>0.010000001435400918</v>
      </c>
    </row>
    <row r="204" spans="1:25" ht="12.75">
      <c r="A204" s="681"/>
      <c r="B204" s="682"/>
      <c r="C204" s="682"/>
      <c r="D204" s="773"/>
      <c r="E204" s="773"/>
      <c r="F204" s="773"/>
      <c r="G204" s="773"/>
      <c r="H204" s="773"/>
      <c r="I204" s="773"/>
      <c r="J204" s="773"/>
      <c r="K204" s="773"/>
      <c r="L204" s="773"/>
      <c r="M204" s="773"/>
      <c r="N204" s="773"/>
      <c r="O204" s="773"/>
      <c r="P204" s="773"/>
      <c r="Q204" s="773"/>
      <c r="R204" s="773"/>
      <c r="S204" s="773"/>
      <c r="T204" s="773"/>
      <c r="U204" s="773"/>
      <c r="V204" s="773"/>
      <c r="W204" s="773"/>
      <c r="X204" s="773"/>
      <c r="Y204" s="773"/>
    </row>
    <row r="205" spans="1:25" ht="12.75">
      <c r="A205" s="681"/>
      <c r="B205" s="682" t="s">
        <v>713</v>
      </c>
      <c r="C205" s="682"/>
      <c r="D205" s="776">
        <v>1394339.26</v>
      </c>
      <c r="E205" s="776">
        <v>0</v>
      </c>
      <c r="F205" s="773"/>
      <c r="G205" s="773"/>
      <c r="H205" s="773"/>
      <c r="I205" s="773"/>
      <c r="J205" s="773"/>
      <c r="K205" s="773"/>
      <c r="L205" s="773"/>
      <c r="M205" s="773"/>
      <c r="N205" s="773"/>
      <c r="O205" s="773"/>
      <c r="P205" s="773"/>
      <c r="Q205" s="773"/>
      <c r="R205" s="773"/>
      <c r="S205" s="773"/>
      <c r="T205" s="773"/>
      <c r="U205" s="773"/>
      <c r="V205" s="773"/>
      <c r="W205" s="773"/>
      <c r="X205" s="773"/>
      <c r="Y205" s="773"/>
    </row>
    <row r="206" spans="1:25" ht="12.75">
      <c r="A206" s="681"/>
      <c r="B206" s="689" t="s">
        <v>714</v>
      </c>
      <c r="C206" s="689"/>
      <c r="D206" s="776">
        <v>2366285.04</v>
      </c>
      <c r="E206" s="776">
        <v>1391343.3</v>
      </c>
      <c r="F206" s="773"/>
      <c r="G206" s="773">
        <f>D206-E206-F206</f>
        <v>974941.74</v>
      </c>
      <c r="H206" s="773"/>
      <c r="I206" s="773">
        <v>41400000</v>
      </c>
      <c r="J206" s="773">
        <f>G206/I206</f>
        <v>0.023549317391304347</v>
      </c>
      <c r="K206" s="773">
        <f>ROUND($J206*K211,2)</f>
        <v>93019.8</v>
      </c>
      <c r="L206" s="773">
        <f aca="true" t="shared" si="124" ref="L206:X206">ROUND($J206*L211,2)</f>
        <v>89487.41</v>
      </c>
      <c r="M206" s="773">
        <f t="shared" si="124"/>
        <v>89487.41</v>
      </c>
      <c r="N206" s="773">
        <f t="shared" si="124"/>
        <v>89487.41</v>
      </c>
      <c r="O206" s="773">
        <f t="shared" si="124"/>
        <v>89487.41</v>
      </c>
      <c r="P206" s="773">
        <f t="shared" si="124"/>
        <v>89487.41</v>
      </c>
      <c r="Q206" s="773">
        <f t="shared" si="124"/>
        <v>89487.41</v>
      </c>
      <c r="R206" s="773">
        <f t="shared" si="124"/>
        <v>89487.41</v>
      </c>
      <c r="S206" s="773">
        <f t="shared" si="124"/>
        <v>47098.63</v>
      </c>
      <c r="T206" s="773">
        <f t="shared" si="124"/>
        <v>47098.63</v>
      </c>
      <c r="U206" s="773">
        <f t="shared" si="124"/>
        <v>47098.63</v>
      </c>
      <c r="V206" s="773">
        <f t="shared" si="124"/>
        <v>47098.63</v>
      </c>
      <c r="W206" s="773">
        <f t="shared" si="124"/>
        <v>47098.63</v>
      </c>
      <c r="X206" s="773">
        <f t="shared" si="124"/>
        <v>20016.92</v>
      </c>
      <c r="Y206" s="773">
        <f>D206-E206-SUM(K206:X206)</f>
        <v>0</v>
      </c>
    </row>
    <row r="207" spans="1:25" ht="12.75">
      <c r="A207" s="681"/>
      <c r="B207" s="689" t="s">
        <v>715</v>
      </c>
      <c r="C207" s="689"/>
      <c r="D207" s="776"/>
      <c r="E207" s="776">
        <v>0</v>
      </c>
      <c r="F207" s="773"/>
      <c r="G207" s="773"/>
      <c r="H207" s="773"/>
      <c r="I207" s="773"/>
      <c r="J207" s="773"/>
      <c r="K207" s="773"/>
      <c r="L207" s="773"/>
      <c r="M207" s="773"/>
      <c r="N207" s="773"/>
      <c r="O207" s="773"/>
      <c r="P207" s="773"/>
      <c r="Q207" s="773"/>
      <c r="R207" s="773"/>
      <c r="S207" s="773"/>
      <c r="T207" s="773"/>
      <c r="U207" s="773"/>
      <c r="V207" s="773"/>
      <c r="W207" s="773"/>
      <c r="X207" s="773"/>
      <c r="Y207" s="773"/>
    </row>
    <row r="208" spans="1:25" ht="12.75">
      <c r="A208" s="681"/>
      <c r="B208" s="689" t="s">
        <v>162</v>
      </c>
      <c r="C208" s="689"/>
      <c r="D208" s="777" t="s">
        <v>711</v>
      </c>
      <c r="E208" s="777"/>
      <c r="F208" s="777"/>
      <c r="G208" s="777"/>
      <c r="H208" s="777"/>
      <c r="I208" s="777"/>
      <c r="J208" s="777"/>
      <c r="K208" s="777"/>
      <c r="L208" s="777"/>
      <c r="M208" s="777"/>
      <c r="N208" s="777"/>
      <c r="O208" s="777"/>
      <c r="P208" s="777"/>
      <c r="Q208" s="777"/>
      <c r="R208" s="777"/>
      <c r="S208" s="777"/>
      <c r="T208" s="777"/>
      <c r="U208" s="777"/>
      <c r="V208" s="777"/>
      <c r="W208" s="777"/>
      <c r="X208" s="777"/>
      <c r="Y208" s="777"/>
    </row>
    <row r="209" spans="1:25" ht="12.75">
      <c r="A209" s="681"/>
      <c r="B209" s="689" t="s">
        <v>716</v>
      </c>
      <c r="C209" s="689"/>
      <c r="D209" s="773">
        <f>SUM(D203:D207)</f>
        <v>69949413.87000002</v>
      </c>
      <c r="E209" s="773">
        <f>SUM(E203:E207)</f>
        <v>33484631.320000004</v>
      </c>
      <c r="F209" s="773">
        <f>SUM(F203:F207)</f>
        <v>0</v>
      </c>
      <c r="G209" s="773">
        <f>SUM(G203:G207)</f>
        <v>35070443.29</v>
      </c>
      <c r="H209" s="773"/>
      <c r="I209" s="773"/>
      <c r="J209" s="773">
        <f>SUM(K209:X209)</f>
        <v>35070443.28</v>
      </c>
      <c r="K209" s="773">
        <f aca="true" t="shared" si="125" ref="K209:Y209">SUM(K203:K207)</f>
        <v>5270437.609999999</v>
      </c>
      <c r="L209" s="773">
        <f t="shared" si="125"/>
        <v>5052778.7700000005</v>
      </c>
      <c r="M209" s="773">
        <f t="shared" si="125"/>
        <v>4988433.57</v>
      </c>
      <c r="N209" s="773">
        <f t="shared" si="125"/>
        <v>4132074.2300000004</v>
      </c>
      <c r="O209" s="773">
        <f t="shared" si="125"/>
        <v>3975567.3900000006</v>
      </c>
      <c r="P209" s="773">
        <f t="shared" si="125"/>
        <v>3513284.8800000004</v>
      </c>
      <c r="Q209" s="773">
        <f t="shared" si="125"/>
        <v>2622402.1200000006</v>
      </c>
      <c r="R209" s="773">
        <f t="shared" si="125"/>
        <v>1527633.1099999999</v>
      </c>
      <c r="S209" s="773">
        <f t="shared" si="125"/>
        <v>814321.4500000001</v>
      </c>
      <c r="T209" s="773">
        <f t="shared" si="125"/>
        <v>814321.4500000001</v>
      </c>
      <c r="U209" s="773">
        <f t="shared" si="125"/>
        <v>741509.3700000001</v>
      </c>
      <c r="V209" s="773">
        <f t="shared" si="125"/>
        <v>741509.3700000001</v>
      </c>
      <c r="W209" s="773">
        <f t="shared" si="125"/>
        <v>615459.82</v>
      </c>
      <c r="X209" s="773">
        <f t="shared" si="125"/>
        <v>260710.14</v>
      </c>
      <c r="Y209" s="773">
        <f t="shared" si="125"/>
        <v>0.010000001435400918</v>
      </c>
    </row>
    <row r="210" spans="1:25" ht="12.75">
      <c r="A210" s="681"/>
      <c r="B210" s="682"/>
      <c r="C210" s="682"/>
      <c r="D210" s="683"/>
      <c r="E210" s="810">
        <f>D209-E209</f>
        <v>36464782.55000001</v>
      </c>
      <c r="F210" s="682"/>
      <c r="G210" s="682"/>
      <c r="H210" s="682"/>
      <c r="I210" s="692"/>
      <c r="J210" s="693"/>
      <c r="K210" s="693"/>
      <c r="L210" s="693"/>
      <c r="M210" s="693"/>
      <c r="N210" s="693"/>
      <c r="O210" s="693"/>
      <c r="P210" s="693"/>
      <c r="Q210" s="693"/>
      <c r="R210" s="693"/>
      <c r="S210" s="693"/>
      <c r="T210" s="693"/>
      <c r="U210" s="693"/>
      <c r="V210" s="693"/>
      <c r="W210" s="693"/>
      <c r="X210" s="693"/>
      <c r="Y210" s="693"/>
    </row>
    <row r="211" spans="1:25" ht="12.75">
      <c r="A211" s="681"/>
      <c r="B211" s="682" t="s">
        <v>717</v>
      </c>
      <c r="C211" s="682"/>
      <c r="D211" s="682"/>
      <c r="E211" s="682"/>
      <c r="F211" s="682"/>
      <c r="G211" s="682"/>
      <c r="H211" s="682"/>
      <c r="I211" s="692"/>
      <c r="J211" s="693"/>
      <c r="K211" s="694">
        <v>3950000</v>
      </c>
      <c r="L211" s="694">
        <v>3800000</v>
      </c>
      <c r="M211" s="694">
        <v>3800000</v>
      </c>
      <c r="N211" s="694">
        <v>3800000</v>
      </c>
      <c r="O211" s="694">
        <v>3800000</v>
      </c>
      <c r="P211" s="694">
        <v>3800000</v>
      </c>
      <c r="Q211" s="694">
        <v>3800000</v>
      </c>
      <c r="R211" s="694">
        <v>3800000</v>
      </c>
      <c r="S211" s="694">
        <v>2000000</v>
      </c>
      <c r="T211" s="694">
        <v>2000000</v>
      </c>
      <c r="U211" s="694">
        <v>2000000</v>
      </c>
      <c r="V211" s="694">
        <v>2000000</v>
      </c>
      <c r="W211" s="694">
        <v>2000000</v>
      </c>
      <c r="X211" s="694">
        <v>850000</v>
      </c>
      <c r="Y211" s="693"/>
    </row>
    <row r="212" spans="1:25" ht="12.75">
      <c r="A212" s="681"/>
      <c r="B212" s="681"/>
      <c r="C212" s="681"/>
      <c r="D212" s="681"/>
      <c r="E212" s="681"/>
      <c r="F212" s="681"/>
      <c r="G212" s="681"/>
      <c r="H212" s="681"/>
      <c r="I212" s="681"/>
      <c r="J212" s="681"/>
      <c r="K212" s="681"/>
      <c r="L212" s="681"/>
      <c r="M212" s="681"/>
      <c r="N212" s="681"/>
      <c r="O212" s="681"/>
      <c r="P212" s="681"/>
      <c r="Q212" s="681"/>
      <c r="R212" s="681"/>
      <c r="S212" s="681"/>
      <c r="T212" s="681"/>
      <c r="U212" s="681"/>
      <c r="V212" s="681"/>
      <c r="W212" s="681"/>
      <c r="X212" s="681"/>
      <c r="Y212" s="681"/>
    </row>
    <row r="214" spans="1:41" ht="18.75">
      <c r="A214" s="458" t="s">
        <v>766</v>
      </c>
      <c r="C214" s="458"/>
      <c r="D214" s="344"/>
      <c r="E214" s="344"/>
      <c r="F214" s="344"/>
      <c r="G214" s="344"/>
      <c r="H214" s="344"/>
      <c r="I214" s="344"/>
      <c r="J214" s="344"/>
      <c r="K214" s="344"/>
      <c r="L214" s="344"/>
      <c r="M214" s="344"/>
      <c r="N214" s="344"/>
      <c r="O214" s="344"/>
      <c r="P214" s="344"/>
      <c r="Q214" s="344"/>
      <c r="R214" s="344"/>
      <c r="S214" s="344"/>
      <c r="T214" s="344"/>
      <c r="U214" s="344"/>
      <c r="V214" s="344"/>
      <c r="W214" s="344"/>
      <c r="X214" s="344"/>
      <c r="Y214" s="344"/>
      <c r="Z214" s="344"/>
      <c r="AA214" s="344"/>
      <c r="AB214" s="344"/>
      <c r="AC214" s="344"/>
      <c r="AD214" s="344"/>
      <c r="AE214" s="344"/>
      <c r="AF214" s="344"/>
      <c r="AG214" s="344"/>
      <c r="AH214" s="344"/>
      <c r="AI214" s="344"/>
      <c r="AJ214" s="344"/>
      <c r="AK214" s="344"/>
      <c r="AL214" s="344"/>
      <c r="AM214" s="344"/>
      <c r="AN214" s="344"/>
      <c r="AO214" s="344"/>
    </row>
    <row r="215" spans="3:41" ht="12.75">
      <c r="C215" s="344"/>
      <c r="D215" s="344"/>
      <c r="E215" s="344"/>
      <c r="F215" s="344"/>
      <c r="G215" s="344"/>
      <c r="H215" s="344"/>
      <c r="I215" s="344"/>
      <c r="J215" s="344"/>
      <c r="K215" s="344"/>
      <c r="L215" s="344"/>
      <c r="M215" s="344"/>
      <c r="N215" s="344"/>
      <c r="O215" s="344"/>
      <c r="P215" s="344"/>
      <c r="Q215" s="344"/>
      <c r="R215" s="344"/>
      <c r="S215" s="344"/>
      <c r="T215" s="344"/>
      <c r="U215" s="344"/>
      <c r="V215" s="344"/>
      <c r="W215" s="344"/>
      <c r="X215" s="344"/>
      <c r="Y215" s="344"/>
      <c r="Z215" s="344"/>
      <c r="AA215" s="344"/>
      <c r="AB215" s="344"/>
      <c r="AC215" s="344"/>
      <c r="AD215" s="344"/>
      <c r="AE215" s="344"/>
      <c r="AF215" s="344"/>
      <c r="AG215" s="344"/>
      <c r="AH215" s="344"/>
      <c r="AI215" s="344"/>
      <c r="AJ215" s="344"/>
      <c r="AK215" s="344"/>
      <c r="AL215" s="344"/>
      <c r="AM215" s="344"/>
      <c r="AN215" s="344"/>
      <c r="AO215" s="344"/>
    </row>
    <row r="216" spans="3:41" ht="12.75">
      <c r="C216" s="344"/>
      <c r="D216" s="344"/>
      <c r="E216" s="344"/>
      <c r="F216" s="344"/>
      <c r="G216" s="344"/>
      <c r="H216" s="344"/>
      <c r="I216" s="344"/>
      <c r="J216" s="451"/>
      <c r="K216" s="449">
        <f aca="true" t="shared" si="126" ref="K216:AO216">J216+1</f>
        <v>1</v>
      </c>
      <c r="L216" s="449">
        <f t="shared" si="126"/>
        <v>2</v>
      </c>
      <c r="M216" s="449">
        <f t="shared" si="126"/>
        <v>3</v>
      </c>
      <c r="N216" s="449">
        <f t="shared" si="126"/>
        <v>4</v>
      </c>
      <c r="O216" s="449">
        <f t="shared" si="126"/>
        <v>5</v>
      </c>
      <c r="P216" s="449">
        <f t="shared" si="126"/>
        <v>6</v>
      </c>
      <c r="Q216" s="449">
        <f t="shared" si="126"/>
        <v>7</v>
      </c>
      <c r="R216" s="449">
        <f t="shared" si="126"/>
        <v>8</v>
      </c>
      <c r="S216" s="449">
        <f t="shared" si="126"/>
        <v>9</v>
      </c>
      <c r="T216" s="449">
        <f t="shared" si="126"/>
        <v>10</v>
      </c>
      <c r="U216" s="449">
        <f t="shared" si="126"/>
        <v>11</v>
      </c>
      <c r="V216" s="449">
        <f t="shared" si="126"/>
        <v>12</v>
      </c>
      <c r="W216" s="449">
        <f t="shared" si="126"/>
        <v>13</v>
      </c>
      <c r="X216" s="449">
        <f t="shared" si="126"/>
        <v>14</v>
      </c>
      <c r="Y216" s="449">
        <f t="shared" si="126"/>
        <v>15</v>
      </c>
      <c r="Z216" s="449">
        <f t="shared" si="126"/>
        <v>16</v>
      </c>
      <c r="AA216" s="449">
        <f t="shared" si="126"/>
        <v>17</v>
      </c>
      <c r="AB216" s="449">
        <f t="shared" si="126"/>
        <v>18</v>
      </c>
      <c r="AC216" s="449">
        <f t="shared" si="126"/>
        <v>19</v>
      </c>
      <c r="AD216" s="449">
        <f t="shared" si="126"/>
        <v>20</v>
      </c>
      <c r="AE216" s="449">
        <f t="shared" si="126"/>
        <v>21</v>
      </c>
      <c r="AF216" s="449">
        <f t="shared" si="126"/>
        <v>22</v>
      </c>
      <c r="AG216" s="449">
        <f t="shared" si="126"/>
        <v>23</v>
      </c>
      <c r="AH216" s="449">
        <f t="shared" si="126"/>
        <v>24</v>
      </c>
      <c r="AI216" s="449">
        <f t="shared" si="126"/>
        <v>25</v>
      </c>
      <c r="AJ216" s="449">
        <f t="shared" si="126"/>
        <v>26</v>
      </c>
      <c r="AK216" s="449">
        <f t="shared" si="126"/>
        <v>27</v>
      </c>
      <c r="AL216" s="449">
        <f t="shared" si="126"/>
        <v>28</v>
      </c>
      <c r="AM216" s="449">
        <f t="shared" si="126"/>
        <v>29</v>
      </c>
      <c r="AN216" s="449">
        <f t="shared" si="126"/>
        <v>30</v>
      </c>
      <c r="AO216" s="449">
        <f t="shared" si="126"/>
        <v>31</v>
      </c>
    </row>
    <row r="217" spans="3:41" ht="12.75">
      <c r="C217" s="344"/>
      <c r="D217" s="344"/>
      <c r="E217" s="344"/>
      <c r="F217" s="344"/>
      <c r="G217" s="344"/>
      <c r="H217" s="344"/>
      <c r="I217" s="344"/>
      <c r="J217" s="344"/>
      <c r="K217" s="344"/>
      <c r="L217" s="344"/>
      <c r="M217" s="344"/>
      <c r="N217" s="344"/>
      <c r="O217" s="344"/>
      <c r="P217" s="344"/>
      <c r="Q217" s="344"/>
      <c r="R217" s="344"/>
      <c r="S217" s="344"/>
      <c r="T217" s="344"/>
      <c r="U217" s="344"/>
      <c r="V217" s="344"/>
      <c r="W217" s="344"/>
      <c r="X217" s="344"/>
      <c r="Y217" s="344"/>
      <c r="Z217" s="344"/>
      <c r="AA217" s="344"/>
      <c r="AB217" s="344"/>
      <c r="AC217" s="344"/>
      <c r="AD217" s="344"/>
      <c r="AE217" s="344"/>
      <c r="AF217" s="344"/>
      <c r="AG217" s="344"/>
      <c r="AH217" s="344"/>
      <c r="AI217" s="344"/>
      <c r="AJ217" s="344"/>
      <c r="AK217" s="344"/>
      <c r="AL217" s="344"/>
      <c r="AM217" s="344"/>
      <c r="AN217" s="344"/>
      <c r="AO217" s="344"/>
    </row>
    <row r="218" spans="3:41" ht="12.75">
      <c r="C218" s="344"/>
      <c r="D218" s="344"/>
      <c r="E218" s="344"/>
      <c r="F218" s="344"/>
      <c r="G218" s="344"/>
      <c r="H218" s="344"/>
      <c r="I218" s="450">
        <f>SUM(J218:AN218)</f>
        <v>134006.6782596198</v>
      </c>
      <c r="J218" s="450"/>
      <c r="K218" s="450">
        <f>'Tax Depr'!K90*Inputs!$G$7</f>
        <v>4058.46616</v>
      </c>
      <c r="L218" s="450">
        <f>'Tax Depr'!L90*Inputs!$G$7</f>
        <v>7581.907249999999</v>
      </c>
      <c r="M218" s="450">
        <f>'Tax Depr'!M90*Inputs!$G$7</f>
        <v>7471.229114999999</v>
      </c>
      <c r="N218" s="450">
        <f>'Tax Depr'!N90*Inputs!$G$7</f>
        <v>8291.749066875</v>
      </c>
      <c r="O218" s="450">
        <f>'Tax Depr'!O90*Inputs!$G$7</f>
        <v>6217.592043642499</v>
      </c>
      <c r="P218" s="450">
        <f>'Tax Depr'!P90*Inputs!$G$7</f>
        <v>4405.2414823399995</v>
      </c>
      <c r="Q218" s="450">
        <f>'Tax Depr'!Q90*Inputs!$G$7</f>
        <v>4537.398726810199</v>
      </c>
      <c r="R218" s="450">
        <f>'Tax Depr'!R90*Inputs!$G$7</f>
        <v>4673.520688614506</v>
      </c>
      <c r="S218" s="450">
        <f>'Tax Depr'!S90*Inputs!$G$7</f>
        <v>4813.72630927294</v>
      </c>
      <c r="T218" s="450">
        <f>'Tax Depr'!T90*Inputs!$G$7</f>
        <v>4958.138098551129</v>
      </c>
      <c r="U218" s="450">
        <f>'Tax Depr'!U90*Inputs!$G$7</f>
        <v>5106.882241507663</v>
      </c>
      <c r="V218" s="450">
        <f>'Tax Depr'!V90*Inputs!$G$7</f>
        <v>5260.088708752893</v>
      </c>
      <c r="W218" s="450">
        <f>'Tax Depr'!W90*Inputs!$G$7</f>
        <v>5417.891370015479</v>
      </c>
      <c r="X218" s="450">
        <f>'Tax Depr'!X90*Inputs!$G$7</f>
        <v>5580.428111115943</v>
      </c>
      <c r="Y218" s="450">
        <f>'Tax Depr'!Y90*Inputs!$G$7</f>
        <v>5747.840954449422</v>
      </c>
      <c r="Z218" s="450">
        <f>'Tax Depr'!Z90*Inputs!$G$7</f>
        <v>5920.276183082904</v>
      </c>
      <c r="AA218" s="450">
        <f>'Tax Depr'!AA90*Inputs!$G$7</f>
        <v>6097.88446857539</v>
      </c>
      <c r="AB218" s="450">
        <f>'Tax Depr'!AB90*Inputs!$G$7</f>
        <v>6280.821002632652</v>
      </c>
      <c r="AC218" s="450">
        <f>'Tax Depr'!AC90*Inputs!$G$7</f>
        <v>6469.245632711632</v>
      </c>
      <c r="AD218" s="450">
        <f>'Tax Depr'!AD90*Inputs!$G$7</f>
        <v>6663.32300169298</v>
      </c>
      <c r="AE218" s="450">
        <f>'Tax Depr'!AE90*Inputs!$G$7</f>
        <v>6863.22269174377</v>
      </c>
      <c r="AF218" s="450">
        <f>'Tax Depr'!AF90*Inputs!$G$7</f>
        <v>5301.839529372061</v>
      </c>
      <c r="AG218" s="450">
        <f>'Tax Depr'!AG90*Inputs!$G$7</f>
        <v>3640.596476835483</v>
      </c>
      <c r="AH218" s="450">
        <f>'Tax Depr'!AH90*Inputs!$G$7</f>
        <v>1874.9071855702737</v>
      </c>
      <c r="AI218" s="450">
        <f>'Tax Depr'!AI90*Inputs!$G$7</f>
        <v>772.4617604549527</v>
      </c>
      <c r="AJ218" s="450">
        <f>'Tax Depr'!AJ90*Inputs!$G$7</f>
        <v>0</v>
      </c>
      <c r="AK218" s="450">
        <f>'Tax Depr'!AK90*Inputs!$G$7</f>
        <v>0</v>
      </c>
      <c r="AL218" s="450">
        <f>'Tax Depr'!AL90*Inputs!$G$7</f>
        <v>0</v>
      </c>
      <c r="AM218" s="450">
        <f>'Tax Depr'!AM90*Inputs!$G$7</f>
        <v>0</v>
      </c>
      <c r="AN218" s="450">
        <f>'Tax Depr'!AN90*Inputs!$G$7</f>
        <v>0</v>
      </c>
      <c r="AO218" s="450">
        <f>'Tax Depr'!AO90*Inputs!$G$7</f>
        <v>0</v>
      </c>
    </row>
    <row r="219" spans="3:41" ht="12.75">
      <c r="C219" s="344"/>
      <c r="D219" s="344"/>
      <c r="E219" s="344"/>
      <c r="F219" s="344"/>
      <c r="G219" s="344"/>
      <c r="H219" s="344"/>
      <c r="I219" s="344"/>
      <c r="J219" s="344"/>
      <c r="K219" s="344"/>
      <c r="L219" s="344"/>
      <c r="M219" s="344"/>
      <c r="N219" s="344"/>
      <c r="O219" s="344"/>
      <c r="P219" s="344"/>
      <c r="Q219" s="344"/>
      <c r="R219" s="344"/>
      <c r="S219" s="344"/>
      <c r="T219" s="344"/>
      <c r="U219" s="344"/>
      <c r="V219" s="344"/>
      <c r="W219" s="344"/>
      <c r="X219" s="344"/>
      <c r="Y219" s="344"/>
      <c r="Z219" s="344"/>
      <c r="AA219" s="344"/>
      <c r="AB219" s="344"/>
      <c r="AC219" s="344"/>
      <c r="AD219" s="344"/>
      <c r="AE219" s="344"/>
      <c r="AF219" s="344"/>
      <c r="AG219" s="344"/>
      <c r="AH219" s="344"/>
      <c r="AI219" s="344"/>
      <c r="AJ219" s="344"/>
      <c r="AK219" s="344"/>
      <c r="AL219" s="344"/>
      <c r="AM219" s="344"/>
      <c r="AN219" s="344"/>
      <c r="AO219" s="344"/>
    </row>
    <row r="220" spans="3:41" ht="12.75">
      <c r="C220" s="344"/>
      <c r="D220" s="344"/>
      <c r="E220" s="344"/>
      <c r="F220" s="344"/>
      <c r="G220" s="344"/>
      <c r="H220" s="344"/>
      <c r="I220" s="344"/>
      <c r="J220" s="344"/>
      <c r="K220" s="344"/>
      <c r="L220" s="344"/>
      <c r="M220" s="344"/>
      <c r="N220" s="344"/>
      <c r="O220" s="344"/>
      <c r="P220" s="344"/>
      <c r="Q220" s="344"/>
      <c r="R220" s="344"/>
      <c r="S220" s="344"/>
      <c r="T220" s="344"/>
      <c r="U220" s="344"/>
      <c r="V220" s="344"/>
      <c r="W220" s="344"/>
      <c r="X220" s="344"/>
      <c r="Y220" s="344"/>
      <c r="Z220" s="344"/>
      <c r="AA220" s="344"/>
      <c r="AB220" s="344"/>
      <c r="AC220" s="344"/>
      <c r="AD220" s="344"/>
      <c r="AE220" s="344"/>
      <c r="AF220" s="344"/>
      <c r="AG220" s="344"/>
      <c r="AH220" s="344"/>
      <c r="AI220" s="344"/>
      <c r="AJ220" s="344"/>
      <c r="AK220" s="344"/>
      <c r="AL220" s="344"/>
      <c r="AM220" s="453"/>
      <c r="AN220" s="344"/>
      <c r="AO220" s="344"/>
    </row>
    <row r="221" spans="3:41" ht="15.75">
      <c r="C221" s="344"/>
      <c r="D221" s="447"/>
      <c r="E221" s="447"/>
      <c r="F221" s="459" t="s">
        <v>463</v>
      </c>
      <c r="G221" s="349">
        <v>0</v>
      </c>
      <c r="H221" s="447" t="s">
        <v>464</v>
      </c>
      <c r="I221" s="344"/>
      <c r="J221" s="344"/>
      <c r="K221" s="344"/>
      <c r="L221" s="344"/>
      <c r="M221" s="344"/>
      <c r="N221" s="344"/>
      <c r="O221" s="344"/>
      <c r="P221" s="344"/>
      <c r="Q221" s="344"/>
      <c r="R221" s="344"/>
      <c r="S221" s="344"/>
      <c r="T221" s="344"/>
      <c r="U221" s="344"/>
      <c r="V221" s="344"/>
      <c r="W221" s="344"/>
      <c r="X221" s="344"/>
      <c r="Y221" s="344"/>
      <c r="Z221" s="344"/>
      <c r="AA221" s="344"/>
      <c r="AB221" s="344"/>
      <c r="AC221" s="344"/>
      <c r="AD221" s="344"/>
      <c r="AE221" s="344"/>
      <c r="AF221" s="344"/>
      <c r="AG221" s="344"/>
      <c r="AH221" s="344"/>
      <c r="AI221" s="344"/>
      <c r="AJ221" s="344"/>
      <c r="AK221" s="344"/>
      <c r="AL221" s="344"/>
      <c r="AM221" s="453"/>
      <c r="AN221" s="344"/>
      <c r="AO221" s="344"/>
    </row>
    <row r="222" spans="3:41" ht="12.75">
      <c r="C222" s="344"/>
      <c r="D222" s="344"/>
      <c r="E222" s="344"/>
      <c r="F222" s="344"/>
      <c r="G222" s="344"/>
      <c r="H222" s="344"/>
      <c r="I222" s="344"/>
      <c r="J222" s="344"/>
      <c r="K222" s="344"/>
      <c r="L222" s="344"/>
      <c r="M222" s="344"/>
      <c r="N222" s="344"/>
      <c r="O222" s="344"/>
      <c r="P222" s="344"/>
      <c r="Q222" s="344"/>
      <c r="R222" s="344"/>
      <c r="S222" s="344"/>
      <c r="T222" s="344"/>
      <c r="U222" s="344"/>
      <c r="V222" s="344"/>
      <c r="W222" s="344"/>
      <c r="X222" s="344"/>
      <c r="Y222" s="344"/>
      <c r="Z222" s="344"/>
      <c r="AA222" s="344"/>
      <c r="AB222" s="344"/>
      <c r="AC222" s="344"/>
      <c r="AD222" s="344"/>
      <c r="AE222" s="344"/>
      <c r="AF222" s="344"/>
      <c r="AG222" s="344"/>
      <c r="AH222" s="344"/>
      <c r="AI222" s="344"/>
      <c r="AJ222" s="344"/>
      <c r="AK222" s="344"/>
      <c r="AL222" s="344"/>
      <c r="AM222" s="453"/>
      <c r="AN222" s="344"/>
      <c r="AO222" s="344"/>
    </row>
    <row r="223" spans="3:41" ht="12.75">
      <c r="C223" s="344"/>
      <c r="D223" s="344"/>
      <c r="E223" s="344"/>
      <c r="F223" s="344"/>
      <c r="G223" s="344"/>
      <c r="H223" s="344"/>
      <c r="I223" s="344"/>
      <c r="J223" s="344"/>
      <c r="K223" s="344"/>
      <c r="L223" s="344"/>
      <c r="M223" s="344"/>
      <c r="N223" s="344"/>
      <c r="O223" s="344"/>
      <c r="P223" s="344"/>
      <c r="Q223" s="344"/>
      <c r="R223" s="344"/>
      <c r="S223" s="344"/>
      <c r="T223" s="344"/>
      <c r="U223" s="344"/>
      <c r="V223" s="344"/>
      <c r="W223" s="344"/>
      <c r="X223" s="344"/>
      <c r="Y223" s="344"/>
      <c r="Z223" s="344"/>
      <c r="AA223" s="344"/>
      <c r="AB223" s="344"/>
      <c r="AC223" s="344"/>
      <c r="AD223" s="344"/>
      <c r="AE223" s="344"/>
      <c r="AF223" s="344"/>
      <c r="AG223" s="344"/>
      <c r="AH223" s="344"/>
      <c r="AI223" s="344"/>
      <c r="AJ223" s="344"/>
      <c r="AK223" s="344"/>
      <c r="AL223" s="344"/>
      <c r="AM223" s="453"/>
      <c r="AN223" s="344"/>
      <c r="AO223" s="344"/>
    </row>
    <row r="224" spans="3:41" ht="12.75">
      <c r="C224" s="344"/>
      <c r="D224" s="344"/>
      <c r="E224" s="344"/>
      <c r="F224" s="344"/>
      <c r="G224" s="344"/>
      <c r="H224" s="451"/>
      <c r="I224" s="452"/>
      <c r="J224" s="453"/>
      <c r="K224" s="453"/>
      <c r="L224" s="453"/>
      <c r="M224" s="453">
        <f>100%/7</f>
        <v>0.14285714285714285</v>
      </c>
      <c r="N224" s="453">
        <f>M224/2</f>
        <v>0.07142857142857142</v>
      </c>
      <c r="O224" s="453"/>
      <c r="P224" s="453"/>
      <c r="Q224" s="453"/>
      <c r="R224" s="453"/>
      <c r="S224" s="453"/>
      <c r="T224" s="453"/>
      <c r="U224" s="453"/>
      <c r="V224" s="453"/>
      <c r="W224" s="453"/>
      <c r="X224" s="453"/>
      <c r="Y224" s="453"/>
      <c r="Z224" s="453"/>
      <c r="AA224" s="453"/>
      <c r="AB224" s="453"/>
      <c r="AC224" s="453"/>
      <c r="AD224" s="453"/>
      <c r="AE224" s="344"/>
      <c r="AF224" s="344"/>
      <c r="AG224" s="344"/>
      <c r="AH224" s="344"/>
      <c r="AI224" s="344"/>
      <c r="AJ224" s="344"/>
      <c r="AK224" s="344"/>
      <c r="AL224" s="344"/>
      <c r="AM224" s="453"/>
      <c r="AN224" s="344"/>
      <c r="AO224" s="344"/>
    </row>
    <row r="225" spans="3:41" ht="12.75">
      <c r="C225" s="344"/>
      <c r="D225" s="344" t="s">
        <v>721</v>
      </c>
      <c r="E225" s="344"/>
      <c r="F225" s="344"/>
      <c r="G225" s="344"/>
      <c r="H225" s="344">
        <f aca="true" t="shared" si="127" ref="H225:H255">H224+1</f>
        <v>1</v>
      </c>
      <c r="I225" s="452">
        <f aca="true" t="shared" si="128" ref="I225:I255">SUM(J225:AO225)</f>
        <v>1.00002</v>
      </c>
      <c r="J225" s="453"/>
      <c r="K225" s="453">
        <v>0.07143</v>
      </c>
      <c r="L225" s="453">
        <v>0.14286</v>
      </c>
      <c r="M225" s="453">
        <f>L225</f>
        <v>0.14286</v>
      </c>
      <c r="N225" s="453">
        <f>M225</f>
        <v>0.14286</v>
      </c>
      <c r="O225" s="453">
        <f>N225</f>
        <v>0.14286</v>
      </c>
      <c r="P225" s="453">
        <f>O225</f>
        <v>0.14286</v>
      </c>
      <c r="Q225" s="453">
        <f>P225</f>
        <v>0.14286</v>
      </c>
      <c r="R225" s="453">
        <v>0.07143</v>
      </c>
      <c r="S225" s="453"/>
      <c r="T225" s="453"/>
      <c r="U225" s="453"/>
      <c r="V225" s="453"/>
      <c r="W225" s="453"/>
      <c r="X225" s="453"/>
      <c r="Y225" s="453"/>
      <c r="Z225" s="453"/>
      <c r="AA225" s="453"/>
      <c r="AB225" s="453"/>
      <c r="AC225" s="453"/>
      <c r="AD225" s="453"/>
      <c r="AE225" s="453"/>
      <c r="AF225" s="344"/>
      <c r="AG225" s="344"/>
      <c r="AH225" s="344"/>
      <c r="AI225" s="344"/>
      <c r="AJ225" s="344"/>
      <c r="AK225" s="344"/>
      <c r="AL225" s="344"/>
      <c r="AM225" s="453"/>
      <c r="AN225" s="344"/>
      <c r="AO225" s="344"/>
    </row>
    <row r="226" spans="3:41" ht="12.75">
      <c r="C226" s="344"/>
      <c r="D226" s="344"/>
      <c r="E226" s="344"/>
      <c r="F226" s="344"/>
      <c r="G226" s="344"/>
      <c r="H226" s="344">
        <f t="shared" si="127"/>
        <v>2</v>
      </c>
      <c r="I226" s="452">
        <f t="shared" si="128"/>
        <v>1.00002</v>
      </c>
      <c r="J226" s="453"/>
      <c r="K226" s="453"/>
      <c r="L226" s="453">
        <v>0.07143</v>
      </c>
      <c r="M226" s="453">
        <v>0.14286</v>
      </c>
      <c r="N226" s="453">
        <f>M226</f>
        <v>0.14286</v>
      </c>
      <c r="O226" s="453">
        <f>N226</f>
        <v>0.14286</v>
      </c>
      <c r="P226" s="453">
        <f>O226</f>
        <v>0.14286</v>
      </c>
      <c r="Q226" s="453">
        <f>P226</f>
        <v>0.14286</v>
      </c>
      <c r="R226" s="453">
        <f>Q226</f>
        <v>0.14286</v>
      </c>
      <c r="S226" s="453">
        <v>0.07143</v>
      </c>
      <c r="T226" s="453"/>
      <c r="U226" s="453"/>
      <c r="V226" s="453"/>
      <c r="W226" s="453"/>
      <c r="X226" s="453"/>
      <c r="Y226" s="453"/>
      <c r="Z226" s="453"/>
      <c r="AA226" s="453"/>
      <c r="AB226" s="453"/>
      <c r="AC226" s="453"/>
      <c r="AD226" s="453"/>
      <c r="AE226" s="453"/>
      <c r="AF226" s="453"/>
      <c r="AG226" s="344"/>
      <c r="AH226" s="344"/>
      <c r="AI226" s="344"/>
      <c r="AJ226" s="344"/>
      <c r="AK226" s="344"/>
      <c r="AL226" s="344"/>
      <c r="AM226" s="453"/>
      <c r="AN226" s="344"/>
      <c r="AO226" s="344"/>
    </row>
    <row r="227" spans="3:41" ht="12.75">
      <c r="C227" s="344"/>
      <c r="D227" s="344"/>
      <c r="E227" s="344"/>
      <c r="F227" s="344"/>
      <c r="G227" s="344"/>
      <c r="H227" s="344">
        <f t="shared" si="127"/>
        <v>3</v>
      </c>
      <c r="I227" s="452">
        <f t="shared" si="128"/>
        <v>1.00002</v>
      </c>
      <c r="J227" s="453"/>
      <c r="K227" s="453"/>
      <c r="L227" s="453"/>
      <c r="M227" s="453">
        <v>0.07143</v>
      </c>
      <c r="N227" s="453">
        <v>0.14286</v>
      </c>
      <c r="O227" s="453">
        <f>N227</f>
        <v>0.14286</v>
      </c>
      <c r="P227" s="453">
        <f>O227</f>
        <v>0.14286</v>
      </c>
      <c r="Q227" s="453">
        <f>P227</f>
        <v>0.14286</v>
      </c>
      <c r="R227" s="453">
        <f>Q227</f>
        <v>0.14286</v>
      </c>
      <c r="S227" s="453">
        <f>R227</f>
        <v>0.14286</v>
      </c>
      <c r="T227" s="453">
        <v>0.07143</v>
      </c>
      <c r="U227" s="453"/>
      <c r="V227" s="453"/>
      <c r="W227" s="453"/>
      <c r="X227" s="453"/>
      <c r="Y227" s="453"/>
      <c r="Z227" s="453"/>
      <c r="AA227" s="453"/>
      <c r="AB227" s="453"/>
      <c r="AC227" s="453"/>
      <c r="AD227" s="453"/>
      <c r="AE227" s="453"/>
      <c r="AF227" s="453"/>
      <c r="AG227" s="453"/>
      <c r="AH227" s="344"/>
      <c r="AI227" s="344"/>
      <c r="AJ227" s="344"/>
      <c r="AK227" s="344"/>
      <c r="AL227" s="344"/>
      <c r="AM227" s="453"/>
      <c r="AN227" s="344"/>
      <c r="AO227" s="344"/>
    </row>
    <row r="228" spans="3:41" ht="12.75">
      <c r="C228" s="344"/>
      <c r="D228" s="344"/>
      <c r="E228" s="344"/>
      <c r="F228" s="344"/>
      <c r="G228" s="344"/>
      <c r="H228" s="344">
        <f t="shared" si="127"/>
        <v>4</v>
      </c>
      <c r="I228" s="452">
        <f t="shared" si="128"/>
        <v>1.00002</v>
      </c>
      <c r="J228" s="453"/>
      <c r="K228" s="453"/>
      <c r="L228" s="453"/>
      <c r="M228" s="453"/>
      <c r="N228" s="453">
        <v>0.07143</v>
      </c>
      <c r="O228" s="453">
        <v>0.14286</v>
      </c>
      <c r="P228" s="453">
        <f>O228</f>
        <v>0.14286</v>
      </c>
      <c r="Q228" s="453">
        <f>P228</f>
        <v>0.14286</v>
      </c>
      <c r="R228" s="453">
        <f>Q228</f>
        <v>0.14286</v>
      </c>
      <c r="S228" s="453">
        <f>R228</f>
        <v>0.14286</v>
      </c>
      <c r="T228" s="453">
        <f>S228</f>
        <v>0.14286</v>
      </c>
      <c r="U228" s="453">
        <v>0.07143</v>
      </c>
      <c r="V228" s="453"/>
      <c r="W228" s="453"/>
      <c r="X228" s="453"/>
      <c r="Y228" s="453"/>
      <c r="Z228" s="453"/>
      <c r="AA228" s="453"/>
      <c r="AB228" s="453"/>
      <c r="AC228" s="453"/>
      <c r="AD228" s="453"/>
      <c r="AE228" s="453"/>
      <c r="AF228" s="453"/>
      <c r="AG228" s="453"/>
      <c r="AH228" s="453"/>
      <c r="AI228" s="344"/>
      <c r="AJ228" s="344"/>
      <c r="AK228" s="344"/>
      <c r="AL228" s="344"/>
      <c r="AM228" s="453"/>
      <c r="AN228" s="344"/>
      <c r="AO228" s="344"/>
    </row>
    <row r="229" spans="3:41" ht="12.75">
      <c r="C229" s="344"/>
      <c r="D229" s="344"/>
      <c r="E229" s="344"/>
      <c r="F229" s="344"/>
      <c r="G229" s="344"/>
      <c r="H229" s="344">
        <f t="shared" si="127"/>
        <v>5</v>
      </c>
      <c r="I229" s="452">
        <f t="shared" si="128"/>
        <v>1.00002</v>
      </c>
      <c r="J229" s="453"/>
      <c r="K229" s="453"/>
      <c r="L229" s="453"/>
      <c r="M229" s="453"/>
      <c r="N229" s="453"/>
      <c r="O229" s="453">
        <v>0.07143</v>
      </c>
      <c r="P229" s="453">
        <v>0.14286</v>
      </c>
      <c r="Q229" s="453">
        <f>P229</f>
        <v>0.14286</v>
      </c>
      <c r="R229" s="453">
        <f>Q229</f>
        <v>0.14286</v>
      </c>
      <c r="S229" s="453">
        <f>R229</f>
        <v>0.14286</v>
      </c>
      <c r="T229" s="453">
        <f>S229</f>
        <v>0.14286</v>
      </c>
      <c r="U229" s="453">
        <f>T229</f>
        <v>0.14286</v>
      </c>
      <c r="V229" s="453">
        <v>0.07143</v>
      </c>
      <c r="W229" s="453"/>
      <c r="X229" s="453"/>
      <c r="Y229" s="453"/>
      <c r="Z229" s="453"/>
      <c r="AA229" s="453"/>
      <c r="AB229" s="453"/>
      <c r="AC229" s="453"/>
      <c r="AD229" s="453"/>
      <c r="AE229" s="453"/>
      <c r="AF229" s="453"/>
      <c r="AG229" s="453"/>
      <c r="AH229" s="453"/>
      <c r="AI229" s="453"/>
      <c r="AJ229" s="344"/>
      <c r="AK229" s="344"/>
      <c r="AL229" s="344"/>
      <c r="AM229" s="453"/>
      <c r="AN229" s="344"/>
      <c r="AO229" s="344"/>
    </row>
    <row r="230" spans="3:41" ht="12.75">
      <c r="C230" s="344"/>
      <c r="D230" s="344"/>
      <c r="E230" s="344"/>
      <c r="F230" s="344"/>
      <c r="G230" s="344"/>
      <c r="H230" s="344">
        <f t="shared" si="127"/>
        <v>6</v>
      </c>
      <c r="I230" s="452">
        <f t="shared" si="128"/>
        <v>1.00002</v>
      </c>
      <c r="J230" s="453"/>
      <c r="K230" s="453"/>
      <c r="L230" s="453"/>
      <c r="M230" s="453"/>
      <c r="N230" s="453"/>
      <c r="O230" s="453"/>
      <c r="P230" s="453">
        <v>0.07143</v>
      </c>
      <c r="Q230" s="453">
        <v>0.14286</v>
      </c>
      <c r="R230" s="453">
        <f>Q230</f>
        <v>0.14286</v>
      </c>
      <c r="S230" s="453">
        <f>R230</f>
        <v>0.14286</v>
      </c>
      <c r="T230" s="453">
        <f>S230</f>
        <v>0.14286</v>
      </c>
      <c r="U230" s="453">
        <f>T230</f>
        <v>0.14286</v>
      </c>
      <c r="V230" s="453">
        <f>U230</f>
        <v>0.14286</v>
      </c>
      <c r="W230" s="453">
        <v>0.07143</v>
      </c>
      <c r="X230" s="453"/>
      <c r="Y230" s="453"/>
      <c r="Z230" s="453"/>
      <c r="AA230" s="453"/>
      <c r="AB230" s="453"/>
      <c r="AC230" s="453"/>
      <c r="AD230" s="453"/>
      <c r="AE230" s="453"/>
      <c r="AF230" s="453"/>
      <c r="AG230" s="453"/>
      <c r="AH230" s="453"/>
      <c r="AI230" s="453"/>
      <c r="AJ230" s="453"/>
      <c r="AK230" s="344"/>
      <c r="AL230" s="344"/>
      <c r="AM230" s="453"/>
      <c r="AN230" s="344"/>
      <c r="AO230" s="344"/>
    </row>
    <row r="231" spans="3:41" ht="12.75">
      <c r="C231" s="344"/>
      <c r="D231" s="344"/>
      <c r="E231" s="344"/>
      <c r="F231" s="344"/>
      <c r="G231" s="344"/>
      <c r="H231" s="344">
        <f t="shared" si="127"/>
        <v>7</v>
      </c>
      <c r="I231" s="452">
        <f t="shared" si="128"/>
        <v>1.00002</v>
      </c>
      <c r="J231" s="453"/>
      <c r="K231" s="453"/>
      <c r="L231" s="453"/>
      <c r="M231" s="453"/>
      <c r="N231" s="453"/>
      <c r="O231" s="453"/>
      <c r="P231" s="453"/>
      <c r="Q231" s="453">
        <v>0.07143</v>
      </c>
      <c r="R231" s="453">
        <v>0.14286</v>
      </c>
      <c r="S231" s="453">
        <f>R231</f>
        <v>0.14286</v>
      </c>
      <c r="T231" s="453">
        <f>S231</f>
        <v>0.14286</v>
      </c>
      <c r="U231" s="453">
        <f>T231</f>
        <v>0.14286</v>
      </c>
      <c r="V231" s="453">
        <f>U231</f>
        <v>0.14286</v>
      </c>
      <c r="W231" s="453">
        <f>V231</f>
        <v>0.14286</v>
      </c>
      <c r="X231" s="453">
        <v>0.07143</v>
      </c>
      <c r="Y231" s="453"/>
      <c r="Z231" s="453"/>
      <c r="AA231" s="453"/>
      <c r="AB231" s="453"/>
      <c r="AC231" s="453"/>
      <c r="AD231" s="453"/>
      <c r="AE231" s="453"/>
      <c r="AF231" s="453"/>
      <c r="AG231" s="453"/>
      <c r="AH231" s="453"/>
      <c r="AI231" s="453"/>
      <c r="AJ231" s="453"/>
      <c r="AK231" s="453"/>
      <c r="AL231" s="344"/>
      <c r="AM231" s="453"/>
      <c r="AN231" s="344"/>
      <c r="AO231" s="344"/>
    </row>
    <row r="232" spans="3:41" ht="12.75">
      <c r="C232" s="344"/>
      <c r="D232" s="344"/>
      <c r="E232" s="344"/>
      <c r="F232" s="344"/>
      <c r="G232" s="344"/>
      <c r="H232" s="344">
        <f t="shared" si="127"/>
        <v>8</v>
      </c>
      <c r="I232" s="452">
        <f t="shared" si="128"/>
        <v>1.00002</v>
      </c>
      <c r="J232" s="453"/>
      <c r="K232" s="453"/>
      <c r="L232" s="453"/>
      <c r="M232" s="453"/>
      <c r="N232" s="453"/>
      <c r="O232" s="453"/>
      <c r="P232" s="453"/>
      <c r="Q232" s="453"/>
      <c r="R232" s="453">
        <v>0.07143</v>
      </c>
      <c r="S232" s="453">
        <v>0.14286</v>
      </c>
      <c r="T232" s="453">
        <f>S232</f>
        <v>0.14286</v>
      </c>
      <c r="U232" s="453">
        <f>T232</f>
        <v>0.14286</v>
      </c>
      <c r="V232" s="453">
        <f>U232</f>
        <v>0.14286</v>
      </c>
      <c r="W232" s="453">
        <f>V232</f>
        <v>0.14286</v>
      </c>
      <c r="X232" s="453">
        <f>W232</f>
        <v>0.14286</v>
      </c>
      <c r="Y232" s="453">
        <v>0.07143</v>
      </c>
      <c r="Z232" s="453"/>
      <c r="AA232" s="453"/>
      <c r="AB232" s="453"/>
      <c r="AC232" s="453"/>
      <c r="AD232" s="453"/>
      <c r="AE232" s="453"/>
      <c r="AF232" s="453"/>
      <c r="AG232" s="453"/>
      <c r="AH232" s="453"/>
      <c r="AI232" s="453"/>
      <c r="AJ232" s="453"/>
      <c r="AK232" s="453"/>
      <c r="AL232" s="453"/>
      <c r="AM232" s="453"/>
      <c r="AN232" s="344"/>
      <c r="AO232" s="344"/>
    </row>
    <row r="233" spans="3:41" ht="12.75">
      <c r="C233" s="344"/>
      <c r="D233" s="344"/>
      <c r="E233" s="344"/>
      <c r="F233" s="344"/>
      <c r="G233" s="344"/>
      <c r="H233" s="344">
        <f t="shared" si="127"/>
        <v>9</v>
      </c>
      <c r="I233" s="452">
        <f t="shared" si="128"/>
        <v>1.00002</v>
      </c>
      <c r="J233" s="453"/>
      <c r="K233" s="453"/>
      <c r="L233" s="453"/>
      <c r="M233" s="453"/>
      <c r="N233" s="453"/>
      <c r="O233" s="453"/>
      <c r="P233" s="453"/>
      <c r="Q233" s="453"/>
      <c r="R233" s="453"/>
      <c r="S233" s="453">
        <v>0.07143</v>
      </c>
      <c r="T233" s="453">
        <v>0.14286</v>
      </c>
      <c r="U233" s="453">
        <f>T233</f>
        <v>0.14286</v>
      </c>
      <c r="V233" s="453">
        <f>U233</f>
        <v>0.14286</v>
      </c>
      <c r="W233" s="453">
        <f>V233</f>
        <v>0.14286</v>
      </c>
      <c r="X233" s="453">
        <f>W233</f>
        <v>0.14286</v>
      </c>
      <c r="Y233" s="453">
        <f>X233</f>
        <v>0.14286</v>
      </c>
      <c r="Z233" s="453">
        <v>0.07143</v>
      </c>
      <c r="AA233" s="453"/>
      <c r="AB233" s="453"/>
      <c r="AC233" s="453"/>
      <c r="AD233" s="453"/>
      <c r="AE233" s="453"/>
      <c r="AF233" s="453"/>
      <c r="AG233" s="453"/>
      <c r="AH233" s="453"/>
      <c r="AI233" s="453"/>
      <c r="AJ233" s="453"/>
      <c r="AK233" s="453"/>
      <c r="AL233" s="453"/>
      <c r="AM233" s="453"/>
      <c r="AN233" s="344"/>
      <c r="AO233" s="344"/>
    </row>
    <row r="234" spans="3:41" ht="12.75">
      <c r="C234" s="344"/>
      <c r="D234" s="344"/>
      <c r="E234" s="344"/>
      <c r="F234" s="344"/>
      <c r="G234" s="344"/>
      <c r="H234" s="344">
        <f t="shared" si="127"/>
        <v>10</v>
      </c>
      <c r="I234" s="452">
        <f t="shared" si="128"/>
        <v>1.00002</v>
      </c>
      <c r="J234" s="453"/>
      <c r="K234" s="453"/>
      <c r="L234" s="453"/>
      <c r="M234" s="453"/>
      <c r="N234" s="453"/>
      <c r="O234" s="453"/>
      <c r="P234" s="453"/>
      <c r="Q234" s="453"/>
      <c r="R234" s="453"/>
      <c r="S234" s="453"/>
      <c r="T234" s="453">
        <v>0.07143</v>
      </c>
      <c r="U234" s="453">
        <v>0.14286</v>
      </c>
      <c r="V234" s="453">
        <f>U234</f>
        <v>0.14286</v>
      </c>
      <c r="W234" s="453">
        <f>V234</f>
        <v>0.14286</v>
      </c>
      <c r="X234" s="453">
        <f>W234</f>
        <v>0.14286</v>
      </c>
      <c r="Y234" s="453">
        <f>X234</f>
        <v>0.14286</v>
      </c>
      <c r="Z234" s="453">
        <f>Y234</f>
        <v>0.14286</v>
      </c>
      <c r="AA234" s="453">
        <v>0.07143</v>
      </c>
      <c r="AB234" s="453"/>
      <c r="AC234" s="453"/>
      <c r="AD234" s="453"/>
      <c r="AE234" s="453"/>
      <c r="AF234" s="453"/>
      <c r="AG234" s="453"/>
      <c r="AH234" s="453"/>
      <c r="AI234" s="453"/>
      <c r="AJ234" s="453"/>
      <c r="AK234" s="453"/>
      <c r="AL234" s="453"/>
      <c r="AM234" s="453"/>
      <c r="AN234" s="453"/>
      <c r="AO234" s="344"/>
    </row>
    <row r="235" spans="3:41" ht="12.75">
      <c r="C235" s="344"/>
      <c r="D235" s="344"/>
      <c r="E235" s="344"/>
      <c r="F235" s="344"/>
      <c r="G235" s="344"/>
      <c r="H235" s="344">
        <f t="shared" si="127"/>
        <v>11</v>
      </c>
      <c r="I235" s="452">
        <f t="shared" si="128"/>
        <v>1.00002</v>
      </c>
      <c r="J235" s="453"/>
      <c r="K235" s="453"/>
      <c r="L235" s="453"/>
      <c r="M235" s="453"/>
      <c r="N235" s="453"/>
      <c r="O235" s="453"/>
      <c r="P235" s="453"/>
      <c r="Q235" s="453"/>
      <c r="R235" s="453"/>
      <c r="S235" s="453"/>
      <c r="T235" s="453"/>
      <c r="U235" s="453">
        <v>0.07143</v>
      </c>
      <c r="V235" s="453">
        <v>0.14286</v>
      </c>
      <c r="W235" s="453">
        <f>V235</f>
        <v>0.14286</v>
      </c>
      <c r="X235" s="453">
        <f>W235</f>
        <v>0.14286</v>
      </c>
      <c r="Y235" s="453">
        <f>X235</f>
        <v>0.14286</v>
      </c>
      <c r="Z235" s="453">
        <f>Y235</f>
        <v>0.14286</v>
      </c>
      <c r="AA235" s="453">
        <f>Z235</f>
        <v>0.14286</v>
      </c>
      <c r="AB235" s="453">
        <v>0.07143</v>
      </c>
      <c r="AC235" s="453"/>
      <c r="AD235" s="453"/>
      <c r="AE235" s="453"/>
      <c r="AF235" s="453"/>
      <c r="AG235" s="453"/>
      <c r="AH235" s="453"/>
      <c r="AI235" s="453"/>
      <c r="AJ235" s="453"/>
      <c r="AK235" s="453"/>
      <c r="AL235" s="453"/>
      <c r="AM235" s="453"/>
      <c r="AN235" s="453"/>
      <c r="AO235" s="453"/>
    </row>
    <row r="236" spans="3:41" ht="12.75">
      <c r="C236" s="344"/>
      <c r="D236" s="344"/>
      <c r="E236" s="344"/>
      <c r="F236" s="344"/>
      <c r="G236" s="344"/>
      <c r="H236" s="344">
        <f t="shared" si="127"/>
        <v>12</v>
      </c>
      <c r="I236" s="452">
        <f t="shared" si="128"/>
        <v>1.00002</v>
      </c>
      <c r="J236" s="453"/>
      <c r="K236" s="453"/>
      <c r="L236" s="453"/>
      <c r="M236" s="453"/>
      <c r="N236" s="453"/>
      <c r="O236" s="453"/>
      <c r="P236" s="453"/>
      <c r="Q236" s="453"/>
      <c r="R236" s="453"/>
      <c r="S236" s="453"/>
      <c r="T236" s="453"/>
      <c r="U236" s="453"/>
      <c r="V236" s="453">
        <v>0.07143</v>
      </c>
      <c r="W236" s="453">
        <v>0.14286</v>
      </c>
      <c r="X236" s="453">
        <f>W236</f>
        <v>0.14286</v>
      </c>
      <c r="Y236" s="453">
        <f>X236</f>
        <v>0.14286</v>
      </c>
      <c r="Z236" s="453">
        <f>Y236</f>
        <v>0.14286</v>
      </c>
      <c r="AA236" s="453">
        <f>Z236</f>
        <v>0.14286</v>
      </c>
      <c r="AB236" s="453">
        <f>AA236</f>
        <v>0.14286</v>
      </c>
      <c r="AC236" s="453">
        <v>0.07143</v>
      </c>
      <c r="AD236" s="453"/>
      <c r="AE236" s="453"/>
      <c r="AF236" s="453"/>
      <c r="AG236" s="453"/>
      <c r="AH236" s="453"/>
      <c r="AI236" s="453"/>
      <c r="AJ236" s="453"/>
      <c r="AK236" s="453"/>
      <c r="AL236" s="453"/>
      <c r="AM236" s="453"/>
      <c r="AN236" s="453"/>
      <c r="AO236" s="453"/>
    </row>
    <row r="237" spans="3:41" ht="12.75">
      <c r="C237" s="344"/>
      <c r="D237" s="344"/>
      <c r="E237" s="344"/>
      <c r="F237" s="344"/>
      <c r="G237" s="344"/>
      <c r="H237" s="344">
        <f t="shared" si="127"/>
        <v>13</v>
      </c>
      <c r="I237" s="452">
        <f t="shared" si="128"/>
        <v>1.00002</v>
      </c>
      <c r="J237" s="453"/>
      <c r="K237" s="453"/>
      <c r="L237" s="453"/>
      <c r="M237" s="453"/>
      <c r="N237" s="453"/>
      <c r="O237" s="453"/>
      <c r="P237" s="453"/>
      <c r="Q237" s="453"/>
      <c r="R237" s="453"/>
      <c r="S237" s="453"/>
      <c r="T237" s="453"/>
      <c r="U237" s="453"/>
      <c r="V237" s="453"/>
      <c r="W237" s="453">
        <v>0.07143</v>
      </c>
      <c r="X237" s="453">
        <v>0.14286</v>
      </c>
      <c r="Y237" s="453">
        <f>X237</f>
        <v>0.14286</v>
      </c>
      <c r="Z237" s="453">
        <f>Y237</f>
        <v>0.14286</v>
      </c>
      <c r="AA237" s="453">
        <f>Z237</f>
        <v>0.14286</v>
      </c>
      <c r="AB237" s="453">
        <f>AA237</f>
        <v>0.14286</v>
      </c>
      <c r="AC237" s="453">
        <f>AB237</f>
        <v>0.14286</v>
      </c>
      <c r="AD237" s="453">
        <v>0.07143</v>
      </c>
      <c r="AE237" s="453"/>
      <c r="AF237" s="453"/>
      <c r="AG237" s="453"/>
      <c r="AH237" s="453"/>
      <c r="AI237" s="453"/>
      <c r="AJ237" s="453"/>
      <c r="AK237" s="453"/>
      <c r="AL237" s="453"/>
      <c r="AM237" s="453"/>
      <c r="AN237" s="453"/>
      <c r="AO237" s="453"/>
    </row>
    <row r="238" spans="3:41" ht="12.75">
      <c r="C238" s="344"/>
      <c r="D238" s="344"/>
      <c r="E238" s="344"/>
      <c r="F238" s="344"/>
      <c r="G238" s="344"/>
      <c r="H238" s="344">
        <f t="shared" si="127"/>
        <v>14</v>
      </c>
      <c r="I238" s="452">
        <f t="shared" si="128"/>
        <v>1.00002</v>
      </c>
      <c r="J238" s="453"/>
      <c r="K238" s="453"/>
      <c r="L238" s="453"/>
      <c r="M238" s="453"/>
      <c r="N238" s="453"/>
      <c r="O238" s="453"/>
      <c r="P238" s="453"/>
      <c r="Q238" s="453"/>
      <c r="R238" s="453"/>
      <c r="S238" s="453"/>
      <c r="T238" s="453"/>
      <c r="U238" s="453"/>
      <c r="V238" s="453"/>
      <c r="W238" s="453"/>
      <c r="X238" s="453">
        <v>0.07143</v>
      </c>
      <c r="Y238" s="453">
        <v>0.14286</v>
      </c>
      <c r="Z238" s="453">
        <f>Y238</f>
        <v>0.14286</v>
      </c>
      <c r="AA238" s="453">
        <f>Z238</f>
        <v>0.14286</v>
      </c>
      <c r="AB238" s="453">
        <f>AA238</f>
        <v>0.14286</v>
      </c>
      <c r="AC238" s="453">
        <f>AB238</f>
        <v>0.14286</v>
      </c>
      <c r="AD238" s="453">
        <f aca="true" t="shared" si="129" ref="AD238:AH242">AC238</f>
        <v>0.14286</v>
      </c>
      <c r="AE238" s="453">
        <v>0.07143</v>
      </c>
      <c r="AF238" s="453"/>
      <c r="AG238" s="453"/>
      <c r="AH238" s="453"/>
      <c r="AI238" s="453"/>
      <c r="AJ238" s="453"/>
      <c r="AK238" s="453"/>
      <c r="AL238" s="453"/>
      <c r="AM238" s="453"/>
      <c r="AN238" s="453"/>
      <c r="AO238" s="453"/>
    </row>
    <row r="239" spans="3:41" ht="12.75">
      <c r="C239" s="344"/>
      <c r="D239" s="344"/>
      <c r="E239" s="344"/>
      <c r="F239" s="344"/>
      <c r="G239" s="344"/>
      <c r="H239" s="344">
        <f t="shared" si="127"/>
        <v>15</v>
      </c>
      <c r="I239" s="452">
        <f t="shared" si="128"/>
        <v>1.00002</v>
      </c>
      <c r="J239" s="453"/>
      <c r="K239" s="453"/>
      <c r="L239" s="453"/>
      <c r="M239" s="453"/>
      <c r="N239" s="453"/>
      <c r="O239" s="453"/>
      <c r="P239" s="453"/>
      <c r="Q239" s="453"/>
      <c r="R239" s="453"/>
      <c r="S239" s="453"/>
      <c r="T239" s="453"/>
      <c r="U239" s="453"/>
      <c r="V239" s="453"/>
      <c r="W239" s="453"/>
      <c r="X239" s="453"/>
      <c r="Y239" s="453">
        <v>0.07143</v>
      </c>
      <c r="Z239" s="453">
        <v>0.14286</v>
      </c>
      <c r="AA239" s="453">
        <f>Z239</f>
        <v>0.14286</v>
      </c>
      <c r="AB239" s="453">
        <f>AA239</f>
        <v>0.14286</v>
      </c>
      <c r="AC239" s="453">
        <f>AB239</f>
        <v>0.14286</v>
      </c>
      <c r="AD239" s="453">
        <f t="shared" si="129"/>
        <v>0.14286</v>
      </c>
      <c r="AE239" s="453">
        <f t="shared" si="129"/>
        <v>0.14286</v>
      </c>
      <c r="AF239" s="453">
        <v>0.07143</v>
      </c>
      <c r="AG239" s="453"/>
      <c r="AH239" s="453"/>
      <c r="AI239" s="453"/>
      <c r="AJ239" s="453"/>
      <c r="AK239" s="453"/>
      <c r="AL239" s="453"/>
      <c r="AM239" s="453"/>
      <c r="AN239" s="453"/>
      <c r="AO239" s="453"/>
    </row>
    <row r="240" spans="3:41" ht="12.75">
      <c r="C240" s="344"/>
      <c r="D240" s="344"/>
      <c r="E240" s="344"/>
      <c r="F240" s="344"/>
      <c r="G240" s="344"/>
      <c r="H240" s="344">
        <f t="shared" si="127"/>
        <v>16</v>
      </c>
      <c r="I240" s="452">
        <f t="shared" si="128"/>
        <v>1.00002</v>
      </c>
      <c r="J240" s="453"/>
      <c r="K240" s="453"/>
      <c r="L240" s="453"/>
      <c r="M240" s="453"/>
      <c r="N240" s="453"/>
      <c r="O240" s="453"/>
      <c r="P240" s="453"/>
      <c r="Q240" s="453"/>
      <c r="R240" s="453"/>
      <c r="S240" s="453"/>
      <c r="T240" s="453"/>
      <c r="U240" s="453"/>
      <c r="V240" s="453"/>
      <c r="W240" s="453"/>
      <c r="X240" s="453"/>
      <c r="Y240" s="453"/>
      <c r="Z240" s="453">
        <v>0.07143</v>
      </c>
      <c r="AA240" s="453">
        <v>0.14286</v>
      </c>
      <c r="AB240" s="453">
        <f>AA240</f>
        <v>0.14286</v>
      </c>
      <c r="AC240" s="453">
        <f>AB240</f>
        <v>0.14286</v>
      </c>
      <c r="AD240" s="453">
        <f t="shared" si="129"/>
        <v>0.14286</v>
      </c>
      <c r="AE240" s="453">
        <f t="shared" si="129"/>
        <v>0.14286</v>
      </c>
      <c r="AF240" s="453">
        <f t="shared" si="129"/>
        <v>0.14286</v>
      </c>
      <c r="AG240" s="453">
        <v>0.07143</v>
      </c>
      <c r="AH240" s="453"/>
      <c r="AI240" s="453"/>
      <c r="AJ240" s="453"/>
      <c r="AK240" s="453"/>
      <c r="AL240" s="453"/>
      <c r="AM240" s="453"/>
      <c r="AN240" s="453"/>
      <c r="AO240" s="453"/>
    </row>
    <row r="241" spans="3:41" ht="12.75">
      <c r="C241" s="344"/>
      <c r="D241" s="344"/>
      <c r="E241" s="344"/>
      <c r="F241" s="344"/>
      <c r="G241" s="344"/>
      <c r="H241" s="344">
        <f t="shared" si="127"/>
        <v>17</v>
      </c>
      <c r="I241" s="452">
        <f t="shared" si="128"/>
        <v>1.00002</v>
      </c>
      <c r="J241" s="453"/>
      <c r="K241" s="453"/>
      <c r="L241" s="453"/>
      <c r="M241" s="453"/>
      <c r="N241" s="453"/>
      <c r="O241" s="453"/>
      <c r="P241" s="453"/>
      <c r="Q241" s="453"/>
      <c r="R241" s="453"/>
      <c r="S241" s="453"/>
      <c r="T241" s="453"/>
      <c r="U241" s="453"/>
      <c r="V241" s="453"/>
      <c r="W241" s="453"/>
      <c r="X241" s="453"/>
      <c r="Y241" s="453"/>
      <c r="Z241" s="453"/>
      <c r="AA241" s="453">
        <v>0.07143</v>
      </c>
      <c r="AB241" s="453">
        <v>0.14286</v>
      </c>
      <c r="AC241" s="453">
        <f>AB241</f>
        <v>0.14286</v>
      </c>
      <c r="AD241" s="453">
        <f>AC241</f>
        <v>0.14286</v>
      </c>
      <c r="AE241" s="453">
        <f t="shared" si="129"/>
        <v>0.14286</v>
      </c>
      <c r="AF241" s="453">
        <f t="shared" si="129"/>
        <v>0.14286</v>
      </c>
      <c r="AG241" s="453">
        <f t="shared" si="129"/>
        <v>0.14286</v>
      </c>
      <c r="AH241" s="453">
        <v>0.07143</v>
      </c>
      <c r="AI241" s="453"/>
      <c r="AJ241" s="453"/>
      <c r="AK241" s="453"/>
      <c r="AL241" s="453"/>
      <c r="AM241" s="453"/>
      <c r="AN241" s="453"/>
      <c r="AO241" s="453"/>
    </row>
    <row r="242" spans="3:41" ht="12.75">
      <c r="C242" s="344"/>
      <c r="D242" s="344"/>
      <c r="E242" s="344"/>
      <c r="F242" s="344"/>
      <c r="G242" s="344"/>
      <c r="H242" s="344">
        <f t="shared" si="127"/>
        <v>18</v>
      </c>
      <c r="I242" s="452">
        <f t="shared" si="128"/>
        <v>1.00002</v>
      </c>
      <c r="J242" s="453"/>
      <c r="K242" s="453"/>
      <c r="L242" s="453"/>
      <c r="M242" s="453"/>
      <c r="N242" s="453"/>
      <c r="O242" s="453"/>
      <c r="P242" s="453"/>
      <c r="Q242" s="453"/>
      <c r="R242" s="453"/>
      <c r="S242" s="453"/>
      <c r="T242" s="453"/>
      <c r="U242" s="453"/>
      <c r="V242" s="453"/>
      <c r="W242" s="453"/>
      <c r="X242" s="453"/>
      <c r="Y242" s="453"/>
      <c r="Z242" s="453"/>
      <c r="AA242" s="453"/>
      <c r="AB242" s="453">
        <v>0.07143</v>
      </c>
      <c r="AC242" s="453">
        <v>0.14286</v>
      </c>
      <c r="AD242" s="453">
        <f>AC242</f>
        <v>0.14286</v>
      </c>
      <c r="AE242" s="453">
        <f>AD242</f>
        <v>0.14286</v>
      </c>
      <c r="AF242" s="453">
        <f t="shared" si="129"/>
        <v>0.14286</v>
      </c>
      <c r="AG242" s="453">
        <f t="shared" si="129"/>
        <v>0.14286</v>
      </c>
      <c r="AH242" s="453">
        <f t="shared" si="129"/>
        <v>0.14286</v>
      </c>
      <c r="AI242" s="453">
        <v>0.07143</v>
      </c>
      <c r="AJ242" s="453"/>
      <c r="AK242" s="453"/>
      <c r="AL242" s="453"/>
      <c r="AM242" s="453"/>
      <c r="AN242" s="453"/>
      <c r="AO242" s="453"/>
    </row>
    <row r="243" spans="3:41" ht="12.75">
      <c r="C243" s="344"/>
      <c r="D243" s="344"/>
      <c r="E243" s="344"/>
      <c r="F243" s="344"/>
      <c r="G243" s="344"/>
      <c r="H243" s="344">
        <f t="shared" si="127"/>
        <v>19</v>
      </c>
      <c r="I243" s="452">
        <f t="shared" si="128"/>
        <v>0.9999999999999998</v>
      </c>
      <c r="J243" s="453"/>
      <c r="K243" s="453"/>
      <c r="L243" s="453"/>
      <c r="M243" s="453"/>
      <c r="N243" s="453"/>
      <c r="O243" s="453"/>
      <c r="P243" s="453"/>
      <c r="Q243" s="453"/>
      <c r="R243" s="453"/>
      <c r="S243" s="453"/>
      <c r="T243" s="453"/>
      <c r="U243" s="453"/>
      <c r="V243" s="453"/>
      <c r="W243" s="453"/>
      <c r="X243" s="453"/>
      <c r="Y243" s="453"/>
      <c r="Z243" s="453"/>
      <c r="AA243" s="453"/>
      <c r="AB243" s="453"/>
      <c r="AC243" s="712">
        <f>100%/7</f>
        <v>0.14285714285714285</v>
      </c>
      <c r="AD243" s="712">
        <f>AC243</f>
        <v>0.14285714285714285</v>
      </c>
      <c r="AE243" s="712">
        <f>AD243</f>
        <v>0.14285714285714285</v>
      </c>
      <c r="AF243" s="712">
        <f>AE243</f>
        <v>0.14285714285714285</v>
      </c>
      <c r="AG243" s="712">
        <f>AF243</f>
        <v>0.14285714285714285</v>
      </c>
      <c r="AH243" s="712">
        <f>AG243</f>
        <v>0.14285714285714285</v>
      </c>
      <c r="AI243" s="712">
        <f>AH243</f>
        <v>0.14285714285714285</v>
      </c>
      <c r="AJ243" s="453"/>
      <c r="AK243" s="453"/>
      <c r="AL243" s="453"/>
      <c r="AM243" s="453"/>
      <c r="AN243" s="453"/>
      <c r="AO243" s="453"/>
    </row>
    <row r="244" spans="3:41" ht="12.75">
      <c r="C244" s="344"/>
      <c r="D244" s="344"/>
      <c r="E244" s="344"/>
      <c r="F244" s="344"/>
      <c r="G244" s="344"/>
      <c r="H244" s="344">
        <f t="shared" si="127"/>
        <v>20</v>
      </c>
      <c r="I244" s="452">
        <f t="shared" si="128"/>
        <v>0.9999999999999999</v>
      </c>
      <c r="J244" s="453"/>
      <c r="K244" s="453"/>
      <c r="L244" s="453"/>
      <c r="M244" s="453"/>
      <c r="N244" s="453"/>
      <c r="O244" s="453"/>
      <c r="P244" s="453"/>
      <c r="Q244" s="453"/>
      <c r="R244" s="453"/>
      <c r="S244" s="453"/>
      <c r="T244" s="453"/>
      <c r="U244" s="453"/>
      <c r="V244" s="453"/>
      <c r="W244" s="453"/>
      <c r="X244" s="453"/>
      <c r="Y244" s="453"/>
      <c r="Z244" s="453"/>
      <c r="AA244" s="453"/>
      <c r="AB244" s="453"/>
      <c r="AC244" s="712"/>
      <c r="AD244" s="712">
        <f aca="true" t="shared" si="130" ref="AD244:AI244">100%/6</f>
        <v>0.16666666666666666</v>
      </c>
      <c r="AE244" s="712">
        <f t="shared" si="130"/>
        <v>0.16666666666666666</v>
      </c>
      <c r="AF244" s="712">
        <f t="shared" si="130"/>
        <v>0.16666666666666666</v>
      </c>
      <c r="AG244" s="712">
        <f t="shared" si="130"/>
        <v>0.16666666666666666</v>
      </c>
      <c r="AH244" s="712">
        <f t="shared" si="130"/>
        <v>0.16666666666666666</v>
      </c>
      <c r="AI244" s="712">
        <f t="shared" si="130"/>
        <v>0.16666666666666666</v>
      </c>
      <c r="AJ244" s="453"/>
      <c r="AK244" s="453"/>
      <c r="AL244" s="453"/>
      <c r="AM244" s="453"/>
      <c r="AN244" s="453"/>
      <c r="AO244" s="453"/>
    </row>
    <row r="245" spans="3:41" ht="12.75">
      <c r="C245" s="344"/>
      <c r="D245" s="344"/>
      <c r="E245" s="344"/>
      <c r="F245" s="344"/>
      <c r="G245" s="344"/>
      <c r="H245" s="344">
        <f t="shared" si="127"/>
        <v>21</v>
      </c>
      <c r="I245" s="452">
        <f t="shared" si="128"/>
        <v>1</v>
      </c>
      <c r="J245" s="344"/>
      <c r="K245" s="453"/>
      <c r="L245" s="453"/>
      <c r="M245" s="453"/>
      <c r="N245" s="453"/>
      <c r="O245" s="453"/>
      <c r="P245" s="453"/>
      <c r="Q245" s="453"/>
      <c r="R245" s="453"/>
      <c r="S245" s="453"/>
      <c r="T245" s="453"/>
      <c r="U245" s="453"/>
      <c r="V245" s="453"/>
      <c r="W245" s="453"/>
      <c r="X245" s="453"/>
      <c r="Y245" s="453"/>
      <c r="Z245" s="453"/>
      <c r="AA245" s="453"/>
      <c r="AB245" s="453"/>
      <c r="AC245" s="712"/>
      <c r="AD245" s="712"/>
      <c r="AE245" s="712">
        <f>100%/5</f>
        <v>0.2</v>
      </c>
      <c r="AF245" s="712">
        <f>100%/5</f>
        <v>0.2</v>
      </c>
      <c r="AG245" s="712">
        <f>100%/5</f>
        <v>0.2</v>
      </c>
      <c r="AH245" s="712">
        <f>100%/5</f>
        <v>0.2</v>
      </c>
      <c r="AI245" s="712">
        <f>100%/5</f>
        <v>0.2</v>
      </c>
      <c r="AJ245" s="453"/>
      <c r="AK245" s="453"/>
      <c r="AL245" s="453"/>
      <c r="AM245" s="453"/>
      <c r="AN245" s="453"/>
      <c r="AO245" s="453"/>
    </row>
    <row r="246" spans="3:41" ht="12.75">
      <c r="C246" s="344"/>
      <c r="D246" s="344"/>
      <c r="E246" s="344"/>
      <c r="F246" s="344"/>
      <c r="G246" s="344"/>
      <c r="H246" s="344">
        <f t="shared" si="127"/>
        <v>22</v>
      </c>
      <c r="I246" s="452">
        <f t="shared" si="128"/>
        <v>1</v>
      </c>
      <c r="J246" s="344"/>
      <c r="K246" s="344"/>
      <c r="L246" s="453"/>
      <c r="M246" s="453"/>
      <c r="N246" s="453"/>
      <c r="O246" s="453"/>
      <c r="P246" s="453"/>
      <c r="Q246" s="453"/>
      <c r="R246" s="453"/>
      <c r="S246" s="453"/>
      <c r="T246" s="453"/>
      <c r="U246" s="453"/>
      <c r="V246" s="453"/>
      <c r="W246" s="453"/>
      <c r="X246" s="453"/>
      <c r="Y246" s="453"/>
      <c r="Z246" s="453"/>
      <c r="AA246" s="453"/>
      <c r="AB246" s="453"/>
      <c r="AC246" s="712"/>
      <c r="AD246" s="712"/>
      <c r="AE246" s="712"/>
      <c r="AF246" s="712">
        <f>100%/4</f>
        <v>0.25</v>
      </c>
      <c r="AG246" s="712">
        <f>100%/4</f>
        <v>0.25</v>
      </c>
      <c r="AH246" s="712">
        <f>100%/4</f>
        <v>0.25</v>
      </c>
      <c r="AI246" s="712">
        <f>100%/4</f>
        <v>0.25</v>
      </c>
      <c r="AJ246" s="453"/>
      <c r="AK246" s="453"/>
      <c r="AL246" s="453"/>
      <c r="AM246" s="453"/>
      <c r="AN246" s="453"/>
      <c r="AO246" s="453"/>
    </row>
    <row r="247" spans="3:41" ht="12.75">
      <c r="C247" s="344"/>
      <c r="D247" s="344"/>
      <c r="E247" s="344"/>
      <c r="F247" s="344"/>
      <c r="G247" s="344"/>
      <c r="H247" s="344">
        <f t="shared" si="127"/>
        <v>23</v>
      </c>
      <c r="I247" s="452">
        <f t="shared" si="128"/>
        <v>1</v>
      </c>
      <c r="J247" s="344"/>
      <c r="K247" s="344"/>
      <c r="L247" s="344"/>
      <c r="M247" s="453"/>
      <c r="N247" s="453"/>
      <c r="O247" s="453"/>
      <c r="P247" s="453"/>
      <c r="Q247" s="453"/>
      <c r="R247" s="453"/>
      <c r="S247" s="453"/>
      <c r="T247" s="453"/>
      <c r="U247" s="453"/>
      <c r="V247" s="453"/>
      <c r="W247" s="453"/>
      <c r="X247" s="453"/>
      <c r="Y247" s="453"/>
      <c r="Z247" s="453"/>
      <c r="AA247" s="453"/>
      <c r="AB247" s="453"/>
      <c r="AC247" s="712"/>
      <c r="AD247" s="712"/>
      <c r="AE247" s="712"/>
      <c r="AF247" s="712"/>
      <c r="AG247" s="712">
        <f>100%/3</f>
        <v>0.3333333333333333</v>
      </c>
      <c r="AH247" s="712">
        <f>100%/3</f>
        <v>0.3333333333333333</v>
      </c>
      <c r="AI247" s="712">
        <f>100%/3</f>
        <v>0.3333333333333333</v>
      </c>
      <c r="AJ247" s="453"/>
      <c r="AK247" s="453"/>
      <c r="AL247" s="453"/>
      <c r="AM247" s="453"/>
      <c r="AN247" s="453"/>
      <c r="AO247" s="453"/>
    </row>
    <row r="248" spans="3:41" ht="12.75">
      <c r="C248" s="344"/>
      <c r="D248" s="344"/>
      <c r="E248" s="344"/>
      <c r="F248" s="344"/>
      <c r="G248" s="344"/>
      <c r="H248" s="344">
        <f t="shared" si="127"/>
        <v>24</v>
      </c>
      <c r="I248" s="452">
        <f t="shared" si="128"/>
        <v>1</v>
      </c>
      <c r="J248" s="344"/>
      <c r="K248" s="344"/>
      <c r="L248" s="344"/>
      <c r="M248" s="344"/>
      <c r="N248" s="453"/>
      <c r="O248" s="453"/>
      <c r="P248" s="453"/>
      <c r="Q248" s="453"/>
      <c r="R248" s="453"/>
      <c r="S248" s="453"/>
      <c r="T248" s="453"/>
      <c r="U248" s="453"/>
      <c r="V248" s="453"/>
      <c r="W248" s="453"/>
      <c r="X248" s="453"/>
      <c r="Y248" s="453"/>
      <c r="Z248" s="453"/>
      <c r="AA248" s="453"/>
      <c r="AB248" s="453"/>
      <c r="AC248" s="712"/>
      <c r="AD248" s="712"/>
      <c r="AE248" s="712"/>
      <c r="AF248" s="712"/>
      <c r="AG248" s="712"/>
      <c r="AH248" s="712">
        <f>100%/2</f>
        <v>0.5</v>
      </c>
      <c r="AI248" s="712">
        <f>100%/2</f>
        <v>0.5</v>
      </c>
      <c r="AJ248" s="453"/>
      <c r="AK248" s="453"/>
      <c r="AL248" s="453"/>
      <c r="AM248" s="453"/>
      <c r="AN248" s="453"/>
      <c r="AO248" s="453"/>
    </row>
    <row r="249" spans="3:41" ht="12.75">
      <c r="C249" s="344"/>
      <c r="D249" s="344"/>
      <c r="E249" s="344"/>
      <c r="F249" s="344"/>
      <c r="G249" s="344"/>
      <c r="H249" s="344">
        <f t="shared" si="127"/>
        <v>25</v>
      </c>
      <c r="I249" s="452">
        <f t="shared" si="128"/>
        <v>1</v>
      </c>
      <c r="J249" s="344"/>
      <c r="K249" s="344"/>
      <c r="L249" s="344"/>
      <c r="M249" s="344"/>
      <c r="N249" s="344"/>
      <c r="O249" s="453"/>
      <c r="P249" s="453"/>
      <c r="Q249" s="453"/>
      <c r="R249" s="453"/>
      <c r="S249" s="453"/>
      <c r="T249" s="453"/>
      <c r="U249" s="453"/>
      <c r="V249" s="453"/>
      <c r="W249" s="453"/>
      <c r="X249" s="453"/>
      <c r="Y249" s="453"/>
      <c r="Z249" s="453"/>
      <c r="AA249" s="453"/>
      <c r="AB249" s="453"/>
      <c r="AC249" s="453"/>
      <c r="AD249" s="453"/>
      <c r="AE249" s="453"/>
      <c r="AF249" s="453"/>
      <c r="AG249" s="453"/>
      <c r="AH249" s="453"/>
      <c r="AI249" s="453">
        <f>1-SUM($J249:AH249)</f>
        <v>1</v>
      </c>
      <c r="AJ249" s="453"/>
      <c r="AK249" s="453"/>
      <c r="AL249" s="453"/>
      <c r="AM249" s="453"/>
      <c r="AN249" s="453"/>
      <c r="AO249" s="453"/>
    </row>
    <row r="250" spans="3:41" ht="12.75">
      <c r="C250" s="344"/>
      <c r="D250" s="344"/>
      <c r="E250" s="344"/>
      <c r="F250" s="344"/>
      <c r="G250" s="344"/>
      <c r="H250" s="344">
        <f t="shared" si="127"/>
        <v>26</v>
      </c>
      <c r="I250" s="452">
        <f t="shared" si="128"/>
        <v>1</v>
      </c>
      <c r="J250" s="344"/>
      <c r="K250" s="344"/>
      <c r="L250" s="344"/>
      <c r="M250" s="344"/>
      <c r="N250" s="344"/>
      <c r="O250" s="344"/>
      <c r="P250" s="453"/>
      <c r="Q250" s="453"/>
      <c r="R250" s="453"/>
      <c r="S250" s="453"/>
      <c r="T250" s="453"/>
      <c r="U250" s="453"/>
      <c r="V250" s="453"/>
      <c r="W250" s="453"/>
      <c r="X250" s="453"/>
      <c r="Y250" s="453"/>
      <c r="Z250" s="453"/>
      <c r="AA250" s="453"/>
      <c r="AB250" s="453"/>
      <c r="AC250" s="453"/>
      <c r="AD250" s="453"/>
      <c r="AE250" s="453"/>
      <c r="AF250" s="453"/>
      <c r="AG250" s="453"/>
      <c r="AH250" s="453"/>
      <c r="AI250" s="453"/>
      <c r="AJ250" s="453">
        <f>1-SUM($J250:AI250)</f>
        <v>1</v>
      </c>
      <c r="AK250" s="453"/>
      <c r="AL250" s="453"/>
      <c r="AM250" s="453"/>
      <c r="AN250" s="453"/>
      <c r="AO250" s="453"/>
    </row>
    <row r="251" spans="3:41" ht="12.75">
      <c r="C251" s="344"/>
      <c r="D251" s="344"/>
      <c r="E251" s="344"/>
      <c r="F251" s="344"/>
      <c r="G251" s="344"/>
      <c r="H251" s="344">
        <f t="shared" si="127"/>
        <v>27</v>
      </c>
      <c r="I251" s="452">
        <f t="shared" si="128"/>
        <v>1</v>
      </c>
      <c r="J251" s="344"/>
      <c r="K251" s="344"/>
      <c r="L251" s="344"/>
      <c r="M251" s="344"/>
      <c r="N251" s="344"/>
      <c r="O251" s="344"/>
      <c r="P251" s="344"/>
      <c r="Q251" s="453"/>
      <c r="R251" s="453"/>
      <c r="S251" s="453"/>
      <c r="T251" s="453"/>
      <c r="U251" s="453"/>
      <c r="V251" s="453"/>
      <c r="W251" s="453"/>
      <c r="X251" s="453"/>
      <c r="Y251" s="453"/>
      <c r="Z251" s="453"/>
      <c r="AA251" s="453"/>
      <c r="AB251" s="453"/>
      <c r="AC251" s="453"/>
      <c r="AD251" s="453"/>
      <c r="AE251" s="453"/>
      <c r="AF251" s="453"/>
      <c r="AG251" s="453"/>
      <c r="AH251" s="453"/>
      <c r="AI251" s="453"/>
      <c r="AJ251" s="453"/>
      <c r="AK251" s="453">
        <f>1-SUM($J251:AJ251)</f>
        <v>1</v>
      </c>
      <c r="AL251" s="453"/>
      <c r="AM251" s="453"/>
      <c r="AN251" s="453"/>
      <c r="AO251" s="453"/>
    </row>
    <row r="252" spans="3:41" ht="12.75">
      <c r="C252" s="344"/>
      <c r="D252" s="344"/>
      <c r="E252" s="344"/>
      <c r="F252" s="344"/>
      <c r="G252" s="344"/>
      <c r="H252" s="344">
        <f t="shared" si="127"/>
        <v>28</v>
      </c>
      <c r="I252" s="452">
        <f t="shared" si="128"/>
        <v>1</v>
      </c>
      <c r="J252" s="344"/>
      <c r="K252" s="344"/>
      <c r="L252" s="344"/>
      <c r="M252" s="344"/>
      <c r="N252" s="344"/>
      <c r="O252" s="344"/>
      <c r="P252" s="344"/>
      <c r="Q252" s="344"/>
      <c r="R252" s="453"/>
      <c r="S252" s="453"/>
      <c r="T252" s="453"/>
      <c r="U252" s="453"/>
      <c r="V252" s="453"/>
      <c r="W252" s="453"/>
      <c r="X252" s="453"/>
      <c r="Y252" s="453"/>
      <c r="Z252" s="453"/>
      <c r="AA252" s="453"/>
      <c r="AB252" s="453"/>
      <c r="AC252" s="453"/>
      <c r="AD252" s="453"/>
      <c r="AE252" s="453"/>
      <c r="AF252" s="453"/>
      <c r="AG252" s="453"/>
      <c r="AH252" s="453"/>
      <c r="AI252" s="453"/>
      <c r="AJ252" s="453"/>
      <c r="AK252" s="453"/>
      <c r="AL252" s="453">
        <f>1-SUM($J252:AK252)</f>
        <v>1</v>
      </c>
      <c r="AM252" s="453"/>
      <c r="AN252" s="453"/>
      <c r="AO252" s="453"/>
    </row>
    <row r="253" spans="3:41" ht="12.75">
      <c r="C253" s="344"/>
      <c r="D253" s="344"/>
      <c r="E253" s="344"/>
      <c r="F253" s="344"/>
      <c r="G253" s="344"/>
      <c r="H253" s="344">
        <f t="shared" si="127"/>
        <v>29</v>
      </c>
      <c r="I253" s="452">
        <f t="shared" si="128"/>
        <v>1</v>
      </c>
      <c r="J253" s="344"/>
      <c r="K253" s="344"/>
      <c r="L253" s="344"/>
      <c r="M253" s="344"/>
      <c r="N253" s="344"/>
      <c r="O253" s="344"/>
      <c r="P253" s="344"/>
      <c r="Q253" s="344"/>
      <c r="R253" s="344"/>
      <c r="S253" s="453"/>
      <c r="T253" s="453"/>
      <c r="U253" s="453"/>
      <c r="V253" s="453"/>
      <c r="W253" s="453"/>
      <c r="X253" s="453"/>
      <c r="Y253" s="453"/>
      <c r="Z253" s="453"/>
      <c r="AA253" s="453"/>
      <c r="AB253" s="453"/>
      <c r="AC253" s="453"/>
      <c r="AD253" s="453"/>
      <c r="AE253" s="453"/>
      <c r="AF253" s="453"/>
      <c r="AG253" s="453"/>
      <c r="AH253" s="453"/>
      <c r="AI253" s="453"/>
      <c r="AJ253" s="453"/>
      <c r="AK253" s="453"/>
      <c r="AL253" s="453"/>
      <c r="AM253" s="453">
        <f>1-SUM($J253:AL253)</f>
        <v>1</v>
      </c>
      <c r="AN253" s="453"/>
      <c r="AO253" s="453"/>
    </row>
    <row r="254" spans="3:41" ht="12.75">
      <c r="C254" s="344"/>
      <c r="D254" s="344"/>
      <c r="E254" s="344"/>
      <c r="F254" s="344"/>
      <c r="G254" s="344"/>
      <c r="H254" s="344">
        <f t="shared" si="127"/>
        <v>30</v>
      </c>
      <c r="I254" s="452">
        <f t="shared" si="128"/>
        <v>1</v>
      </c>
      <c r="J254" s="344"/>
      <c r="K254" s="344"/>
      <c r="L254" s="344"/>
      <c r="M254" s="344"/>
      <c r="N254" s="344"/>
      <c r="O254" s="344"/>
      <c r="P254" s="344"/>
      <c r="Q254" s="344"/>
      <c r="R254" s="344"/>
      <c r="S254" s="344"/>
      <c r="T254" s="453"/>
      <c r="U254" s="453"/>
      <c r="V254" s="453"/>
      <c r="W254" s="453"/>
      <c r="X254" s="453"/>
      <c r="Y254" s="453"/>
      <c r="Z254" s="453"/>
      <c r="AA254" s="453"/>
      <c r="AB254" s="453"/>
      <c r="AC254" s="453"/>
      <c r="AD254" s="453"/>
      <c r="AE254" s="453"/>
      <c r="AF254" s="453"/>
      <c r="AG254" s="453"/>
      <c r="AH254" s="453"/>
      <c r="AI254" s="453"/>
      <c r="AJ254" s="453"/>
      <c r="AK254" s="453"/>
      <c r="AL254" s="453"/>
      <c r="AM254" s="453"/>
      <c r="AN254" s="453">
        <f>1-SUM($J254:AM254)</f>
        <v>1</v>
      </c>
      <c r="AO254" s="344"/>
    </row>
    <row r="255" spans="3:41" ht="12.75">
      <c r="C255" s="344"/>
      <c r="D255" s="344"/>
      <c r="E255" s="344"/>
      <c r="F255" s="344"/>
      <c r="G255" s="344"/>
      <c r="H255" s="344">
        <f t="shared" si="127"/>
        <v>31</v>
      </c>
      <c r="I255" s="452">
        <f t="shared" si="128"/>
        <v>1</v>
      </c>
      <c r="J255" s="344"/>
      <c r="K255" s="344"/>
      <c r="L255" s="344"/>
      <c r="M255" s="344"/>
      <c r="N255" s="344"/>
      <c r="O255" s="344"/>
      <c r="P255" s="344"/>
      <c r="Q255" s="344"/>
      <c r="R255" s="344"/>
      <c r="S255" s="344"/>
      <c r="T255" s="344"/>
      <c r="U255" s="453"/>
      <c r="V255" s="453"/>
      <c r="W255" s="453"/>
      <c r="X255" s="453"/>
      <c r="Y255" s="453"/>
      <c r="Z255" s="453"/>
      <c r="AA255" s="453"/>
      <c r="AB255" s="453"/>
      <c r="AC255" s="453"/>
      <c r="AD255" s="453"/>
      <c r="AE255" s="453"/>
      <c r="AF255" s="453"/>
      <c r="AG255" s="453"/>
      <c r="AH255" s="453"/>
      <c r="AI255" s="453"/>
      <c r="AJ255" s="453"/>
      <c r="AK255" s="453"/>
      <c r="AL255" s="453"/>
      <c r="AM255" s="453"/>
      <c r="AN255" s="344"/>
      <c r="AO255" s="453">
        <f>1-SUM($J255:AN255)</f>
        <v>1</v>
      </c>
    </row>
    <row r="256" spans="3:41" ht="12.75">
      <c r="C256" s="344"/>
      <c r="D256" s="344"/>
      <c r="E256" s="344"/>
      <c r="F256" s="344"/>
      <c r="G256" s="344"/>
      <c r="H256" s="344"/>
      <c r="I256" s="344"/>
      <c r="J256" s="344"/>
      <c r="K256" s="344"/>
      <c r="L256" s="344"/>
      <c r="M256" s="344"/>
      <c r="N256" s="344"/>
      <c r="O256" s="344"/>
      <c r="P256" s="344"/>
      <c r="Q256" s="344"/>
      <c r="R256" s="344"/>
      <c r="S256" s="344"/>
      <c r="T256" s="344"/>
      <c r="U256" s="344"/>
      <c r="V256" s="453"/>
      <c r="W256" s="453"/>
      <c r="X256" s="453"/>
      <c r="Y256" s="453"/>
      <c r="Z256" s="453"/>
      <c r="AA256" s="453"/>
      <c r="AB256" s="453"/>
      <c r="AC256" s="453"/>
      <c r="AD256" s="453"/>
      <c r="AE256" s="453"/>
      <c r="AF256" s="453"/>
      <c r="AG256" s="453"/>
      <c r="AH256" s="453"/>
      <c r="AI256" s="453"/>
      <c r="AJ256" s="453"/>
      <c r="AK256" s="453"/>
      <c r="AL256" s="453"/>
      <c r="AM256" s="453"/>
      <c r="AN256" s="344"/>
      <c r="AO256" s="344"/>
    </row>
    <row r="257" spans="3:41" ht="12.75">
      <c r="C257" s="344"/>
      <c r="D257" s="344"/>
      <c r="E257" s="344"/>
      <c r="F257" s="344"/>
      <c r="G257" s="344"/>
      <c r="H257" s="344"/>
      <c r="I257" s="344"/>
      <c r="J257" s="344"/>
      <c r="K257" s="344"/>
      <c r="L257" s="344"/>
      <c r="M257" s="344"/>
      <c r="N257" s="344"/>
      <c r="O257" s="344"/>
      <c r="P257" s="344"/>
      <c r="Q257" s="344"/>
      <c r="R257" s="344"/>
      <c r="S257" s="344"/>
      <c r="T257" s="344"/>
      <c r="U257" s="344"/>
      <c r="V257" s="344"/>
      <c r="W257" s="453"/>
      <c r="X257" s="453"/>
      <c r="Y257" s="453"/>
      <c r="Z257" s="453"/>
      <c r="AA257" s="453"/>
      <c r="AB257" s="453"/>
      <c r="AC257" s="453"/>
      <c r="AD257" s="453"/>
      <c r="AE257" s="453"/>
      <c r="AF257" s="453"/>
      <c r="AG257" s="453"/>
      <c r="AH257" s="453"/>
      <c r="AI257" s="453"/>
      <c r="AJ257" s="453"/>
      <c r="AK257" s="453"/>
      <c r="AL257" s="453"/>
      <c r="AM257" s="453"/>
      <c r="AN257" s="344"/>
      <c r="AO257" s="344"/>
    </row>
    <row r="258" spans="3:41" ht="12.75">
      <c r="C258" s="344"/>
      <c r="D258" s="344"/>
      <c r="E258" s="344"/>
      <c r="F258" s="344"/>
      <c r="G258" s="344"/>
      <c r="H258" s="451"/>
      <c r="I258" s="456"/>
      <c r="J258" s="454"/>
      <c r="K258" s="454"/>
      <c r="L258" s="454"/>
      <c r="M258" s="454"/>
      <c r="N258" s="454"/>
      <c r="O258" s="454"/>
      <c r="P258" s="454"/>
      <c r="Q258" s="454"/>
      <c r="R258" s="454"/>
      <c r="S258" s="454"/>
      <c r="T258" s="454"/>
      <c r="U258" s="454"/>
      <c r="V258" s="454"/>
      <c r="W258" s="454"/>
      <c r="X258" s="454"/>
      <c r="Y258" s="454"/>
      <c r="Z258" s="454"/>
      <c r="AA258" s="454"/>
      <c r="AB258" s="454"/>
      <c r="AC258" s="454"/>
      <c r="AD258" s="454"/>
      <c r="AE258" s="454"/>
      <c r="AF258" s="454"/>
      <c r="AG258" s="454"/>
      <c r="AH258" s="454"/>
      <c r="AI258" s="454"/>
      <c r="AJ258" s="454"/>
      <c r="AK258" s="454"/>
      <c r="AL258" s="454"/>
      <c r="AM258" s="454"/>
      <c r="AN258" s="344"/>
      <c r="AO258" s="344"/>
    </row>
    <row r="259" spans="3:41" ht="12.75">
      <c r="C259" s="344"/>
      <c r="D259" s="344" t="s">
        <v>311</v>
      </c>
      <c r="E259" s="344"/>
      <c r="F259" s="344"/>
      <c r="G259" s="344"/>
      <c r="H259" s="344">
        <f aca="true" t="shared" si="131" ref="H259:H289">H258+1</f>
        <v>1</v>
      </c>
      <c r="I259" s="456">
        <f aca="true" t="shared" si="132" ref="I259:I289">SUM(J259:AO259)</f>
        <v>4058.5473293231994</v>
      </c>
      <c r="J259" s="454"/>
      <c r="K259" s="454">
        <f>$K$218*K225</f>
        <v>289.8962378088</v>
      </c>
      <c r="L259" s="454">
        <f aca="true" t="shared" si="133" ref="L259:Q259">$K$218*L225</f>
        <v>579.7924756176</v>
      </c>
      <c r="M259" s="454">
        <f t="shared" si="133"/>
        <v>579.7924756176</v>
      </c>
      <c r="N259" s="454">
        <f t="shared" si="133"/>
        <v>579.7924756176</v>
      </c>
      <c r="O259" s="454">
        <f t="shared" si="133"/>
        <v>579.7924756176</v>
      </c>
      <c r="P259" s="454">
        <f t="shared" si="133"/>
        <v>579.7924756176</v>
      </c>
      <c r="Q259" s="454">
        <f t="shared" si="133"/>
        <v>579.7924756176</v>
      </c>
      <c r="R259" s="454">
        <f aca="true" t="shared" si="134" ref="R259:W259">$K$218*R225</f>
        <v>289.8962378088</v>
      </c>
      <c r="S259" s="454">
        <f t="shared" si="134"/>
        <v>0</v>
      </c>
      <c r="T259" s="454">
        <f t="shared" si="134"/>
        <v>0</v>
      </c>
      <c r="U259" s="454">
        <f t="shared" si="134"/>
        <v>0</v>
      </c>
      <c r="V259" s="454">
        <f t="shared" si="134"/>
        <v>0</v>
      </c>
      <c r="W259" s="454">
        <f t="shared" si="134"/>
        <v>0</v>
      </c>
      <c r="X259" s="454">
        <f aca="true" t="shared" si="135" ref="X259:AM259">$K$218*X225</f>
        <v>0</v>
      </c>
      <c r="Y259" s="454">
        <f t="shared" si="135"/>
        <v>0</v>
      </c>
      <c r="Z259" s="454">
        <f t="shared" si="135"/>
        <v>0</v>
      </c>
      <c r="AA259" s="454">
        <f t="shared" si="135"/>
        <v>0</v>
      </c>
      <c r="AB259" s="454">
        <f t="shared" si="135"/>
        <v>0</v>
      </c>
      <c r="AC259" s="454">
        <f t="shared" si="135"/>
        <v>0</v>
      </c>
      <c r="AD259" s="454">
        <f t="shared" si="135"/>
        <v>0</v>
      </c>
      <c r="AE259" s="454">
        <f t="shared" si="135"/>
        <v>0</v>
      </c>
      <c r="AF259" s="454">
        <f t="shared" si="135"/>
        <v>0</v>
      </c>
      <c r="AG259" s="454">
        <f t="shared" si="135"/>
        <v>0</v>
      </c>
      <c r="AH259" s="454">
        <f t="shared" si="135"/>
        <v>0</v>
      </c>
      <c r="AI259" s="454">
        <f t="shared" si="135"/>
        <v>0</v>
      </c>
      <c r="AJ259" s="454">
        <f t="shared" si="135"/>
        <v>0</v>
      </c>
      <c r="AK259" s="454">
        <f t="shared" si="135"/>
        <v>0</v>
      </c>
      <c r="AL259" s="454">
        <f t="shared" si="135"/>
        <v>0</v>
      </c>
      <c r="AM259" s="454">
        <f t="shared" si="135"/>
        <v>0</v>
      </c>
      <c r="AN259" s="344"/>
      <c r="AO259" s="344"/>
    </row>
    <row r="260" spans="3:41" ht="12.75">
      <c r="C260" s="344"/>
      <c r="D260" s="344"/>
      <c r="E260" s="344"/>
      <c r="F260" s="344"/>
      <c r="G260" s="344"/>
      <c r="H260" s="344">
        <f t="shared" si="131"/>
        <v>2</v>
      </c>
      <c r="I260" s="456">
        <f t="shared" si="132"/>
        <v>7582.0588881449985</v>
      </c>
      <c r="J260" s="454"/>
      <c r="K260" s="454"/>
      <c r="L260" s="454">
        <f aca="true" t="shared" si="136" ref="L260:Q260">$L$218*L226</f>
        <v>541.5756348674998</v>
      </c>
      <c r="M260" s="454">
        <f t="shared" si="136"/>
        <v>1083.1512697349997</v>
      </c>
      <c r="N260" s="454">
        <f t="shared" si="136"/>
        <v>1083.1512697349997</v>
      </c>
      <c r="O260" s="454">
        <f t="shared" si="136"/>
        <v>1083.1512697349997</v>
      </c>
      <c r="P260" s="454">
        <f t="shared" si="136"/>
        <v>1083.1512697349997</v>
      </c>
      <c r="Q260" s="454">
        <f t="shared" si="136"/>
        <v>1083.1512697349997</v>
      </c>
      <c r="R260" s="454">
        <f aca="true" t="shared" si="137" ref="R260:W260">$L$218*R226</f>
        <v>1083.1512697349997</v>
      </c>
      <c r="S260" s="454">
        <f t="shared" si="137"/>
        <v>541.5756348674998</v>
      </c>
      <c r="T260" s="454">
        <f t="shared" si="137"/>
        <v>0</v>
      </c>
      <c r="U260" s="454">
        <f t="shared" si="137"/>
        <v>0</v>
      </c>
      <c r="V260" s="454">
        <f t="shared" si="137"/>
        <v>0</v>
      </c>
      <c r="W260" s="454">
        <f t="shared" si="137"/>
        <v>0</v>
      </c>
      <c r="X260" s="454">
        <f aca="true" t="shared" si="138" ref="X260:AM260">$L$218*X226</f>
        <v>0</v>
      </c>
      <c r="Y260" s="454">
        <f t="shared" si="138"/>
        <v>0</v>
      </c>
      <c r="Z260" s="454">
        <f t="shared" si="138"/>
        <v>0</v>
      </c>
      <c r="AA260" s="454">
        <f t="shared" si="138"/>
        <v>0</v>
      </c>
      <c r="AB260" s="454">
        <f t="shared" si="138"/>
        <v>0</v>
      </c>
      <c r="AC260" s="454">
        <f t="shared" si="138"/>
        <v>0</v>
      </c>
      <c r="AD260" s="454">
        <f t="shared" si="138"/>
        <v>0</v>
      </c>
      <c r="AE260" s="454">
        <f t="shared" si="138"/>
        <v>0</v>
      </c>
      <c r="AF260" s="454">
        <f t="shared" si="138"/>
        <v>0</v>
      </c>
      <c r="AG260" s="454">
        <f t="shared" si="138"/>
        <v>0</v>
      </c>
      <c r="AH260" s="454">
        <f t="shared" si="138"/>
        <v>0</v>
      </c>
      <c r="AI260" s="454">
        <f t="shared" si="138"/>
        <v>0</v>
      </c>
      <c r="AJ260" s="454">
        <f t="shared" si="138"/>
        <v>0</v>
      </c>
      <c r="AK260" s="454">
        <f t="shared" si="138"/>
        <v>0</v>
      </c>
      <c r="AL260" s="454">
        <f t="shared" si="138"/>
        <v>0</v>
      </c>
      <c r="AM260" s="454">
        <f t="shared" si="138"/>
        <v>0</v>
      </c>
      <c r="AN260" s="344"/>
      <c r="AO260" s="344"/>
    </row>
    <row r="261" spans="3:41" ht="12.75">
      <c r="C261" s="344"/>
      <c r="D261" s="344"/>
      <c r="E261" s="344"/>
      <c r="F261" s="344"/>
      <c r="G261" s="344"/>
      <c r="H261" s="344">
        <f t="shared" si="131"/>
        <v>3</v>
      </c>
      <c r="I261" s="456">
        <f t="shared" si="132"/>
        <v>7471.378539582298</v>
      </c>
      <c r="J261" s="454"/>
      <c r="K261" s="454"/>
      <c r="L261" s="454"/>
      <c r="M261" s="454">
        <f>$M$218*M227</f>
        <v>533.6698956844499</v>
      </c>
      <c r="N261" s="454">
        <f>$M$218*N227</f>
        <v>1067.3397913688998</v>
      </c>
      <c r="O261" s="454">
        <f>$M$218*O227</f>
        <v>1067.3397913688998</v>
      </c>
      <c r="P261" s="454">
        <f>$M$218*P227</f>
        <v>1067.3397913688998</v>
      </c>
      <c r="Q261" s="454">
        <f>$M$218*Q227</f>
        <v>1067.3397913688998</v>
      </c>
      <c r="R261" s="454">
        <f aca="true" t="shared" si="139" ref="R261:W261">$M$218*R227</f>
        <v>1067.3397913688998</v>
      </c>
      <c r="S261" s="454">
        <f t="shared" si="139"/>
        <v>1067.3397913688998</v>
      </c>
      <c r="T261" s="454">
        <f t="shared" si="139"/>
        <v>533.6698956844499</v>
      </c>
      <c r="U261" s="454">
        <f t="shared" si="139"/>
        <v>0</v>
      </c>
      <c r="V261" s="454">
        <f t="shared" si="139"/>
        <v>0</v>
      </c>
      <c r="W261" s="454">
        <f t="shared" si="139"/>
        <v>0</v>
      </c>
      <c r="X261" s="454">
        <f aca="true" t="shared" si="140" ref="X261:AM261">$M$218*X227</f>
        <v>0</v>
      </c>
      <c r="Y261" s="454">
        <f t="shared" si="140"/>
        <v>0</v>
      </c>
      <c r="Z261" s="454">
        <f t="shared" si="140"/>
        <v>0</v>
      </c>
      <c r="AA261" s="454">
        <f t="shared" si="140"/>
        <v>0</v>
      </c>
      <c r="AB261" s="454">
        <f t="shared" si="140"/>
        <v>0</v>
      </c>
      <c r="AC261" s="454">
        <f t="shared" si="140"/>
        <v>0</v>
      </c>
      <c r="AD261" s="454">
        <f t="shared" si="140"/>
        <v>0</v>
      </c>
      <c r="AE261" s="454">
        <f t="shared" si="140"/>
        <v>0</v>
      </c>
      <c r="AF261" s="454">
        <f t="shared" si="140"/>
        <v>0</v>
      </c>
      <c r="AG261" s="454">
        <f t="shared" si="140"/>
        <v>0</v>
      </c>
      <c r="AH261" s="454">
        <f t="shared" si="140"/>
        <v>0</v>
      </c>
      <c r="AI261" s="454">
        <f t="shared" si="140"/>
        <v>0</v>
      </c>
      <c r="AJ261" s="454">
        <f t="shared" si="140"/>
        <v>0</v>
      </c>
      <c r="AK261" s="454">
        <f t="shared" si="140"/>
        <v>0</v>
      </c>
      <c r="AL261" s="454">
        <f t="shared" si="140"/>
        <v>0</v>
      </c>
      <c r="AM261" s="454">
        <f t="shared" si="140"/>
        <v>0</v>
      </c>
      <c r="AN261" s="344"/>
      <c r="AO261" s="344"/>
    </row>
    <row r="262" spans="3:41" ht="12.75">
      <c r="C262" s="344"/>
      <c r="D262" s="344"/>
      <c r="E262" s="344"/>
      <c r="F262" s="344"/>
      <c r="G262" s="344"/>
      <c r="H262" s="344">
        <f t="shared" si="131"/>
        <v>4</v>
      </c>
      <c r="I262" s="456">
        <f t="shared" si="132"/>
        <v>8291.914901856337</v>
      </c>
      <c r="J262" s="454"/>
      <c r="K262" s="454"/>
      <c r="L262" s="454"/>
      <c r="M262" s="454"/>
      <c r="N262" s="454">
        <f>$N$218*N228</f>
        <v>592.2796358468812</v>
      </c>
      <c r="O262" s="454">
        <f>$N$218*O228</f>
        <v>1184.5592716937624</v>
      </c>
      <c r="P262" s="454">
        <f>$N$218*P228</f>
        <v>1184.5592716937624</v>
      </c>
      <c r="Q262" s="454">
        <f>$N$218*Q228</f>
        <v>1184.5592716937624</v>
      </c>
      <c r="R262" s="454">
        <f aca="true" t="shared" si="141" ref="R262:W262">$N$218*R228</f>
        <v>1184.5592716937624</v>
      </c>
      <c r="S262" s="454">
        <f t="shared" si="141"/>
        <v>1184.5592716937624</v>
      </c>
      <c r="T262" s="454">
        <f t="shared" si="141"/>
        <v>1184.5592716937624</v>
      </c>
      <c r="U262" s="454">
        <f t="shared" si="141"/>
        <v>592.2796358468812</v>
      </c>
      <c r="V262" s="454">
        <f t="shared" si="141"/>
        <v>0</v>
      </c>
      <c r="W262" s="454">
        <f t="shared" si="141"/>
        <v>0</v>
      </c>
      <c r="X262" s="454">
        <f aca="true" t="shared" si="142" ref="X262:AM262">$N$218*X228</f>
        <v>0</v>
      </c>
      <c r="Y262" s="454">
        <f t="shared" si="142"/>
        <v>0</v>
      </c>
      <c r="Z262" s="454">
        <f t="shared" si="142"/>
        <v>0</v>
      </c>
      <c r="AA262" s="454">
        <f t="shared" si="142"/>
        <v>0</v>
      </c>
      <c r="AB262" s="454">
        <f t="shared" si="142"/>
        <v>0</v>
      </c>
      <c r="AC262" s="454">
        <f t="shared" si="142"/>
        <v>0</v>
      </c>
      <c r="AD262" s="454">
        <f t="shared" si="142"/>
        <v>0</v>
      </c>
      <c r="AE262" s="454">
        <f t="shared" si="142"/>
        <v>0</v>
      </c>
      <c r="AF262" s="454">
        <f t="shared" si="142"/>
        <v>0</v>
      </c>
      <c r="AG262" s="454">
        <f t="shared" si="142"/>
        <v>0</v>
      </c>
      <c r="AH262" s="454">
        <f t="shared" si="142"/>
        <v>0</v>
      </c>
      <c r="AI262" s="454">
        <f t="shared" si="142"/>
        <v>0</v>
      </c>
      <c r="AJ262" s="454">
        <f t="shared" si="142"/>
        <v>0</v>
      </c>
      <c r="AK262" s="454">
        <f t="shared" si="142"/>
        <v>0</v>
      </c>
      <c r="AL262" s="454">
        <f t="shared" si="142"/>
        <v>0</v>
      </c>
      <c r="AM262" s="454">
        <f t="shared" si="142"/>
        <v>0</v>
      </c>
      <c r="AN262" s="344"/>
      <c r="AO262" s="344"/>
    </row>
    <row r="263" spans="3:41" ht="12.75">
      <c r="C263" s="344"/>
      <c r="D263" s="344"/>
      <c r="E263" s="344"/>
      <c r="F263" s="344"/>
      <c r="G263" s="344"/>
      <c r="H263" s="344">
        <f t="shared" si="131"/>
        <v>5</v>
      </c>
      <c r="I263" s="456">
        <f t="shared" si="132"/>
        <v>6217.716395483371</v>
      </c>
      <c r="J263" s="454"/>
      <c r="K263" s="454"/>
      <c r="L263" s="454"/>
      <c r="M263" s="454"/>
      <c r="N263" s="454"/>
      <c r="O263" s="454">
        <f>$O$218*O229</f>
        <v>444.1225996773837</v>
      </c>
      <c r="P263" s="454">
        <f>$O$218*P229</f>
        <v>888.2451993547674</v>
      </c>
      <c r="Q263" s="454">
        <f>$O$218*Q229</f>
        <v>888.2451993547674</v>
      </c>
      <c r="R263" s="454">
        <f aca="true" t="shared" si="143" ref="R263:W263">$O$218*R229</f>
        <v>888.2451993547674</v>
      </c>
      <c r="S263" s="454">
        <f t="shared" si="143"/>
        <v>888.2451993547674</v>
      </c>
      <c r="T263" s="454">
        <f t="shared" si="143"/>
        <v>888.2451993547674</v>
      </c>
      <c r="U263" s="454">
        <f t="shared" si="143"/>
        <v>888.2451993547674</v>
      </c>
      <c r="V263" s="454">
        <f t="shared" si="143"/>
        <v>444.1225996773837</v>
      </c>
      <c r="W263" s="454">
        <f t="shared" si="143"/>
        <v>0</v>
      </c>
      <c r="X263" s="454">
        <f aca="true" t="shared" si="144" ref="X263:AM263">$O$218*X229</f>
        <v>0</v>
      </c>
      <c r="Y263" s="454">
        <f t="shared" si="144"/>
        <v>0</v>
      </c>
      <c r="Z263" s="454">
        <f t="shared" si="144"/>
        <v>0</v>
      </c>
      <c r="AA263" s="454">
        <f t="shared" si="144"/>
        <v>0</v>
      </c>
      <c r="AB263" s="454">
        <f t="shared" si="144"/>
        <v>0</v>
      </c>
      <c r="AC263" s="454">
        <f t="shared" si="144"/>
        <v>0</v>
      </c>
      <c r="AD263" s="454">
        <f t="shared" si="144"/>
        <v>0</v>
      </c>
      <c r="AE263" s="454">
        <f t="shared" si="144"/>
        <v>0</v>
      </c>
      <c r="AF263" s="454">
        <f t="shared" si="144"/>
        <v>0</v>
      </c>
      <c r="AG263" s="454">
        <f t="shared" si="144"/>
        <v>0</v>
      </c>
      <c r="AH263" s="454">
        <f t="shared" si="144"/>
        <v>0</v>
      </c>
      <c r="AI263" s="454">
        <f t="shared" si="144"/>
        <v>0</v>
      </c>
      <c r="AJ263" s="454">
        <f t="shared" si="144"/>
        <v>0</v>
      </c>
      <c r="AK263" s="454">
        <f t="shared" si="144"/>
        <v>0</v>
      </c>
      <c r="AL263" s="454">
        <f t="shared" si="144"/>
        <v>0</v>
      </c>
      <c r="AM263" s="454">
        <f t="shared" si="144"/>
        <v>0</v>
      </c>
      <c r="AN263" s="344"/>
      <c r="AO263" s="344"/>
    </row>
    <row r="264" spans="3:41" ht="12.75">
      <c r="C264" s="344"/>
      <c r="D264" s="344"/>
      <c r="E264" s="344"/>
      <c r="F264" s="344"/>
      <c r="G264" s="344"/>
      <c r="H264" s="344">
        <f t="shared" si="131"/>
        <v>6</v>
      </c>
      <c r="I264" s="456">
        <f t="shared" si="132"/>
        <v>4405.329587169646</v>
      </c>
      <c r="J264" s="454"/>
      <c r="K264" s="454"/>
      <c r="L264" s="454"/>
      <c r="M264" s="454"/>
      <c r="N264" s="454"/>
      <c r="O264" s="454"/>
      <c r="P264" s="454">
        <f>$P$218*P230</f>
        <v>314.66639908354614</v>
      </c>
      <c r="Q264" s="454">
        <f>$P$218*Q230</f>
        <v>629.3327981670923</v>
      </c>
      <c r="R264" s="454">
        <f aca="true" t="shared" si="145" ref="R264:W264">$P$218*R230</f>
        <v>629.3327981670923</v>
      </c>
      <c r="S264" s="454">
        <f t="shared" si="145"/>
        <v>629.3327981670923</v>
      </c>
      <c r="T264" s="454">
        <f t="shared" si="145"/>
        <v>629.3327981670923</v>
      </c>
      <c r="U264" s="454">
        <f t="shared" si="145"/>
        <v>629.3327981670923</v>
      </c>
      <c r="V264" s="454">
        <f t="shared" si="145"/>
        <v>629.3327981670923</v>
      </c>
      <c r="W264" s="454">
        <f t="shared" si="145"/>
        <v>314.66639908354614</v>
      </c>
      <c r="X264" s="454">
        <f aca="true" t="shared" si="146" ref="X264:AM264">$P$218*X230</f>
        <v>0</v>
      </c>
      <c r="Y264" s="454">
        <f t="shared" si="146"/>
        <v>0</v>
      </c>
      <c r="Z264" s="454">
        <f t="shared" si="146"/>
        <v>0</v>
      </c>
      <c r="AA264" s="454">
        <f t="shared" si="146"/>
        <v>0</v>
      </c>
      <c r="AB264" s="454">
        <f t="shared" si="146"/>
        <v>0</v>
      </c>
      <c r="AC264" s="454">
        <f t="shared" si="146"/>
        <v>0</v>
      </c>
      <c r="AD264" s="454">
        <f t="shared" si="146"/>
        <v>0</v>
      </c>
      <c r="AE264" s="454">
        <f t="shared" si="146"/>
        <v>0</v>
      </c>
      <c r="AF264" s="454">
        <f t="shared" si="146"/>
        <v>0</v>
      </c>
      <c r="AG264" s="454">
        <f t="shared" si="146"/>
        <v>0</v>
      </c>
      <c r="AH264" s="454">
        <f t="shared" si="146"/>
        <v>0</v>
      </c>
      <c r="AI264" s="454">
        <f t="shared" si="146"/>
        <v>0</v>
      </c>
      <c r="AJ264" s="454">
        <f t="shared" si="146"/>
        <v>0</v>
      </c>
      <c r="AK264" s="454">
        <f t="shared" si="146"/>
        <v>0</v>
      </c>
      <c r="AL264" s="454">
        <f t="shared" si="146"/>
        <v>0</v>
      </c>
      <c r="AM264" s="454">
        <f t="shared" si="146"/>
        <v>0</v>
      </c>
      <c r="AN264" s="344"/>
      <c r="AO264" s="344"/>
    </row>
    <row r="265" spans="3:41" ht="12.75">
      <c r="C265" s="344"/>
      <c r="D265" s="344"/>
      <c r="E265" s="344"/>
      <c r="F265" s="344"/>
      <c r="G265" s="344"/>
      <c r="H265" s="344">
        <f t="shared" si="131"/>
        <v>7</v>
      </c>
      <c r="I265" s="456">
        <f t="shared" si="132"/>
        <v>4537.489474784735</v>
      </c>
      <c r="J265" s="454"/>
      <c r="K265" s="454"/>
      <c r="L265" s="454"/>
      <c r="M265" s="454"/>
      <c r="N265" s="454"/>
      <c r="O265" s="454"/>
      <c r="P265" s="454"/>
      <c r="Q265" s="454">
        <f>$Q$218*Q231</f>
        <v>324.1063910560525</v>
      </c>
      <c r="R265" s="454">
        <f aca="true" t="shared" si="147" ref="R265:W265">$Q$218*R231</f>
        <v>648.212782112105</v>
      </c>
      <c r="S265" s="454">
        <f t="shared" si="147"/>
        <v>648.212782112105</v>
      </c>
      <c r="T265" s="454">
        <f t="shared" si="147"/>
        <v>648.212782112105</v>
      </c>
      <c r="U265" s="454">
        <f t="shared" si="147"/>
        <v>648.212782112105</v>
      </c>
      <c r="V265" s="454">
        <f t="shared" si="147"/>
        <v>648.212782112105</v>
      </c>
      <c r="W265" s="454">
        <f t="shared" si="147"/>
        <v>648.212782112105</v>
      </c>
      <c r="X265" s="454">
        <f aca="true" t="shared" si="148" ref="X265:AM265">$Q$218*X231</f>
        <v>324.1063910560525</v>
      </c>
      <c r="Y265" s="454">
        <f t="shared" si="148"/>
        <v>0</v>
      </c>
      <c r="Z265" s="454">
        <f t="shared" si="148"/>
        <v>0</v>
      </c>
      <c r="AA265" s="454">
        <f t="shared" si="148"/>
        <v>0</v>
      </c>
      <c r="AB265" s="454">
        <f t="shared" si="148"/>
        <v>0</v>
      </c>
      <c r="AC265" s="454">
        <f t="shared" si="148"/>
        <v>0</v>
      </c>
      <c r="AD265" s="454">
        <f t="shared" si="148"/>
        <v>0</v>
      </c>
      <c r="AE265" s="454">
        <f t="shared" si="148"/>
        <v>0</v>
      </c>
      <c r="AF265" s="454">
        <f t="shared" si="148"/>
        <v>0</v>
      </c>
      <c r="AG265" s="454">
        <f t="shared" si="148"/>
        <v>0</v>
      </c>
      <c r="AH265" s="454">
        <f t="shared" si="148"/>
        <v>0</v>
      </c>
      <c r="AI265" s="454">
        <f t="shared" si="148"/>
        <v>0</v>
      </c>
      <c r="AJ265" s="454">
        <f t="shared" si="148"/>
        <v>0</v>
      </c>
      <c r="AK265" s="454">
        <f t="shared" si="148"/>
        <v>0</v>
      </c>
      <c r="AL265" s="454">
        <f t="shared" si="148"/>
        <v>0</v>
      </c>
      <c r="AM265" s="454">
        <f t="shared" si="148"/>
        <v>0</v>
      </c>
      <c r="AN265" s="344"/>
      <c r="AO265" s="344"/>
    </row>
    <row r="266" spans="3:41" ht="12.75">
      <c r="C266" s="344"/>
      <c r="D266" s="344"/>
      <c r="E266" s="344"/>
      <c r="F266" s="344"/>
      <c r="G266" s="344"/>
      <c r="H266" s="344">
        <f t="shared" si="131"/>
        <v>8</v>
      </c>
      <c r="I266" s="456">
        <f t="shared" si="132"/>
        <v>4673.614159028277</v>
      </c>
      <c r="J266" s="454"/>
      <c r="K266" s="454"/>
      <c r="L266" s="454"/>
      <c r="M266" s="454"/>
      <c r="N266" s="454"/>
      <c r="O266" s="454"/>
      <c r="P266" s="454"/>
      <c r="Q266" s="454"/>
      <c r="R266" s="454">
        <f aca="true" t="shared" si="149" ref="R266:W266">$R$218*R232</f>
        <v>333.8295827877341</v>
      </c>
      <c r="S266" s="454">
        <f t="shared" si="149"/>
        <v>667.6591655754683</v>
      </c>
      <c r="T266" s="454">
        <f t="shared" si="149"/>
        <v>667.6591655754683</v>
      </c>
      <c r="U266" s="454">
        <f t="shared" si="149"/>
        <v>667.6591655754683</v>
      </c>
      <c r="V266" s="454">
        <f t="shared" si="149"/>
        <v>667.6591655754683</v>
      </c>
      <c r="W266" s="454">
        <f t="shared" si="149"/>
        <v>667.6591655754683</v>
      </c>
      <c r="X266" s="454">
        <f aca="true" t="shared" si="150" ref="X266:AM266">$R$218*X232</f>
        <v>667.6591655754683</v>
      </c>
      <c r="Y266" s="454">
        <f t="shared" si="150"/>
        <v>333.8295827877341</v>
      </c>
      <c r="Z266" s="454">
        <f t="shared" si="150"/>
        <v>0</v>
      </c>
      <c r="AA266" s="454">
        <f t="shared" si="150"/>
        <v>0</v>
      </c>
      <c r="AB266" s="454">
        <f t="shared" si="150"/>
        <v>0</v>
      </c>
      <c r="AC266" s="454">
        <f t="shared" si="150"/>
        <v>0</v>
      </c>
      <c r="AD266" s="454">
        <f t="shared" si="150"/>
        <v>0</v>
      </c>
      <c r="AE266" s="454">
        <f t="shared" si="150"/>
        <v>0</v>
      </c>
      <c r="AF266" s="454">
        <f t="shared" si="150"/>
        <v>0</v>
      </c>
      <c r="AG266" s="454">
        <f t="shared" si="150"/>
        <v>0</v>
      </c>
      <c r="AH266" s="454">
        <f t="shared" si="150"/>
        <v>0</v>
      </c>
      <c r="AI266" s="454">
        <f t="shared" si="150"/>
        <v>0</v>
      </c>
      <c r="AJ266" s="454">
        <f t="shared" si="150"/>
        <v>0</v>
      </c>
      <c r="AK266" s="454">
        <f t="shared" si="150"/>
        <v>0</v>
      </c>
      <c r="AL266" s="454">
        <f t="shared" si="150"/>
        <v>0</v>
      </c>
      <c r="AM266" s="454">
        <f t="shared" si="150"/>
        <v>0</v>
      </c>
      <c r="AN266" s="344"/>
      <c r="AO266" s="344"/>
    </row>
    <row r="267" spans="3:41" ht="12.75">
      <c r="C267" s="344"/>
      <c r="D267" s="344"/>
      <c r="E267" s="344"/>
      <c r="F267" s="344"/>
      <c r="G267" s="344"/>
      <c r="H267" s="344">
        <f t="shared" si="131"/>
        <v>9</v>
      </c>
      <c r="I267" s="456">
        <f t="shared" si="132"/>
        <v>4813.822583799124</v>
      </c>
      <c r="J267" s="454"/>
      <c r="K267" s="454"/>
      <c r="L267" s="454"/>
      <c r="M267" s="454"/>
      <c r="N267" s="454"/>
      <c r="O267" s="454"/>
      <c r="P267" s="454"/>
      <c r="Q267" s="454"/>
      <c r="R267" s="454"/>
      <c r="S267" s="454">
        <f>$S$218*S233</f>
        <v>343.84447027136605</v>
      </c>
      <c r="T267" s="454">
        <f>$S$218*T233</f>
        <v>687.6889405427321</v>
      </c>
      <c r="U267" s="454">
        <f>$S$218*U233</f>
        <v>687.6889405427321</v>
      </c>
      <c r="V267" s="454">
        <f>$S$218*V233</f>
        <v>687.6889405427321</v>
      </c>
      <c r="W267" s="454">
        <f>$S$218*W233</f>
        <v>687.6889405427321</v>
      </c>
      <c r="X267" s="454">
        <f aca="true" t="shared" si="151" ref="X267:AM267">$S$218*X233</f>
        <v>687.6889405427321</v>
      </c>
      <c r="Y267" s="454">
        <f t="shared" si="151"/>
        <v>687.6889405427321</v>
      </c>
      <c r="Z267" s="454">
        <f t="shared" si="151"/>
        <v>343.84447027136605</v>
      </c>
      <c r="AA267" s="454">
        <f t="shared" si="151"/>
        <v>0</v>
      </c>
      <c r="AB267" s="454">
        <f t="shared" si="151"/>
        <v>0</v>
      </c>
      <c r="AC267" s="454">
        <f t="shared" si="151"/>
        <v>0</v>
      </c>
      <c r="AD267" s="454">
        <f t="shared" si="151"/>
        <v>0</v>
      </c>
      <c r="AE267" s="454">
        <f t="shared" si="151"/>
        <v>0</v>
      </c>
      <c r="AF267" s="454">
        <f t="shared" si="151"/>
        <v>0</v>
      </c>
      <c r="AG267" s="454">
        <f t="shared" si="151"/>
        <v>0</v>
      </c>
      <c r="AH267" s="454">
        <f t="shared" si="151"/>
        <v>0</v>
      </c>
      <c r="AI267" s="454">
        <f t="shared" si="151"/>
        <v>0</v>
      </c>
      <c r="AJ267" s="454">
        <f t="shared" si="151"/>
        <v>0</v>
      </c>
      <c r="AK267" s="454">
        <f t="shared" si="151"/>
        <v>0</v>
      </c>
      <c r="AL267" s="454">
        <f t="shared" si="151"/>
        <v>0</v>
      </c>
      <c r="AM267" s="454">
        <f t="shared" si="151"/>
        <v>0</v>
      </c>
      <c r="AN267" s="344"/>
      <c r="AO267" s="344"/>
    </row>
    <row r="268" spans="3:41" ht="12.75">
      <c r="C268" s="344"/>
      <c r="D268" s="344"/>
      <c r="E268" s="344"/>
      <c r="F268" s="344"/>
      <c r="G268" s="344"/>
      <c r="H268" s="344">
        <f t="shared" si="131"/>
        <v>10</v>
      </c>
      <c r="I268" s="456">
        <f t="shared" si="132"/>
        <v>4958.237261313099</v>
      </c>
      <c r="J268" s="454"/>
      <c r="K268" s="454"/>
      <c r="L268" s="454"/>
      <c r="M268" s="454"/>
      <c r="N268" s="454"/>
      <c r="O268" s="454"/>
      <c r="P268" s="454"/>
      <c r="Q268" s="454"/>
      <c r="R268" s="454"/>
      <c r="S268" s="454"/>
      <c r="T268" s="454">
        <f>$T$218*T234</f>
        <v>354.1598043795071</v>
      </c>
      <c r="U268" s="454">
        <f>$T$218*U234</f>
        <v>708.3196087590142</v>
      </c>
      <c r="V268" s="454">
        <f>$T$218*V234</f>
        <v>708.3196087590142</v>
      </c>
      <c r="W268" s="454">
        <f>$T$218*W234</f>
        <v>708.3196087590142</v>
      </c>
      <c r="X268" s="454">
        <f aca="true" t="shared" si="152" ref="X268:AM268">$T$218*X234</f>
        <v>708.3196087590142</v>
      </c>
      <c r="Y268" s="454">
        <f t="shared" si="152"/>
        <v>708.3196087590142</v>
      </c>
      <c r="Z268" s="454">
        <f t="shared" si="152"/>
        <v>708.3196087590142</v>
      </c>
      <c r="AA268" s="454">
        <f t="shared" si="152"/>
        <v>354.1598043795071</v>
      </c>
      <c r="AB268" s="454">
        <f t="shared" si="152"/>
        <v>0</v>
      </c>
      <c r="AC268" s="454">
        <f t="shared" si="152"/>
        <v>0</v>
      </c>
      <c r="AD268" s="454">
        <f t="shared" si="152"/>
        <v>0</v>
      </c>
      <c r="AE268" s="454">
        <f t="shared" si="152"/>
        <v>0</v>
      </c>
      <c r="AF268" s="454">
        <f t="shared" si="152"/>
        <v>0</v>
      </c>
      <c r="AG268" s="454">
        <f t="shared" si="152"/>
        <v>0</v>
      </c>
      <c r="AH268" s="454">
        <f t="shared" si="152"/>
        <v>0</v>
      </c>
      <c r="AI268" s="454">
        <f t="shared" si="152"/>
        <v>0</v>
      </c>
      <c r="AJ268" s="454">
        <f t="shared" si="152"/>
        <v>0</v>
      </c>
      <c r="AK268" s="454">
        <f t="shared" si="152"/>
        <v>0</v>
      </c>
      <c r="AL268" s="454">
        <f t="shared" si="152"/>
        <v>0</v>
      </c>
      <c r="AM268" s="454">
        <f t="shared" si="152"/>
        <v>0</v>
      </c>
      <c r="AN268" s="344"/>
      <c r="AO268" s="344"/>
    </row>
    <row r="269" spans="3:41" ht="12.75">
      <c r="C269" s="344"/>
      <c r="D269" s="344"/>
      <c r="E269" s="344"/>
      <c r="F269" s="344"/>
      <c r="G269" s="344"/>
      <c r="H269" s="344">
        <f t="shared" si="131"/>
        <v>11</v>
      </c>
      <c r="I269" s="456">
        <f t="shared" si="132"/>
        <v>5106.984379152494</v>
      </c>
      <c r="J269" s="454"/>
      <c r="K269" s="454"/>
      <c r="L269" s="454"/>
      <c r="M269" s="454"/>
      <c r="N269" s="454"/>
      <c r="O269" s="454"/>
      <c r="P269" s="454"/>
      <c r="Q269" s="454"/>
      <c r="R269" s="454"/>
      <c r="S269" s="454"/>
      <c r="T269" s="454"/>
      <c r="U269" s="454">
        <f>$U$218*U235</f>
        <v>364.78459851089235</v>
      </c>
      <c r="V269" s="454">
        <f>$U$218*V235</f>
        <v>729.5691970217847</v>
      </c>
      <c r="W269" s="454">
        <f>$U$218*W235</f>
        <v>729.5691970217847</v>
      </c>
      <c r="X269" s="454">
        <f aca="true" t="shared" si="153" ref="X269:AM269">$U$218*X235</f>
        <v>729.5691970217847</v>
      </c>
      <c r="Y269" s="454">
        <f t="shared" si="153"/>
        <v>729.5691970217847</v>
      </c>
      <c r="Z269" s="454">
        <f t="shared" si="153"/>
        <v>729.5691970217847</v>
      </c>
      <c r="AA269" s="454">
        <f t="shared" si="153"/>
        <v>729.5691970217847</v>
      </c>
      <c r="AB269" s="454">
        <f t="shared" si="153"/>
        <v>364.78459851089235</v>
      </c>
      <c r="AC269" s="454">
        <f t="shared" si="153"/>
        <v>0</v>
      </c>
      <c r="AD269" s="454">
        <f t="shared" si="153"/>
        <v>0</v>
      </c>
      <c r="AE269" s="454">
        <f t="shared" si="153"/>
        <v>0</v>
      </c>
      <c r="AF269" s="454">
        <f t="shared" si="153"/>
        <v>0</v>
      </c>
      <c r="AG269" s="454">
        <f t="shared" si="153"/>
        <v>0</v>
      </c>
      <c r="AH269" s="454">
        <f t="shared" si="153"/>
        <v>0</v>
      </c>
      <c r="AI269" s="454">
        <f t="shared" si="153"/>
        <v>0</v>
      </c>
      <c r="AJ269" s="454">
        <f t="shared" si="153"/>
        <v>0</v>
      </c>
      <c r="AK269" s="454">
        <f t="shared" si="153"/>
        <v>0</v>
      </c>
      <c r="AL269" s="454">
        <f t="shared" si="153"/>
        <v>0</v>
      </c>
      <c r="AM269" s="454">
        <f t="shared" si="153"/>
        <v>0</v>
      </c>
      <c r="AN269" s="344"/>
      <c r="AO269" s="344"/>
    </row>
    <row r="270" spans="3:41" ht="12.75">
      <c r="C270" s="344"/>
      <c r="D270" s="344"/>
      <c r="E270" s="344"/>
      <c r="F270" s="344"/>
      <c r="G270" s="344"/>
      <c r="H270" s="344">
        <f t="shared" si="131"/>
        <v>12</v>
      </c>
      <c r="I270" s="456">
        <f t="shared" si="132"/>
        <v>5260.193910527068</v>
      </c>
      <c r="J270" s="454"/>
      <c r="K270" s="454"/>
      <c r="L270" s="454"/>
      <c r="M270" s="454"/>
      <c r="N270" s="454"/>
      <c r="O270" s="454"/>
      <c r="P270" s="454"/>
      <c r="Q270" s="454"/>
      <c r="R270" s="454"/>
      <c r="S270" s="454"/>
      <c r="T270" s="454"/>
      <c r="U270" s="454"/>
      <c r="V270" s="454">
        <f>$V$218*V236</f>
        <v>375.7281364662191</v>
      </c>
      <c r="W270" s="454">
        <f>$V$218*W236</f>
        <v>751.4562729324382</v>
      </c>
      <c r="X270" s="454">
        <f aca="true" t="shared" si="154" ref="X270:AM270">$V$218*X236</f>
        <v>751.4562729324382</v>
      </c>
      <c r="Y270" s="454">
        <f t="shared" si="154"/>
        <v>751.4562729324382</v>
      </c>
      <c r="Z270" s="454">
        <f t="shared" si="154"/>
        <v>751.4562729324382</v>
      </c>
      <c r="AA270" s="454">
        <f t="shared" si="154"/>
        <v>751.4562729324382</v>
      </c>
      <c r="AB270" s="454">
        <f t="shared" si="154"/>
        <v>751.4562729324382</v>
      </c>
      <c r="AC270" s="454">
        <f t="shared" si="154"/>
        <v>375.7281364662191</v>
      </c>
      <c r="AD270" s="454">
        <f t="shared" si="154"/>
        <v>0</v>
      </c>
      <c r="AE270" s="454">
        <f t="shared" si="154"/>
        <v>0</v>
      </c>
      <c r="AF270" s="454">
        <f t="shared" si="154"/>
        <v>0</v>
      </c>
      <c r="AG270" s="454">
        <f t="shared" si="154"/>
        <v>0</v>
      </c>
      <c r="AH270" s="454">
        <f t="shared" si="154"/>
        <v>0</v>
      </c>
      <c r="AI270" s="454">
        <f t="shared" si="154"/>
        <v>0</v>
      </c>
      <c r="AJ270" s="454">
        <f t="shared" si="154"/>
        <v>0</v>
      </c>
      <c r="AK270" s="454">
        <f t="shared" si="154"/>
        <v>0</v>
      </c>
      <c r="AL270" s="454">
        <f t="shared" si="154"/>
        <v>0</v>
      </c>
      <c r="AM270" s="454">
        <f t="shared" si="154"/>
        <v>0</v>
      </c>
      <c r="AN270" s="344"/>
      <c r="AO270" s="344"/>
    </row>
    <row r="271" spans="3:41" ht="12.75">
      <c r="C271" s="344"/>
      <c r="D271" s="344"/>
      <c r="E271" s="344"/>
      <c r="F271" s="344"/>
      <c r="G271" s="344"/>
      <c r="H271" s="344">
        <f t="shared" si="131"/>
        <v>13</v>
      </c>
      <c r="I271" s="456">
        <f t="shared" si="132"/>
        <v>5417.999727842879</v>
      </c>
      <c r="J271" s="454"/>
      <c r="K271" s="454"/>
      <c r="L271" s="454"/>
      <c r="M271" s="454"/>
      <c r="N271" s="454"/>
      <c r="O271" s="454"/>
      <c r="P271" s="454"/>
      <c r="Q271" s="454"/>
      <c r="R271" s="454"/>
      <c r="S271" s="454"/>
      <c r="T271" s="454"/>
      <c r="U271" s="454"/>
      <c r="V271" s="454"/>
      <c r="W271" s="454">
        <f>$W$218*W237</f>
        <v>386.99998056020564</v>
      </c>
      <c r="X271" s="454">
        <f aca="true" t="shared" si="155" ref="X271:AM271">$W$218*X237</f>
        <v>773.9999611204113</v>
      </c>
      <c r="Y271" s="454">
        <f t="shared" si="155"/>
        <v>773.9999611204113</v>
      </c>
      <c r="Z271" s="454">
        <f t="shared" si="155"/>
        <v>773.9999611204113</v>
      </c>
      <c r="AA271" s="454">
        <f t="shared" si="155"/>
        <v>773.9999611204113</v>
      </c>
      <c r="AB271" s="454">
        <f t="shared" si="155"/>
        <v>773.9999611204113</v>
      </c>
      <c r="AC271" s="454">
        <f t="shared" si="155"/>
        <v>773.9999611204113</v>
      </c>
      <c r="AD271" s="454">
        <f t="shared" si="155"/>
        <v>386.99998056020564</v>
      </c>
      <c r="AE271" s="454">
        <f t="shared" si="155"/>
        <v>0</v>
      </c>
      <c r="AF271" s="454">
        <f t="shared" si="155"/>
        <v>0</v>
      </c>
      <c r="AG271" s="454">
        <f t="shared" si="155"/>
        <v>0</v>
      </c>
      <c r="AH271" s="454">
        <f t="shared" si="155"/>
        <v>0</v>
      </c>
      <c r="AI271" s="454">
        <f t="shared" si="155"/>
        <v>0</v>
      </c>
      <c r="AJ271" s="454">
        <f t="shared" si="155"/>
        <v>0</v>
      </c>
      <c r="AK271" s="454">
        <f t="shared" si="155"/>
        <v>0</v>
      </c>
      <c r="AL271" s="454">
        <f t="shared" si="155"/>
        <v>0</v>
      </c>
      <c r="AM271" s="454">
        <f t="shared" si="155"/>
        <v>0</v>
      </c>
      <c r="AN271" s="344"/>
      <c r="AO271" s="344"/>
    </row>
    <row r="272" spans="3:41" ht="12.75">
      <c r="C272" s="344"/>
      <c r="D272" s="344"/>
      <c r="E272" s="344"/>
      <c r="F272" s="344"/>
      <c r="G272" s="344"/>
      <c r="H272" s="344">
        <f t="shared" si="131"/>
        <v>14</v>
      </c>
      <c r="I272" s="456">
        <f t="shared" si="132"/>
        <v>5580.539719678164</v>
      </c>
      <c r="J272" s="454"/>
      <c r="K272" s="454"/>
      <c r="L272" s="454"/>
      <c r="M272" s="454"/>
      <c r="N272" s="454"/>
      <c r="O272" s="454"/>
      <c r="P272" s="454"/>
      <c r="Q272" s="454"/>
      <c r="R272" s="454"/>
      <c r="S272" s="454"/>
      <c r="T272" s="454"/>
      <c r="U272" s="454"/>
      <c r="V272" s="454"/>
      <c r="W272" s="454"/>
      <c r="X272" s="454">
        <f>$X$218*X238</f>
        <v>398.60997997701173</v>
      </c>
      <c r="Y272" s="454">
        <f aca="true" t="shared" si="156" ref="Y272:AM272">$X$218*Y238</f>
        <v>797.2199599540235</v>
      </c>
      <c r="Z272" s="454">
        <f t="shared" si="156"/>
        <v>797.2199599540235</v>
      </c>
      <c r="AA272" s="454">
        <f t="shared" si="156"/>
        <v>797.2199599540235</v>
      </c>
      <c r="AB272" s="454">
        <f t="shared" si="156"/>
        <v>797.2199599540235</v>
      </c>
      <c r="AC272" s="454">
        <f t="shared" si="156"/>
        <v>797.2199599540235</v>
      </c>
      <c r="AD272" s="454">
        <f t="shared" si="156"/>
        <v>797.2199599540235</v>
      </c>
      <c r="AE272" s="454">
        <f t="shared" si="156"/>
        <v>398.60997997701173</v>
      </c>
      <c r="AF272" s="454">
        <f t="shared" si="156"/>
        <v>0</v>
      </c>
      <c r="AG272" s="454">
        <f t="shared" si="156"/>
        <v>0</v>
      </c>
      <c r="AH272" s="454">
        <f t="shared" si="156"/>
        <v>0</v>
      </c>
      <c r="AI272" s="454">
        <f t="shared" si="156"/>
        <v>0</v>
      </c>
      <c r="AJ272" s="454">
        <f t="shared" si="156"/>
        <v>0</v>
      </c>
      <c r="AK272" s="454">
        <f t="shared" si="156"/>
        <v>0</v>
      </c>
      <c r="AL272" s="454">
        <f t="shared" si="156"/>
        <v>0</v>
      </c>
      <c r="AM272" s="454">
        <f t="shared" si="156"/>
        <v>0</v>
      </c>
      <c r="AN272" s="344"/>
      <c r="AO272" s="344"/>
    </row>
    <row r="273" spans="3:41" ht="12.75">
      <c r="C273" s="344"/>
      <c r="D273" s="344"/>
      <c r="E273" s="344"/>
      <c r="F273" s="344"/>
      <c r="G273" s="344"/>
      <c r="H273" s="344">
        <f t="shared" si="131"/>
        <v>15</v>
      </c>
      <c r="I273" s="456">
        <f t="shared" si="132"/>
        <v>5747.955911268509</v>
      </c>
      <c r="J273" s="454"/>
      <c r="K273" s="454"/>
      <c r="L273" s="454"/>
      <c r="M273" s="454"/>
      <c r="N273" s="454"/>
      <c r="O273" s="454"/>
      <c r="P273" s="454"/>
      <c r="Q273" s="454"/>
      <c r="R273" s="454"/>
      <c r="S273" s="454"/>
      <c r="T273" s="454"/>
      <c r="U273" s="454"/>
      <c r="V273" s="454"/>
      <c r="W273" s="454"/>
      <c r="X273" s="454"/>
      <c r="Y273" s="454">
        <f>$Y$218*Y239</f>
        <v>410.56827937632215</v>
      </c>
      <c r="Z273" s="454">
        <f aca="true" t="shared" si="157" ref="Z273:AM273">$Y$218*Z239</f>
        <v>821.1365587526443</v>
      </c>
      <c r="AA273" s="454">
        <f t="shared" si="157"/>
        <v>821.1365587526443</v>
      </c>
      <c r="AB273" s="454">
        <f t="shared" si="157"/>
        <v>821.1365587526443</v>
      </c>
      <c r="AC273" s="454">
        <f t="shared" si="157"/>
        <v>821.1365587526443</v>
      </c>
      <c r="AD273" s="454">
        <f t="shared" si="157"/>
        <v>821.1365587526443</v>
      </c>
      <c r="AE273" s="454">
        <f t="shared" si="157"/>
        <v>821.1365587526443</v>
      </c>
      <c r="AF273" s="454">
        <f t="shared" si="157"/>
        <v>410.56827937632215</v>
      </c>
      <c r="AG273" s="454">
        <f t="shared" si="157"/>
        <v>0</v>
      </c>
      <c r="AH273" s="454">
        <f t="shared" si="157"/>
        <v>0</v>
      </c>
      <c r="AI273" s="454">
        <f t="shared" si="157"/>
        <v>0</v>
      </c>
      <c r="AJ273" s="454">
        <f t="shared" si="157"/>
        <v>0</v>
      </c>
      <c r="AK273" s="454">
        <f t="shared" si="157"/>
        <v>0</v>
      </c>
      <c r="AL273" s="454">
        <f t="shared" si="157"/>
        <v>0</v>
      </c>
      <c r="AM273" s="454">
        <f t="shared" si="157"/>
        <v>0</v>
      </c>
      <c r="AN273" s="344"/>
      <c r="AO273" s="344"/>
    </row>
    <row r="274" spans="3:41" ht="12.75">
      <c r="C274" s="344"/>
      <c r="D274" s="344"/>
      <c r="E274" s="344"/>
      <c r="F274" s="344"/>
      <c r="G274" s="344"/>
      <c r="H274" s="344">
        <f t="shared" si="131"/>
        <v>16</v>
      </c>
      <c r="I274" s="456">
        <f t="shared" si="132"/>
        <v>5920.394588606565</v>
      </c>
      <c r="J274" s="454"/>
      <c r="K274" s="454"/>
      <c r="L274" s="454"/>
      <c r="M274" s="454"/>
      <c r="N274" s="454"/>
      <c r="O274" s="454"/>
      <c r="P274" s="454"/>
      <c r="Q274" s="454"/>
      <c r="R274" s="454"/>
      <c r="S274" s="454"/>
      <c r="T274" s="454"/>
      <c r="U274" s="454"/>
      <c r="V274" s="454"/>
      <c r="W274" s="454"/>
      <c r="X274" s="454"/>
      <c r="Y274" s="454"/>
      <c r="Z274" s="454">
        <f>$Z$218*Z240</f>
        <v>422.8853277576118</v>
      </c>
      <c r="AA274" s="454">
        <f aca="true" t="shared" si="158" ref="AA274:AM274">$Z$218*AA240</f>
        <v>845.7706555152236</v>
      </c>
      <c r="AB274" s="454">
        <f t="shared" si="158"/>
        <v>845.7706555152236</v>
      </c>
      <c r="AC274" s="454">
        <f t="shared" si="158"/>
        <v>845.7706555152236</v>
      </c>
      <c r="AD274" s="454">
        <f t="shared" si="158"/>
        <v>845.7706555152236</v>
      </c>
      <c r="AE274" s="454">
        <f t="shared" si="158"/>
        <v>845.7706555152236</v>
      </c>
      <c r="AF274" s="454">
        <f t="shared" si="158"/>
        <v>845.7706555152236</v>
      </c>
      <c r="AG274" s="454">
        <f t="shared" si="158"/>
        <v>422.8853277576118</v>
      </c>
      <c r="AH274" s="454">
        <f t="shared" si="158"/>
        <v>0</v>
      </c>
      <c r="AI274" s="454">
        <f t="shared" si="158"/>
        <v>0</v>
      </c>
      <c r="AJ274" s="454">
        <f t="shared" si="158"/>
        <v>0</v>
      </c>
      <c r="AK274" s="454">
        <f t="shared" si="158"/>
        <v>0</v>
      </c>
      <c r="AL274" s="454">
        <f t="shared" si="158"/>
        <v>0</v>
      </c>
      <c r="AM274" s="454">
        <f t="shared" si="158"/>
        <v>0</v>
      </c>
      <c r="AN274" s="344"/>
      <c r="AO274" s="344"/>
    </row>
    <row r="275" spans="3:41" ht="12.75">
      <c r="C275" s="344"/>
      <c r="D275" s="344"/>
      <c r="E275" s="344"/>
      <c r="F275" s="344"/>
      <c r="G275" s="344"/>
      <c r="H275" s="344">
        <f t="shared" si="131"/>
        <v>17</v>
      </c>
      <c r="I275" s="456">
        <f t="shared" si="132"/>
        <v>6098.006426264761</v>
      </c>
      <c r="J275" s="454"/>
      <c r="K275" s="454"/>
      <c r="L275" s="454"/>
      <c r="M275" s="454"/>
      <c r="N275" s="454"/>
      <c r="O275" s="454"/>
      <c r="P275" s="454"/>
      <c r="Q275" s="454"/>
      <c r="R275" s="454"/>
      <c r="S275" s="454"/>
      <c r="T275" s="454"/>
      <c r="U275" s="454"/>
      <c r="V275" s="454"/>
      <c r="W275" s="454"/>
      <c r="X275" s="454"/>
      <c r="Y275" s="454"/>
      <c r="Z275" s="454"/>
      <c r="AA275" s="454">
        <f>$AA$218*AA241</f>
        <v>435.57188759034005</v>
      </c>
      <c r="AB275" s="454">
        <f aca="true" t="shared" si="159" ref="AB275:AM275">$AA$218*AB241</f>
        <v>871.1437751806801</v>
      </c>
      <c r="AC275" s="454">
        <f t="shared" si="159"/>
        <v>871.1437751806801</v>
      </c>
      <c r="AD275" s="454">
        <f t="shared" si="159"/>
        <v>871.1437751806801</v>
      </c>
      <c r="AE275" s="454">
        <f t="shared" si="159"/>
        <v>871.1437751806801</v>
      </c>
      <c r="AF275" s="454">
        <f t="shared" si="159"/>
        <v>871.1437751806801</v>
      </c>
      <c r="AG275" s="454">
        <f t="shared" si="159"/>
        <v>871.1437751806801</v>
      </c>
      <c r="AH275" s="454">
        <f t="shared" si="159"/>
        <v>435.57188759034005</v>
      </c>
      <c r="AI275" s="454">
        <f t="shared" si="159"/>
        <v>0</v>
      </c>
      <c r="AJ275" s="454">
        <f t="shared" si="159"/>
        <v>0</v>
      </c>
      <c r="AK275" s="454">
        <f t="shared" si="159"/>
        <v>0</v>
      </c>
      <c r="AL275" s="454">
        <f t="shared" si="159"/>
        <v>0</v>
      </c>
      <c r="AM275" s="454">
        <f t="shared" si="159"/>
        <v>0</v>
      </c>
      <c r="AN275" s="344"/>
      <c r="AO275" s="344"/>
    </row>
    <row r="276" spans="3:41" ht="12.75">
      <c r="C276" s="344"/>
      <c r="D276" s="344"/>
      <c r="E276" s="344"/>
      <c r="F276" s="344"/>
      <c r="G276" s="344"/>
      <c r="H276" s="344">
        <f t="shared" si="131"/>
        <v>18</v>
      </c>
      <c r="I276" s="456">
        <f t="shared" si="132"/>
        <v>6280.9466190527055</v>
      </c>
      <c r="J276" s="454"/>
      <c r="K276" s="454"/>
      <c r="L276" s="454"/>
      <c r="M276" s="454"/>
      <c r="N276" s="454"/>
      <c r="O276" s="454"/>
      <c r="P276" s="454"/>
      <c r="Q276" s="454"/>
      <c r="R276" s="454"/>
      <c r="S276" s="454"/>
      <c r="T276" s="454"/>
      <c r="U276" s="454"/>
      <c r="V276" s="454"/>
      <c r="W276" s="454"/>
      <c r="X276" s="454"/>
      <c r="Y276" s="454"/>
      <c r="Z276" s="454"/>
      <c r="AA276" s="454"/>
      <c r="AB276" s="454">
        <f>$AB$218*AB242</f>
        <v>448.63904421805034</v>
      </c>
      <c r="AC276" s="454">
        <f aca="true" t="shared" si="160" ref="AC276:AM276">$AB$218*AC242</f>
        <v>897.2780884361007</v>
      </c>
      <c r="AD276" s="454">
        <f t="shared" si="160"/>
        <v>897.2780884361007</v>
      </c>
      <c r="AE276" s="454">
        <f t="shared" si="160"/>
        <v>897.2780884361007</v>
      </c>
      <c r="AF276" s="454">
        <f t="shared" si="160"/>
        <v>897.2780884361007</v>
      </c>
      <c r="AG276" s="454">
        <f t="shared" si="160"/>
        <v>897.2780884361007</v>
      </c>
      <c r="AH276" s="454">
        <f t="shared" si="160"/>
        <v>897.2780884361007</v>
      </c>
      <c r="AI276" s="454">
        <f t="shared" si="160"/>
        <v>448.63904421805034</v>
      </c>
      <c r="AJ276" s="454">
        <f t="shared" si="160"/>
        <v>0</v>
      </c>
      <c r="AK276" s="454">
        <f t="shared" si="160"/>
        <v>0</v>
      </c>
      <c r="AL276" s="454">
        <f t="shared" si="160"/>
        <v>0</v>
      </c>
      <c r="AM276" s="454">
        <f t="shared" si="160"/>
        <v>0</v>
      </c>
      <c r="AN276" s="344"/>
      <c r="AO276" s="344"/>
    </row>
    <row r="277" spans="3:41" ht="12.75">
      <c r="C277" s="344"/>
      <c r="D277" s="344"/>
      <c r="E277" s="344"/>
      <c r="F277" s="344"/>
      <c r="G277" s="344"/>
      <c r="H277" s="344">
        <f t="shared" si="131"/>
        <v>19</v>
      </c>
      <c r="I277" s="456">
        <f t="shared" si="132"/>
        <v>6469.2456327116315</v>
      </c>
      <c r="J277" s="454"/>
      <c r="K277" s="454"/>
      <c r="L277" s="454"/>
      <c r="M277" s="454"/>
      <c r="N277" s="454"/>
      <c r="O277" s="454"/>
      <c r="P277" s="454"/>
      <c r="Q277" s="454"/>
      <c r="R277" s="454"/>
      <c r="S277" s="454"/>
      <c r="T277" s="454"/>
      <c r="U277" s="454"/>
      <c r="V277" s="454"/>
      <c r="W277" s="454"/>
      <c r="X277" s="454"/>
      <c r="Y277" s="454"/>
      <c r="Z277" s="454"/>
      <c r="AA277" s="454"/>
      <c r="AB277" s="454"/>
      <c r="AC277" s="454">
        <f>$AC$218*AC243</f>
        <v>924.1779475302332</v>
      </c>
      <c r="AD277" s="454">
        <f aca="true" t="shared" si="161" ref="AD277:AM277">$AC$218*AD243</f>
        <v>924.1779475302332</v>
      </c>
      <c r="AE277" s="454">
        <f t="shared" si="161"/>
        <v>924.1779475302332</v>
      </c>
      <c r="AF277" s="454">
        <f t="shared" si="161"/>
        <v>924.1779475302332</v>
      </c>
      <c r="AG277" s="454">
        <f t="shared" si="161"/>
        <v>924.1779475302332</v>
      </c>
      <c r="AH277" s="454">
        <f t="shared" si="161"/>
        <v>924.1779475302332</v>
      </c>
      <c r="AI277" s="454">
        <f t="shared" si="161"/>
        <v>924.1779475302332</v>
      </c>
      <c r="AJ277" s="454">
        <f t="shared" si="161"/>
        <v>0</v>
      </c>
      <c r="AK277" s="454">
        <f t="shared" si="161"/>
        <v>0</v>
      </c>
      <c r="AL277" s="454">
        <f t="shared" si="161"/>
        <v>0</v>
      </c>
      <c r="AM277" s="454">
        <f t="shared" si="161"/>
        <v>0</v>
      </c>
      <c r="AN277" s="344"/>
      <c r="AO277" s="344"/>
    </row>
    <row r="278" spans="3:41" ht="12.75">
      <c r="C278" s="344"/>
      <c r="D278" s="344"/>
      <c r="E278" s="344"/>
      <c r="F278" s="344"/>
      <c r="G278" s="344"/>
      <c r="H278" s="344">
        <f t="shared" si="131"/>
        <v>20</v>
      </c>
      <c r="I278" s="456">
        <f t="shared" si="132"/>
        <v>6663.32300169298</v>
      </c>
      <c r="J278" s="454"/>
      <c r="K278" s="454"/>
      <c r="L278" s="454"/>
      <c r="M278" s="454"/>
      <c r="N278" s="454"/>
      <c r="O278" s="454"/>
      <c r="P278" s="454"/>
      <c r="Q278" s="454"/>
      <c r="R278" s="454"/>
      <c r="S278" s="454"/>
      <c r="T278" s="454"/>
      <c r="U278" s="454"/>
      <c r="V278" s="454"/>
      <c r="W278" s="454"/>
      <c r="X278" s="454"/>
      <c r="Y278" s="454"/>
      <c r="Z278" s="454"/>
      <c r="AA278" s="454"/>
      <c r="AB278" s="454"/>
      <c r="AC278" s="454"/>
      <c r="AD278" s="454">
        <f>$AD$218*AD244</f>
        <v>1110.5538336154966</v>
      </c>
      <c r="AE278" s="454">
        <f aca="true" t="shared" si="162" ref="AE278:AM278">$AD$218*AE244</f>
        <v>1110.5538336154966</v>
      </c>
      <c r="AF278" s="454">
        <f t="shared" si="162"/>
        <v>1110.5538336154966</v>
      </c>
      <c r="AG278" s="454">
        <f t="shared" si="162"/>
        <v>1110.5538336154966</v>
      </c>
      <c r="AH278" s="454">
        <f t="shared" si="162"/>
        <v>1110.5538336154966</v>
      </c>
      <c r="AI278" s="454">
        <f t="shared" si="162"/>
        <v>1110.5538336154966</v>
      </c>
      <c r="AJ278" s="454">
        <f t="shared" si="162"/>
        <v>0</v>
      </c>
      <c r="AK278" s="454">
        <f t="shared" si="162"/>
        <v>0</v>
      </c>
      <c r="AL278" s="454">
        <f t="shared" si="162"/>
        <v>0</v>
      </c>
      <c r="AM278" s="454">
        <f t="shared" si="162"/>
        <v>0</v>
      </c>
      <c r="AN278" s="344"/>
      <c r="AO278" s="344"/>
    </row>
    <row r="279" spans="3:41" ht="12.75">
      <c r="C279" s="344"/>
      <c r="D279" s="344"/>
      <c r="E279" s="344"/>
      <c r="F279" s="344"/>
      <c r="G279" s="344"/>
      <c r="H279" s="344">
        <f t="shared" si="131"/>
        <v>21</v>
      </c>
      <c r="I279" s="456">
        <f t="shared" si="132"/>
        <v>6863.222691743771</v>
      </c>
      <c r="J279" s="454"/>
      <c r="K279" s="454"/>
      <c r="L279" s="454"/>
      <c r="M279" s="454"/>
      <c r="N279" s="454"/>
      <c r="O279" s="454"/>
      <c r="P279" s="454"/>
      <c r="Q279" s="454"/>
      <c r="R279" s="454"/>
      <c r="S279" s="454"/>
      <c r="T279" s="454"/>
      <c r="U279" s="454"/>
      <c r="V279" s="454"/>
      <c r="W279" s="454"/>
      <c r="X279" s="454"/>
      <c r="Y279" s="454"/>
      <c r="Z279" s="454"/>
      <c r="AA279" s="454"/>
      <c r="AB279" s="454"/>
      <c r="AC279" s="454"/>
      <c r="AD279" s="454"/>
      <c r="AE279" s="454">
        <f>$AE$218*AE245</f>
        <v>1372.6445383487542</v>
      </c>
      <c r="AF279" s="454">
        <f aca="true" t="shared" si="163" ref="AF279:AM279">$AE$218*AF245</f>
        <v>1372.6445383487542</v>
      </c>
      <c r="AG279" s="454">
        <f t="shared" si="163"/>
        <v>1372.6445383487542</v>
      </c>
      <c r="AH279" s="454">
        <f t="shared" si="163"/>
        <v>1372.6445383487542</v>
      </c>
      <c r="AI279" s="454">
        <f t="shared" si="163"/>
        <v>1372.6445383487542</v>
      </c>
      <c r="AJ279" s="454">
        <f t="shared" si="163"/>
        <v>0</v>
      </c>
      <c r="AK279" s="454">
        <f t="shared" si="163"/>
        <v>0</v>
      </c>
      <c r="AL279" s="454">
        <f t="shared" si="163"/>
        <v>0</v>
      </c>
      <c r="AM279" s="454">
        <f t="shared" si="163"/>
        <v>0</v>
      </c>
      <c r="AN279" s="344"/>
      <c r="AO279" s="344"/>
    </row>
    <row r="280" spans="3:41" ht="12.75">
      <c r="C280" s="344"/>
      <c r="D280" s="344"/>
      <c r="E280" s="344"/>
      <c r="F280" s="344"/>
      <c r="G280" s="344"/>
      <c r="H280" s="344">
        <f t="shared" si="131"/>
        <v>22</v>
      </c>
      <c r="I280" s="456">
        <f t="shared" si="132"/>
        <v>5301.839529372061</v>
      </c>
      <c r="J280" s="454"/>
      <c r="K280" s="454"/>
      <c r="L280" s="454"/>
      <c r="M280" s="454"/>
      <c r="N280" s="454"/>
      <c r="O280" s="454"/>
      <c r="P280" s="454"/>
      <c r="Q280" s="454"/>
      <c r="R280" s="454"/>
      <c r="S280" s="454"/>
      <c r="T280" s="454"/>
      <c r="U280" s="454"/>
      <c r="V280" s="454"/>
      <c r="W280" s="454"/>
      <c r="X280" s="454"/>
      <c r="Y280" s="454"/>
      <c r="Z280" s="454"/>
      <c r="AA280" s="454"/>
      <c r="AB280" s="454"/>
      <c r="AC280" s="454"/>
      <c r="AD280" s="454"/>
      <c r="AE280" s="454"/>
      <c r="AF280" s="454">
        <f>$AF$218*AF246</f>
        <v>1325.4598823430154</v>
      </c>
      <c r="AG280" s="454">
        <f aca="true" t="shared" si="164" ref="AG280:AM280">$AF$218*AG246</f>
        <v>1325.4598823430154</v>
      </c>
      <c r="AH280" s="454">
        <f t="shared" si="164"/>
        <v>1325.4598823430154</v>
      </c>
      <c r="AI280" s="454">
        <f t="shared" si="164"/>
        <v>1325.4598823430154</v>
      </c>
      <c r="AJ280" s="454">
        <f t="shared" si="164"/>
        <v>0</v>
      </c>
      <c r="AK280" s="454">
        <f t="shared" si="164"/>
        <v>0</v>
      </c>
      <c r="AL280" s="454">
        <f t="shared" si="164"/>
        <v>0</v>
      </c>
      <c r="AM280" s="454">
        <f t="shared" si="164"/>
        <v>0</v>
      </c>
      <c r="AN280" s="344"/>
      <c r="AO280" s="344"/>
    </row>
    <row r="281" spans="3:41" ht="12.75">
      <c r="C281" s="344"/>
      <c r="D281" s="344"/>
      <c r="E281" s="344"/>
      <c r="F281" s="344"/>
      <c r="G281" s="344"/>
      <c r="H281" s="344">
        <f t="shared" si="131"/>
        <v>23</v>
      </c>
      <c r="I281" s="456">
        <f t="shared" si="132"/>
        <v>3640.596476835483</v>
      </c>
      <c r="J281" s="454"/>
      <c r="K281" s="454"/>
      <c r="L281" s="454"/>
      <c r="M281" s="454"/>
      <c r="N281" s="454"/>
      <c r="O281" s="454"/>
      <c r="P281" s="454"/>
      <c r="Q281" s="454"/>
      <c r="R281" s="454"/>
      <c r="S281" s="454"/>
      <c r="T281" s="454"/>
      <c r="U281" s="454"/>
      <c r="V281" s="454"/>
      <c r="W281" s="454"/>
      <c r="X281" s="454"/>
      <c r="Y281" s="454"/>
      <c r="Z281" s="454"/>
      <c r="AA281" s="454"/>
      <c r="AB281" s="454"/>
      <c r="AC281" s="454"/>
      <c r="AD281" s="454"/>
      <c r="AE281" s="454"/>
      <c r="AF281" s="454"/>
      <c r="AG281" s="454">
        <f>$AG$218*AG247</f>
        <v>1213.532158945161</v>
      </c>
      <c r="AH281" s="454">
        <f aca="true" t="shared" si="165" ref="AH281:AM281">$AG$218*AH247</f>
        <v>1213.532158945161</v>
      </c>
      <c r="AI281" s="454">
        <f t="shared" si="165"/>
        <v>1213.532158945161</v>
      </c>
      <c r="AJ281" s="454">
        <f t="shared" si="165"/>
        <v>0</v>
      </c>
      <c r="AK281" s="454">
        <f t="shared" si="165"/>
        <v>0</v>
      </c>
      <c r="AL281" s="454">
        <f t="shared" si="165"/>
        <v>0</v>
      </c>
      <c r="AM281" s="454">
        <f t="shared" si="165"/>
        <v>0</v>
      </c>
      <c r="AN281" s="344"/>
      <c r="AO281" s="344"/>
    </row>
    <row r="282" spans="3:41" ht="12.75">
      <c r="C282" s="344"/>
      <c r="D282" s="344"/>
      <c r="E282" s="344"/>
      <c r="F282" s="344"/>
      <c r="G282" s="344"/>
      <c r="H282" s="344">
        <f t="shared" si="131"/>
        <v>24</v>
      </c>
      <c r="I282" s="456">
        <f t="shared" si="132"/>
        <v>1874.9071855702737</v>
      </c>
      <c r="J282" s="454"/>
      <c r="K282" s="454"/>
      <c r="L282" s="454"/>
      <c r="M282" s="454"/>
      <c r="N282" s="454"/>
      <c r="O282" s="454"/>
      <c r="P282" s="454"/>
      <c r="Q282" s="454"/>
      <c r="R282" s="454"/>
      <c r="S282" s="454"/>
      <c r="T282" s="454"/>
      <c r="U282" s="454"/>
      <c r="V282" s="454"/>
      <c r="W282" s="454"/>
      <c r="X282" s="454"/>
      <c r="Y282" s="454"/>
      <c r="Z282" s="454"/>
      <c r="AA282" s="454"/>
      <c r="AB282" s="454"/>
      <c r="AC282" s="454"/>
      <c r="AD282" s="454"/>
      <c r="AE282" s="454"/>
      <c r="AF282" s="454"/>
      <c r="AG282" s="454"/>
      <c r="AH282" s="454">
        <f aca="true" t="shared" si="166" ref="AH282:AM282">$AH$218*AH248</f>
        <v>937.4535927851368</v>
      </c>
      <c r="AI282" s="454">
        <f t="shared" si="166"/>
        <v>937.4535927851368</v>
      </c>
      <c r="AJ282" s="454">
        <f t="shared" si="166"/>
        <v>0</v>
      </c>
      <c r="AK282" s="454">
        <f t="shared" si="166"/>
        <v>0</v>
      </c>
      <c r="AL282" s="454">
        <f t="shared" si="166"/>
        <v>0</v>
      </c>
      <c r="AM282" s="454">
        <f t="shared" si="166"/>
        <v>0</v>
      </c>
      <c r="AN282" s="344"/>
      <c r="AO282" s="344"/>
    </row>
    <row r="283" spans="3:41" ht="12.75">
      <c r="C283" s="344"/>
      <c r="D283" s="344"/>
      <c r="E283" s="344"/>
      <c r="F283" s="344"/>
      <c r="G283" s="344"/>
      <c r="H283" s="344">
        <f t="shared" si="131"/>
        <v>25</v>
      </c>
      <c r="I283" s="456">
        <f t="shared" si="132"/>
        <v>772.4617604549527</v>
      </c>
      <c r="J283" s="454"/>
      <c r="K283" s="454"/>
      <c r="L283" s="454"/>
      <c r="M283" s="454"/>
      <c r="N283" s="454"/>
      <c r="O283" s="454"/>
      <c r="P283" s="454"/>
      <c r="Q283" s="454"/>
      <c r="R283" s="454"/>
      <c r="S283" s="454"/>
      <c r="T283" s="454"/>
      <c r="U283" s="454"/>
      <c r="V283" s="454"/>
      <c r="W283" s="454"/>
      <c r="X283" s="454"/>
      <c r="Y283" s="454"/>
      <c r="Z283" s="454"/>
      <c r="AA283" s="454"/>
      <c r="AB283" s="454"/>
      <c r="AC283" s="454"/>
      <c r="AD283" s="454"/>
      <c r="AE283" s="454"/>
      <c r="AF283" s="454"/>
      <c r="AG283" s="454"/>
      <c r="AH283" s="454"/>
      <c r="AI283" s="454">
        <f>$AI$218*AI249</f>
        <v>772.4617604549527</v>
      </c>
      <c r="AJ283" s="454">
        <f>$AI$218*AJ249</f>
        <v>0</v>
      </c>
      <c r="AK283" s="454">
        <f>$AI$218*AK249</f>
        <v>0</v>
      </c>
      <c r="AL283" s="454">
        <f>$AI$218*AL249</f>
        <v>0</v>
      </c>
      <c r="AM283" s="454">
        <f>$AI$218*AM249</f>
        <v>0</v>
      </c>
      <c r="AN283" s="344"/>
      <c r="AO283" s="344"/>
    </row>
    <row r="284" spans="3:41" ht="12.75">
      <c r="C284" s="344"/>
      <c r="D284" s="344"/>
      <c r="E284" s="344"/>
      <c r="F284" s="344"/>
      <c r="G284" s="344"/>
      <c r="H284" s="344">
        <f t="shared" si="131"/>
        <v>26</v>
      </c>
      <c r="I284" s="456">
        <f t="shared" si="132"/>
        <v>0</v>
      </c>
      <c r="J284" s="454"/>
      <c r="K284" s="454"/>
      <c r="L284" s="454"/>
      <c r="M284" s="454"/>
      <c r="N284" s="454"/>
      <c r="O284" s="454"/>
      <c r="P284" s="454"/>
      <c r="Q284" s="454"/>
      <c r="R284" s="454"/>
      <c r="S284" s="454"/>
      <c r="T284" s="454"/>
      <c r="U284" s="454"/>
      <c r="V284" s="454"/>
      <c r="W284" s="454"/>
      <c r="X284" s="454"/>
      <c r="Y284" s="454"/>
      <c r="Z284" s="454"/>
      <c r="AA284" s="454"/>
      <c r="AB284" s="454"/>
      <c r="AC284" s="454"/>
      <c r="AD284" s="454"/>
      <c r="AE284" s="454"/>
      <c r="AF284" s="454"/>
      <c r="AG284" s="454"/>
      <c r="AH284" s="454"/>
      <c r="AI284" s="454"/>
      <c r="AJ284" s="454">
        <f>$AJ$218*AJ250</f>
        <v>0</v>
      </c>
      <c r="AK284" s="454">
        <f>$AJ$218*AK250</f>
        <v>0</v>
      </c>
      <c r="AL284" s="454">
        <f>$AJ$218*AL250</f>
        <v>0</v>
      </c>
      <c r="AM284" s="454">
        <f>$AJ$218*AM250</f>
        <v>0</v>
      </c>
      <c r="AN284" s="344"/>
      <c r="AO284" s="344"/>
    </row>
    <row r="285" spans="3:41" ht="12.75">
      <c r="C285" s="344"/>
      <c r="D285" s="344"/>
      <c r="E285" s="344"/>
      <c r="F285" s="344"/>
      <c r="G285" s="344"/>
      <c r="H285" s="344">
        <f t="shared" si="131"/>
        <v>27</v>
      </c>
      <c r="I285" s="456">
        <f t="shared" si="132"/>
        <v>0</v>
      </c>
      <c r="J285" s="454"/>
      <c r="K285" s="454"/>
      <c r="L285" s="454"/>
      <c r="M285" s="454"/>
      <c r="N285" s="454"/>
      <c r="O285" s="454"/>
      <c r="P285" s="454"/>
      <c r="Q285" s="454"/>
      <c r="R285" s="454"/>
      <c r="S285" s="454"/>
      <c r="T285" s="454"/>
      <c r="U285" s="454"/>
      <c r="V285" s="454"/>
      <c r="W285" s="454"/>
      <c r="X285" s="454"/>
      <c r="Y285" s="454"/>
      <c r="Z285" s="454"/>
      <c r="AA285" s="454"/>
      <c r="AB285" s="454"/>
      <c r="AC285" s="454"/>
      <c r="AD285" s="454"/>
      <c r="AE285" s="454"/>
      <c r="AF285" s="454"/>
      <c r="AG285" s="454"/>
      <c r="AH285" s="454"/>
      <c r="AI285" s="454"/>
      <c r="AJ285" s="454"/>
      <c r="AK285" s="454">
        <f>$AK$218*AK251</f>
        <v>0</v>
      </c>
      <c r="AL285" s="454">
        <f>$AK$218*AL251</f>
        <v>0</v>
      </c>
      <c r="AM285" s="454">
        <f>$AK$218*AM251</f>
        <v>0</v>
      </c>
      <c r="AN285" s="344"/>
      <c r="AO285" s="344"/>
    </row>
    <row r="286" spans="3:41" ht="12.75">
      <c r="C286" s="344"/>
      <c r="D286" s="344"/>
      <c r="E286" s="344"/>
      <c r="F286" s="344"/>
      <c r="G286" s="344"/>
      <c r="H286" s="344">
        <f t="shared" si="131"/>
        <v>28</v>
      </c>
      <c r="I286" s="456">
        <f t="shared" si="132"/>
        <v>0</v>
      </c>
      <c r="J286" s="344"/>
      <c r="K286" s="344"/>
      <c r="L286" s="344"/>
      <c r="M286" s="344"/>
      <c r="N286" s="344"/>
      <c r="O286" s="344"/>
      <c r="P286" s="344"/>
      <c r="Q286" s="344"/>
      <c r="R286" s="344"/>
      <c r="S286" s="344"/>
      <c r="T286" s="344"/>
      <c r="U286" s="344"/>
      <c r="V286" s="344"/>
      <c r="W286" s="344"/>
      <c r="X286" s="344"/>
      <c r="Y286" s="344"/>
      <c r="Z286" s="344"/>
      <c r="AA286" s="344"/>
      <c r="AB286" s="344"/>
      <c r="AC286" s="344"/>
      <c r="AD286" s="344"/>
      <c r="AE286" s="344"/>
      <c r="AF286" s="344"/>
      <c r="AG286" s="344"/>
      <c r="AH286" s="344"/>
      <c r="AI286" s="344"/>
      <c r="AJ286" s="344"/>
      <c r="AK286" s="344"/>
      <c r="AL286" s="454">
        <f>$AL$218*AL252</f>
        <v>0</v>
      </c>
      <c r="AM286" s="454">
        <f>$AL$218*AM252</f>
        <v>0</v>
      </c>
      <c r="AN286" s="344"/>
      <c r="AO286" s="344"/>
    </row>
    <row r="287" spans="3:41" ht="12.75">
      <c r="C287" s="344"/>
      <c r="D287" s="344"/>
      <c r="E287" s="344"/>
      <c r="F287" s="344"/>
      <c r="G287" s="344"/>
      <c r="H287" s="344">
        <f t="shared" si="131"/>
        <v>29</v>
      </c>
      <c r="I287" s="456">
        <f t="shared" si="132"/>
        <v>0</v>
      </c>
      <c r="J287" s="344"/>
      <c r="K287" s="344"/>
      <c r="L287" s="344"/>
      <c r="M287" s="344"/>
      <c r="N287" s="344"/>
      <c r="O287" s="344"/>
      <c r="P287" s="344"/>
      <c r="Q287" s="344"/>
      <c r="R287" s="344"/>
      <c r="S287" s="344"/>
      <c r="T287" s="344"/>
      <c r="U287" s="344"/>
      <c r="V287" s="344"/>
      <c r="W287" s="344"/>
      <c r="X287" s="344"/>
      <c r="Y287" s="344"/>
      <c r="Z287" s="344"/>
      <c r="AA287" s="344"/>
      <c r="AB287" s="344"/>
      <c r="AC287" s="344"/>
      <c r="AD287" s="344"/>
      <c r="AE287" s="344"/>
      <c r="AF287" s="344"/>
      <c r="AG287" s="344"/>
      <c r="AH287" s="344"/>
      <c r="AI287" s="344"/>
      <c r="AJ287" s="344"/>
      <c r="AK287" s="344"/>
      <c r="AL287" s="344"/>
      <c r="AM287" s="454">
        <f>$AM$218*AM253</f>
        <v>0</v>
      </c>
      <c r="AN287" s="344"/>
      <c r="AO287" s="344"/>
    </row>
    <row r="288" spans="3:41" ht="12.75">
      <c r="C288" s="344"/>
      <c r="D288" s="344"/>
      <c r="E288" s="344"/>
      <c r="F288" s="344"/>
      <c r="G288" s="344"/>
      <c r="H288" s="344">
        <f t="shared" si="131"/>
        <v>30</v>
      </c>
      <c r="I288" s="456">
        <f t="shared" si="132"/>
        <v>0</v>
      </c>
      <c r="J288" s="344"/>
      <c r="K288" s="344"/>
      <c r="L288" s="344"/>
      <c r="M288" s="344"/>
      <c r="N288" s="344"/>
      <c r="O288" s="344"/>
      <c r="P288" s="344"/>
      <c r="Q288" s="344"/>
      <c r="R288" s="344"/>
      <c r="S288" s="344"/>
      <c r="T288" s="344"/>
      <c r="U288" s="344"/>
      <c r="V288" s="344"/>
      <c r="W288" s="344"/>
      <c r="X288" s="344"/>
      <c r="Y288" s="344"/>
      <c r="Z288" s="344"/>
      <c r="AA288" s="344"/>
      <c r="AB288" s="344"/>
      <c r="AC288" s="344"/>
      <c r="AD288" s="344"/>
      <c r="AE288" s="344"/>
      <c r="AF288" s="344"/>
      <c r="AG288" s="344"/>
      <c r="AH288" s="344"/>
      <c r="AI288" s="344"/>
      <c r="AJ288" s="344"/>
      <c r="AK288" s="344"/>
      <c r="AL288" s="344"/>
      <c r="AM288" s="454"/>
      <c r="AN288" s="344">
        <f>AN218*AN254</f>
        <v>0</v>
      </c>
      <c r="AO288" s="344"/>
    </row>
    <row r="289" spans="3:41" ht="12.75">
      <c r="C289" s="344"/>
      <c r="D289" s="344"/>
      <c r="E289" s="344"/>
      <c r="F289" s="344"/>
      <c r="G289" s="344"/>
      <c r="H289" s="344">
        <f t="shared" si="131"/>
        <v>31</v>
      </c>
      <c r="I289" s="456">
        <f t="shared" si="132"/>
        <v>0</v>
      </c>
      <c r="J289" s="344"/>
      <c r="K289" s="344"/>
      <c r="L289" s="344"/>
      <c r="M289" s="344"/>
      <c r="N289" s="344"/>
      <c r="O289" s="344"/>
      <c r="P289" s="344"/>
      <c r="Q289" s="344"/>
      <c r="R289" s="344"/>
      <c r="S289" s="344"/>
      <c r="T289" s="344"/>
      <c r="U289" s="344"/>
      <c r="V289" s="344"/>
      <c r="W289" s="344"/>
      <c r="X289" s="344"/>
      <c r="Y289" s="344"/>
      <c r="Z289" s="344"/>
      <c r="AA289" s="344"/>
      <c r="AB289" s="344"/>
      <c r="AC289" s="344"/>
      <c r="AD289" s="344"/>
      <c r="AE289" s="344"/>
      <c r="AF289" s="344"/>
      <c r="AG289" s="344"/>
      <c r="AH289" s="344"/>
      <c r="AI289" s="344"/>
      <c r="AJ289" s="344"/>
      <c r="AK289" s="344"/>
      <c r="AL289" s="344"/>
      <c r="AM289" s="454"/>
      <c r="AN289" s="344"/>
      <c r="AO289" s="344">
        <f>AO218*AO255</f>
        <v>0</v>
      </c>
    </row>
    <row r="290" spans="3:41" ht="12.75">
      <c r="C290" s="344"/>
      <c r="D290" s="344"/>
      <c r="E290" s="344"/>
      <c r="F290" s="344"/>
      <c r="G290" s="344"/>
      <c r="H290" s="344"/>
      <c r="I290" s="344"/>
      <c r="J290" s="344"/>
      <c r="K290" s="344"/>
      <c r="L290" s="344"/>
      <c r="M290" s="344"/>
      <c r="N290" s="344"/>
      <c r="O290" s="344"/>
      <c r="P290" s="344"/>
      <c r="Q290" s="344"/>
      <c r="R290" s="344"/>
      <c r="S290" s="344"/>
      <c r="T290" s="344"/>
      <c r="U290" s="344"/>
      <c r="V290" s="344"/>
      <c r="W290" s="344"/>
      <c r="X290" s="344"/>
      <c r="Y290" s="344"/>
      <c r="Z290" s="344"/>
      <c r="AA290" s="344"/>
      <c r="AB290" s="344"/>
      <c r="AC290" s="344"/>
      <c r="AD290" s="344"/>
      <c r="AE290" s="344"/>
      <c r="AF290" s="344"/>
      <c r="AG290" s="344"/>
      <c r="AH290" s="344"/>
      <c r="AI290" s="344"/>
      <c r="AJ290" s="344"/>
      <c r="AK290" s="344"/>
      <c r="AL290" s="344"/>
      <c r="AM290" s="344"/>
      <c r="AN290" s="344"/>
      <c r="AO290" s="344"/>
    </row>
    <row r="291" spans="3:41" ht="12.75">
      <c r="C291" s="344"/>
      <c r="D291" s="344"/>
      <c r="E291" s="344"/>
      <c r="F291" s="344"/>
      <c r="G291" s="344"/>
      <c r="H291" s="344" t="s">
        <v>466</v>
      </c>
      <c r="I291" s="456">
        <f>SUM(I258:I290)</f>
        <v>134008.7266812594</v>
      </c>
      <c r="J291" s="456">
        <f aca="true" t="shared" si="167" ref="J291:AO291">SUM(J258:J289)</f>
        <v>0</v>
      </c>
      <c r="K291" s="456">
        <f t="shared" si="167"/>
        <v>289.8962378088</v>
      </c>
      <c r="L291" s="456">
        <f t="shared" si="167"/>
        <v>1121.3681104850998</v>
      </c>
      <c r="M291" s="456">
        <f t="shared" si="167"/>
        <v>2196.6136410370495</v>
      </c>
      <c r="N291" s="456">
        <f t="shared" si="167"/>
        <v>3322.5631725683807</v>
      </c>
      <c r="O291" s="456">
        <f t="shared" si="167"/>
        <v>4358.965408092646</v>
      </c>
      <c r="P291" s="456">
        <f t="shared" si="167"/>
        <v>5117.754406853575</v>
      </c>
      <c r="Q291" s="456">
        <f t="shared" si="167"/>
        <v>5756.527196993174</v>
      </c>
      <c r="R291" s="456">
        <f t="shared" si="167"/>
        <v>6124.56693302816</v>
      </c>
      <c r="S291" s="456">
        <f t="shared" si="167"/>
        <v>5970.76911341096</v>
      </c>
      <c r="T291" s="456">
        <f t="shared" si="167"/>
        <v>5593.527857509885</v>
      </c>
      <c r="U291" s="456">
        <f t="shared" si="167"/>
        <v>5186.522728868952</v>
      </c>
      <c r="V291" s="456">
        <f t="shared" si="167"/>
        <v>4890.6332283218</v>
      </c>
      <c r="W291" s="456">
        <f t="shared" si="167"/>
        <v>4894.572346587294</v>
      </c>
      <c r="X291" s="456">
        <f t="shared" si="167"/>
        <v>5041.409516984912</v>
      </c>
      <c r="Y291" s="456">
        <f t="shared" si="167"/>
        <v>5192.65180249446</v>
      </c>
      <c r="Z291" s="456">
        <f t="shared" si="167"/>
        <v>5348.431356569294</v>
      </c>
      <c r="AA291" s="456">
        <f t="shared" si="167"/>
        <v>5508.884297266373</v>
      </c>
      <c r="AB291" s="456">
        <f t="shared" si="167"/>
        <v>5674.150826184363</v>
      </c>
      <c r="AC291" s="456">
        <f t="shared" si="167"/>
        <v>6306.4550829555355</v>
      </c>
      <c r="AD291" s="456">
        <f t="shared" si="167"/>
        <v>6654.280799544607</v>
      </c>
      <c r="AE291" s="456">
        <f t="shared" si="167"/>
        <v>7241.315377356144</v>
      </c>
      <c r="AF291" s="456">
        <f t="shared" si="167"/>
        <v>7757.597000345826</v>
      </c>
      <c r="AG291" s="456">
        <f t="shared" si="167"/>
        <v>8137.675552157052</v>
      </c>
      <c r="AH291" s="456">
        <f t="shared" si="167"/>
        <v>8216.671929594238</v>
      </c>
      <c r="AI291" s="456">
        <f t="shared" si="167"/>
        <v>8104.922758240799</v>
      </c>
      <c r="AJ291" s="456">
        <f t="shared" si="167"/>
        <v>0</v>
      </c>
      <c r="AK291" s="456">
        <f t="shared" si="167"/>
        <v>0</v>
      </c>
      <c r="AL291" s="456">
        <f t="shared" si="167"/>
        <v>0</v>
      </c>
      <c r="AM291" s="456">
        <f t="shared" si="167"/>
        <v>0</v>
      </c>
      <c r="AN291" s="456">
        <f t="shared" si="167"/>
        <v>0</v>
      </c>
      <c r="AO291" s="456">
        <f t="shared" si="167"/>
        <v>0</v>
      </c>
    </row>
    <row r="292" spans="3:41" ht="12.75">
      <c r="C292" s="338"/>
      <c r="D292" s="338"/>
      <c r="E292" s="338"/>
      <c r="F292" s="338"/>
      <c r="G292" s="338"/>
      <c r="H292" s="338"/>
      <c r="I292" s="338"/>
      <c r="J292" s="338"/>
      <c r="K292" s="338"/>
      <c r="L292" s="338"/>
      <c r="M292" s="338"/>
      <c r="N292" s="338"/>
      <c r="O292" s="338"/>
      <c r="P292" s="338"/>
      <c r="Q292" s="338"/>
      <c r="R292" s="338"/>
      <c r="S292" s="338"/>
      <c r="T292" s="338"/>
      <c r="U292" s="338"/>
      <c r="V292" s="338"/>
      <c r="W292" s="338"/>
      <c r="X292" s="338"/>
      <c r="Y292" s="338"/>
      <c r="Z292" s="338"/>
      <c r="AA292" s="338"/>
      <c r="AB292" s="338"/>
      <c r="AC292" s="338"/>
      <c r="AD292" s="338"/>
      <c r="AE292" s="338"/>
      <c r="AF292" s="338"/>
      <c r="AG292" s="338"/>
      <c r="AH292" s="338"/>
      <c r="AI292" s="338"/>
      <c r="AJ292" s="338"/>
      <c r="AK292" s="338"/>
      <c r="AL292" s="338"/>
      <c r="AM292" s="338"/>
      <c r="AN292" s="338"/>
      <c r="AO292" s="338"/>
    </row>
    <row r="293" spans="3:41" ht="12.75">
      <c r="C293" s="338"/>
      <c r="D293" s="338"/>
      <c r="E293" s="338"/>
      <c r="F293" s="338"/>
      <c r="G293" s="338"/>
      <c r="H293" s="338"/>
      <c r="I293" s="441"/>
      <c r="J293" s="441"/>
      <c r="K293" s="441">
        <f>K291/Inputs!$G$7</f>
        <v>610.3078690711579</v>
      </c>
      <c r="L293" s="441">
        <f>L291/Inputs!$G$7</f>
        <v>2360.7749694423155</v>
      </c>
      <c r="M293" s="441">
        <f>M291/Inputs!$G$7</f>
        <v>4624.449770604315</v>
      </c>
      <c r="N293" s="441">
        <f>N291/Inputs!$G$7</f>
        <v>6994.869836986065</v>
      </c>
      <c r="O293" s="441">
        <f>O291/Inputs!$G$7</f>
        <v>9176.769280195043</v>
      </c>
      <c r="P293" s="441">
        <f>P291/Inputs!$G$7</f>
        <v>10774.219803902264</v>
      </c>
      <c r="Q293" s="441">
        <f>Q291/Inputs!$G$7</f>
        <v>12119.004625248786</v>
      </c>
      <c r="R293" s="441">
        <f>R291/Inputs!$G$7</f>
        <v>12893.825122164548</v>
      </c>
      <c r="S293" s="441">
        <f>S291/Inputs!$G$7</f>
        <v>12570.040238759917</v>
      </c>
      <c r="T293" s="441">
        <f>T291/Inputs!$G$7</f>
        <v>11775.848121073443</v>
      </c>
      <c r="U293" s="441">
        <f>U291/Inputs!$G$7</f>
        <v>10918.995218671478</v>
      </c>
      <c r="V293" s="441">
        <f>V291/Inputs!$G$7</f>
        <v>10296.069954361685</v>
      </c>
      <c r="W293" s="441">
        <f>W291/Inputs!$G$7</f>
        <v>10304.36283492062</v>
      </c>
      <c r="X293" s="441">
        <f>X291/Inputs!$G$7</f>
        <v>10613.493719968237</v>
      </c>
      <c r="Y293" s="441">
        <f>Y291/Inputs!$G$7</f>
        <v>10931.898531567283</v>
      </c>
      <c r="Z293" s="441">
        <f>Z291/Inputs!$G$7</f>
        <v>11259.855487514304</v>
      </c>
      <c r="AA293" s="441">
        <f>AA291/Inputs!$G$7</f>
        <v>11597.651152139733</v>
      </c>
      <c r="AB293" s="441">
        <f>AB291/Inputs!$G$7</f>
        <v>11945.580686703923</v>
      </c>
      <c r="AC293" s="441">
        <f>AC291/Inputs!$G$7</f>
        <v>13276.747543064286</v>
      </c>
      <c r="AD293" s="441">
        <f>AD291/Inputs!$G$7</f>
        <v>14009.012209567594</v>
      </c>
      <c r="AE293" s="441">
        <f>AE291/Inputs!$G$7</f>
        <v>15244.874478644515</v>
      </c>
      <c r="AF293" s="441">
        <f>AF291/Inputs!$G$7</f>
        <v>16331.783158622793</v>
      </c>
      <c r="AG293" s="441">
        <f>AG291/Inputs!$G$7</f>
        <v>17131.948530856953</v>
      </c>
      <c r="AH293" s="441">
        <f>AH291/Inputs!$G$7</f>
        <v>17298.25669388261</v>
      </c>
      <c r="AI293" s="441">
        <f>AI291/Inputs!$G$7</f>
        <v>17062.995280506948</v>
      </c>
      <c r="AJ293" s="441"/>
      <c r="AK293" s="441"/>
      <c r="AL293" s="441"/>
      <c r="AM293" s="441"/>
      <c r="AN293" s="441"/>
      <c r="AO293" s="441"/>
    </row>
  </sheetData>
  <printOptions/>
  <pageMargins left="0" right="0" top="0.5" bottom="0.5" header="0.25" footer="0.25"/>
  <pageSetup horizontalDpi="600" verticalDpi="600" orientation="landscape" scale="55" r:id="rId3"/>
  <headerFooter alignWithMargins="0">
    <oddHeader>&amp;C&amp;A</oddHeader>
  </headerFooter>
  <legacyDrawing r:id="rId2"/>
</worksheet>
</file>

<file path=xl/worksheets/sheet11.xml><?xml version="1.0" encoding="utf-8"?>
<worksheet xmlns="http://schemas.openxmlformats.org/spreadsheetml/2006/main" xmlns:r="http://schemas.openxmlformats.org/officeDocument/2006/relationships">
  <dimension ref="A3:AI80"/>
  <sheetViews>
    <sheetView workbookViewId="0" topLeftCell="A1">
      <selection activeCell="A1" sqref="A1"/>
    </sheetView>
  </sheetViews>
  <sheetFormatPr defaultColWidth="9.140625" defaultRowHeight="12.75"/>
  <cols>
    <col min="1" max="1" width="6.00390625" style="0" customWidth="1"/>
    <col min="5" max="5" width="13.140625" style="0" customWidth="1"/>
    <col min="7" max="7" width="9.28125" style="0" bestFit="1" customWidth="1"/>
    <col min="8" max="31" width="10.7109375" style="0" customWidth="1"/>
  </cols>
  <sheetData>
    <row r="3" spans="8:32" ht="12.75">
      <c r="H3">
        <v>2000</v>
      </c>
      <c r="I3">
        <f aca="true" t="shared" si="0" ref="I3:AF3">H3+1</f>
        <v>2001</v>
      </c>
      <c r="J3">
        <f t="shared" si="0"/>
        <v>2002</v>
      </c>
      <c r="K3">
        <f t="shared" si="0"/>
        <v>2003</v>
      </c>
      <c r="L3">
        <f t="shared" si="0"/>
        <v>2004</v>
      </c>
      <c r="M3">
        <f t="shared" si="0"/>
        <v>2005</v>
      </c>
      <c r="N3">
        <f t="shared" si="0"/>
        <v>2006</v>
      </c>
      <c r="O3">
        <f t="shared" si="0"/>
        <v>2007</v>
      </c>
      <c r="P3">
        <f t="shared" si="0"/>
        <v>2008</v>
      </c>
      <c r="Q3">
        <f t="shared" si="0"/>
        <v>2009</v>
      </c>
      <c r="R3">
        <f t="shared" si="0"/>
        <v>2010</v>
      </c>
      <c r="S3">
        <f t="shared" si="0"/>
        <v>2011</v>
      </c>
      <c r="T3">
        <f t="shared" si="0"/>
        <v>2012</v>
      </c>
      <c r="U3">
        <f t="shared" si="0"/>
        <v>2013</v>
      </c>
      <c r="V3">
        <f t="shared" si="0"/>
        <v>2014</v>
      </c>
      <c r="W3">
        <f t="shared" si="0"/>
        <v>2015</v>
      </c>
      <c r="X3">
        <f t="shared" si="0"/>
        <v>2016</v>
      </c>
      <c r="Y3">
        <f t="shared" si="0"/>
        <v>2017</v>
      </c>
      <c r="Z3">
        <f t="shared" si="0"/>
        <v>2018</v>
      </c>
      <c r="AA3">
        <f t="shared" si="0"/>
        <v>2019</v>
      </c>
      <c r="AB3">
        <f t="shared" si="0"/>
        <v>2020</v>
      </c>
      <c r="AC3">
        <f t="shared" si="0"/>
        <v>2021</v>
      </c>
      <c r="AD3">
        <f t="shared" si="0"/>
        <v>2022</v>
      </c>
      <c r="AE3">
        <f t="shared" si="0"/>
        <v>2023</v>
      </c>
      <c r="AF3">
        <f t="shared" si="0"/>
        <v>2024</v>
      </c>
    </row>
    <row r="4" spans="1:35" ht="12.75">
      <c r="A4" s="104" t="s">
        <v>341</v>
      </c>
      <c r="B4" s="105"/>
      <c r="C4" s="105"/>
      <c r="D4" s="105"/>
      <c r="E4" s="302"/>
      <c r="F4" s="302"/>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row>
    <row r="5" spans="1:35" ht="12.75">
      <c r="A5" s="105"/>
      <c r="B5" s="105" t="s">
        <v>342</v>
      </c>
      <c r="C5" s="105"/>
      <c r="D5" s="302"/>
      <c r="E5" s="335"/>
      <c r="F5" s="335"/>
      <c r="H5" s="359">
        <f>Inputs!J46</f>
        <v>200</v>
      </c>
      <c r="I5" s="359">
        <f>Inputs!K46</f>
        <v>206</v>
      </c>
      <c r="J5" s="359">
        <f>Inputs!L46</f>
        <v>212.17999999999998</v>
      </c>
      <c r="K5" s="359">
        <f>Inputs!M46</f>
        <v>218.5454</v>
      </c>
      <c r="L5" s="359">
        <f>Inputs!N46</f>
        <v>225.10176199999998</v>
      </c>
      <c r="M5" s="359">
        <f>Inputs!O46</f>
        <v>231.85481485999998</v>
      </c>
      <c r="N5" s="359">
        <f>Inputs!P46</f>
        <v>231.85481485999998</v>
      </c>
      <c r="O5" s="359">
        <f>Inputs!Q46</f>
        <v>231.85481485999998</v>
      </c>
      <c r="P5" s="359">
        <f>Inputs!R46</f>
        <v>231.85481485999998</v>
      </c>
      <c r="Q5" s="359">
        <f>Inputs!S46</f>
        <v>231.85481485999998</v>
      </c>
      <c r="R5" s="359">
        <f>Inputs!T46</f>
        <v>231.85481485999998</v>
      </c>
      <c r="S5" s="359">
        <f>Inputs!U46</f>
        <v>231.85481485999998</v>
      </c>
      <c r="T5" s="359">
        <f>Inputs!V46</f>
        <v>231.85481485999998</v>
      </c>
      <c r="U5" s="359">
        <f>Inputs!W46</f>
        <v>231.85481485999998</v>
      </c>
      <c r="V5" s="359">
        <f>Inputs!X46</f>
        <v>231.85481485999998</v>
      </c>
      <c r="W5" s="359">
        <f>Inputs!Y46</f>
        <v>231.85481485999998</v>
      </c>
      <c r="X5" s="359">
        <f>Inputs!Z46</f>
        <v>231.85481485999998</v>
      </c>
      <c r="Y5" s="359">
        <f>Inputs!AA46</f>
        <v>231.85481485999998</v>
      </c>
      <c r="Z5" s="359">
        <f>Inputs!AB46</f>
        <v>231.85481485999998</v>
      </c>
      <c r="AA5" s="359">
        <f>Inputs!AC46</f>
        <v>231.85481485999998</v>
      </c>
      <c r="AB5" s="359">
        <f>Inputs!AD46</f>
        <v>231.85481485999998</v>
      </c>
      <c r="AC5" s="359">
        <f>Inputs!AE46</f>
        <v>231.85481485999998</v>
      </c>
      <c r="AD5" s="359">
        <f>Inputs!AF46</f>
        <v>231.85481485999998</v>
      </c>
      <c r="AE5" s="359">
        <f>Inputs!AG46</f>
        <v>231.85481485999998</v>
      </c>
      <c r="AF5" s="286"/>
      <c r="AG5" s="286"/>
      <c r="AH5" s="286"/>
      <c r="AI5" s="286"/>
    </row>
    <row r="6" spans="1:35" ht="12.75">
      <c r="A6" s="294"/>
      <c r="B6" s="294" t="s">
        <v>343</v>
      </c>
      <c r="C6" s="294"/>
      <c r="D6" s="297"/>
      <c r="E6" s="117"/>
      <c r="F6" s="117"/>
      <c r="H6" s="336">
        <f>H13*Inputs!$G$7</f>
        <v>23238.231685546398</v>
      </c>
      <c r="I6" s="336">
        <f>I13*Inputs!$G$7</f>
        <v>23282.7523903876</v>
      </c>
      <c r="J6" s="336">
        <f>J13*Inputs!$G$7</f>
        <v>4461.565694776211</v>
      </c>
      <c r="K6" s="336">
        <f>K13*Inputs!$G$7</f>
        <v>-14359.621000835175</v>
      </c>
      <c r="L6" s="336">
        <f>L13*Inputs!$G$7</f>
        <v>-14385.332800179067</v>
      </c>
      <c r="M6" s="336">
        <f>M13*Inputs!$G$7</f>
        <v>-14412.117092014645</v>
      </c>
      <c r="N6" s="336">
        <f>N13*Inputs!$G$7</f>
        <v>-14268.905112878088</v>
      </c>
      <c r="O6" s="336">
        <f>O13*Inputs!$G$7</f>
        <v>-14285.358579955619</v>
      </c>
      <c r="P6" s="336">
        <f>P13*Inputs!$G$7</f>
        <v>-14227.192978029225</v>
      </c>
      <c r="Q6" s="336">
        <f>Q13*Inputs!$G$7</f>
        <v>-14216.47702461313</v>
      </c>
      <c r="R6" s="336">
        <f>R13*Inputs!$G$7</f>
        <v>-14161.94408423237</v>
      </c>
      <c r="S6" s="336">
        <f>S13*Inputs!$G$7</f>
        <v>-14226.415395614518</v>
      </c>
      <c r="T6" s="336">
        <f>T13*Inputs!$G$7</f>
        <v>-14148.020994018361</v>
      </c>
      <c r="U6" s="336">
        <f>U13*Inputs!$G$7</f>
        <v>-14135.319554865244</v>
      </c>
      <c r="V6" s="336">
        <f>V13*Inputs!$G$7</f>
        <v>-14134.994652051471</v>
      </c>
      <c r="W6" s="336">
        <f>W13*Inputs!$G$7</f>
        <v>-14134.543458110753</v>
      </c>
      <c r="X6" s="336">
        <f>X13*Inputs!$G$7</f>
        <v>-14134.877391409571</v>
      </c>
      <c r="Y6" s="336">
        <f>Y13*Inputs!$G$7</f>
        <v>-14120.416122474018</v>
      </c>
      <c r="Z6" s="336">
        <f>Z13*Inputs!$G$7</f>
        <v>-14115.014748121464</v>
      </c>
      <c r="AA6" s="336">
        <f>AA13*Inputs!$G$7</f>
        <v>-14115.014748121464</v>
      </c>
      <c r="AB6" s="336">
        <f>AB13*Inputs!$G$7</f>
        <v>-14115.014748121464</v>
      </c>
      <c r="AC6" s="336">
        <f>AC13*Inputs!$G$7</f>
        <v>-14115.014748121464</v>
      </c>
      <c r="AD6" s="336">
        <f>AD13*Inputs!$G$7</f>
        <v>-14115.014748121464</v>
      </c>
      <c r="AE6" s="336">
        <f>AE13*Inputs!$G$7</f>
        <v>-14115.014748121464</v>
      </c>
      <c r="AF6" s="286"/>
      <c r="AG6" s="286"/>
      <c r="AH6" s="286"/>
      <c r="AI6" s="286"/>
    </row>
    <row r="7" spans="1:35" ht="12.75">
      <c r="A7" s="294"/>
      <c r="B7" s="105" t="s">
        <v>344</v>
      </c>
      <c r="C7" s="294"/>
      <c r="D7" s="297"/>
      <c r="E7" s="117"/>
      <c r="F7" s="117"/>
      <c r="H7" s="337">
        <f aca="true" t="shared" si="1" ref="H7:AE7">H5*H6/1000</f>
        <v>4647.64633710928</v>
      </c>
      <c r="I7" s="337">
        <f t="shared" si="1"/>
        <v>4796.246992419846</v>
      </c>
      <c r="J7" s="337">
        <f t="shared" si="1"/>
        <v>946.6550091176164</v>
      </c>
      <c r="K7" s="337">
        <f t="shared" si="1"/>
        <v>-3138.2291154759237</v>
      </c>
      <c r="L7" s="337">
        <f t="shared" si="1"/>
        <v>-3238.163760276702</v>
      </c>
      <c r="M7" s="337">
        <f t="shared" si="1"/>
        <v>-3341.518740109697</v>
      </c>
      <c r="N7" s="337">
        <f t="shared" si="1"/>
        <v>-3308.314353201256</v>
      </c>
      <c r="O7" s="337">
        <f t="shared" si="1"/>
        <v>-3312.129168764322</v>
      </c>
      <c r="P7" s="337">
        <f t="shared" si="1"/>
        <v>-3298.6431938984574</v>
      </c>
      <c r="Q7" s="337">
        <f t="shared" si="1"/>
        <v>-3296.1586485031207</v>
      </c>
      <c r="R7" s="337">
        <f t="shared" si="1"/>
        <v>-3283.514923707368</v>
      </c>
      <c r="S7" s="337">
        <f t="shared" si="1"/>
        <v>-3298.4629076716574</v>
      </c>
      <c r="T7" s="337">
        <f t="shared" si="1"/>
        <v>-3280.28678820352</v>
      </c>
      <c r="U7" s="337">
        <f t="shared" si="1"/>
        <v>-3277.3418983802185</v>
      </c>
      <c r="V7" s="337">
        <f t="shared" si="1"/>
        <v>-3277.2665680984837</v>
      </c>
      <c r="W7" s="337">
        <f t="shared" si="1"/>
        <v>-3277.1619566108925</v>
      </c>
      <c r="X7" s="337">
        <f t="shared" si="1"/>
        <v>-3277.2393806540654</v>
      </c>
      <c r="Y7" s="337">
        <f t="shared" si="1"/>
        <v>-3273.886465822372</v>
      </c>
      <c r="Z7" s="337">
        <f t="shared" si="1"/>
        <v>-3272.6341311718716</v>
      </c>
      <c r="AA7" s="337">
        <f t="shared" si="1"/>
        <v>-3272.6341311718716</v>
      </c>
      <c r="AB7" s="337">
        <f t="shared" si="1"/>
        <v>-3272.6341311718716</v>
      </c>
      <c r="AC7" s="337">
        <f t="shared" si="1"/>
        <v>-3272.6341311718716</v>
      </c>
      <c r="AD7" s="337">
        <f t="shared" si="1"/>
        <v>-3272.6341311718716</v>
      </c>
      <c r="AE7" s="337">
        <f t="shared" si="1"/>
        <v>-3272.6341311718716</v>
      </c>
      <c r="AF7" s="286"/>
      <c r="AG7" s="286"/>
      <c r="AH7" s="286"/>
      <c r="AI7" s="286"/>
    </row>
    <row r="8" spans="5:35" ht="12.75">
      <c r="E8" s="117"/>
      <c r="F8" s="117"/>
      <c r="H8" s="205"/>
      <c r="I8" s="205"/>
      <c r="J8" s="205"/>
      <c r="K8" s="205"/>
      <c r="L8" s="205"/>
      <c r="M8" s="205"/>
      <c r="N8" s="205"/>
      <c r="O8" s="205"/>
      <c r="P8" s="205"/>
      <c r="Q8" s="205"/>
      <c r="R8" s="205"/>
      <c r="S8" s="205"/>
      <c r="T8" s="205"/>
      <c r="U8" s="205"/>
      <c r="V8" s="205"/>
      <c r="W8" s="205"/>
      <c r="X8" s="205"/>
      <c r="Y8" s="205"/>
      <c r="Z8" s="205"/>
      <c r="AA8" s="205"/>
      <c r="AB8" s="205"/>
      <c r="AC8" s="205"/>
      <c r="AD8" s="205"/>
      <c r="AE8" s="205"/>
      <c r="AF8" s="286"/>
      <c r="AG8" s="286"/>
      <c r="AH8" s="286"/>
      <c r="AI8" s="286"/>
    </row>
    <row r="9" spans="1:35" ht="14.25">
      <c r="A9" s="343" t="s">
        <v>346</v>
      </c>
      <c r="B9" s="344"/>
      <c r="C9" s="56"/>
      <c r="D9" s="345"/>
      <c r="E9" s="346"/>
      <c r="F9" s="347"/>
      <c r="H9" s="348"/>
      <c r="I9" s="348"/>
      <c r="J9" s="348"/>
      <c r="K9" s="348"/>
      <c r="L9" s="312"/>
      <c r="M9" s="312"/>
      <c r="N9" s="312"/>
      <c r="O9" s="312"/>
      <c r="P9" s="312"/>
      <c r="Q9" s="312"/>
      <c r="R9" s="312"/>
      <c r="S9" s="312"/>
      <c r="T9" s="312"/>
      <c r="U9" s="312"/>
      <c r="V9" s="312"/>
      <c r="W9" s="312"/>
      <c r="X9" s="312"/>
      <c r="Y9" s="312"/>
      <c r="Z9" s="312"/>
      <c r="AA9" s="312"/>
      <c r="AB9" s="312"/>
      <c r="AC9" s="312"/>
      <c r="AD9" s="312"/>
      <c r="AE9" s="312"/>
      <c r="AF9" s="286"/>
      <c r="AG9" s="286"/>
      <c r="AH9" s="286"/>
      <c r="AI9" s="286"/>
    </row>
    <row r="10" spans="1:31" ht="15.75">
      <c r="A10" s="349" t="s">
        <v>347</v>
      </c>
      <c r="B10" s="56"/>
      <c r="C10" s="56"/>
      <c r="D10" s="56"/>
      <c r="E10" s="56"/>
      <c r="F10" s="350"/>
      <c r="H10" s="351"/>
      <c r="I10" s="352"/>
      <c r="J10" s="306"/>
      <c r="K10" s="312"/>
      <c r="L10" s="312"/>
      <c r="M10" s="312"/>
      <c r="N10" s="312"/>
      <c r="O10" s="312"/>
      <c r="P10" s="312"/>
      <c r="Q10" s="312"/>
      <c r="R10" s="312"/>
      <c r="S10" s="312"/>
      <c r="T10" s="312"/>
      <c r="U10" s="312"/>
      <c r="V10" s="312"/>
      <c r="W10" s="312"/>
      <c r="X10" s="312"/>
      <c r="Y10" s="312"/>
      <c r="Z10" s="312"/>
      <c r="AA10" s="312"/>
      <c r="AB10" s="312"/>
      <c r="AC10" s="312"/>
      <c r="AD10" s="312"/>
      <c r="AE10" s="312"/>
    </row>
    <row r="11" spans="1:31" ht="15">
      <c r="A11" s="56"/>
      <c r="B11" s="353" t="s">
        <v>348</v>
      </c>
      <c r="C11" s="354"/>
      <c r="D11" s="354"/>
      <c r="E11" s="355"/>
      <c r="F11" s="356"/>
      <c r="H11" s="340">
        <f>Inputs!J48</f>
        <v>88000.59302220294</v>
      </c>
      <c r="I11" s="340">
        <f>Inputs!K48</f>
        <v>88094.32082186863</v>
      </c>
      <c r="J11" s="340">
        <f>Inputs!L48</f>
        <v>48470.76988373939</v>
      </c>
      <c r="K11" s="340">
        <f>Inputs!M48</f>
        <v>8847.218945610153</v>
      </c>
      <c r="L11" s="340">
        <f>Inputs!N48</f>
        <v>8793.08884172828</v>
      </c>
      <c r="M11" s="340">
        <f>Inputs!O48</f>
        <v>8736.700858916533</v>
      </c>
      <c r="N11" s="340">
        <f>Inputs!P48</f>
        <v>9038.199762361915</v>
      </c>
      <c r="O11" s="340">
        <f>Inputs!Q48</f>
        <v>9003.560884303957</v>
      </c>
      <c r="P11" s="340">
        <f>Inputs!R48</f>
        <v>9126.014783096367</v>
      </c>
      <c r="Q11" s="340">
        <f>Inputs!S48</f>
        <v>9148.574685024989</v>
      </c>
      <c r="R11" s="340">
        <f>Inputs!T48</f>
        <v>9263.380875300276</v>
      </c>
      <c r="S11" s="340">
        <f>Inputs!U48</f>
        <v>9387.651798706274</v>
      </c>
      <c r="T11" s="340">
        <f>Inputs!V48</f>
        <v>9552.692644171866</v>
      </c>
      <c r="U11" s="340">
        <f>Inputs!W48</f>
        <v>9579.432516073166</v>
      </c>
      <c r="V11" s="340">
        <f>Inputs!X48</f>
        <v>9580.1165219969</v>
      </c>
      <c r="W11" s="340">
        <f>Inputs!Y48</f>
        <v>9581.066403977364</v>
      </c>
      <c r="X11" s="340">
        <f>Inputs!Z48</f>
        <v>9580.363386506162</v>
      </c>
      <c r="Y11" s="340">
        <f>Inputs!AA48</f>
        <v>9610.808163212592</v>
      </c>
      <c r="Z11" s="340">
        <f>Inputs!AB48</f>
        <v>9622.17947763902</v>
      </c>
      <c r="AA11" s="340">
        <f>Inputs!AC48</f>
        <v>9622.17947763902</v>
      </c>
      <c r="AB11" s="340">
        <f>Inputs!AD48</f>
        <v>9622.17947763902</v>
      </c>
      <c r="AC11" s="340">
        <f>Inputs!AE48</f>
        <v>9622.17947763902</v>
      </c>
      <c r="AD11" s="340">
        <f>Inputs!AF48</f>
        <v>9622.17947763902</v>
      </c>
      <c r="AE11" s="340">
        <f>Inputs!AG48</f>
        <v>9622.17947763902</v>
      </c>
    </row>
    <row r="12" spans="1:31" ht="15">
      <c r="A12" s="56"/>
      <c r="B12" s="357" t="s">
        <v>349</v>
      </c>
      <c r="C12" s="357"/>
      <c r="D12" s="357"/>
      <c r="E12" s="350"/>
      <c r="F12" s="350"/>
      <c r="H12" s="341">
        <f>Inputs!J47</f>
        <v>39078</v>
      </c>
      <c r="I12" s="341">
        <f>Inputs!K47</f>
        <v>39078</v>
      </c>
      <c r="J12" s="341">
        <f>Inputs!L47</f>
        <v>39078</v>
      </c>
      <c r="K12" s="341">
        <f>Inputs!M47</f>
        <v>39078</v>
      </c>
      <c r="L12" s="341">
        <f>Inputs!N47</f>
        <v>39078</v>
      </c>
      <c r="M12" s="341">
        <f>Inputs!O47</f>
        <v>39078</v>
      </c>
      <c r="N12" s="341">
        <f>Inputs!P47</f>
        <v>39078</v>
      </c>
      <c r="O12" s="341">
        <f>Inputs!Q47</f>
        <v>39078</v>
      </c>
      <c r="P12" s="341">
        <f>Inputs!R47</f>
        <v>39078</v>
      </c>
      <c r="Q12" s="341">
        <f>Inputs!S47</f>
        <v>39078</v>
      </c>
      <c r="R12" s="341">
        <f>Inputs!T47</f>
        <v>39078</v>
      </c>
      <c r="S12" s="341">
        <f>Inputs!U47</f>
        <v>39338</v>
      </c>
      <c r="T12" s="341">
        <f>Inputs!V47</f>
        <v>39338</v>
      </c>
      <c r="U12" s="341">
        <f>Inputs!W47</f>
        <v>39338</v>
      </c>
      <c r="V12" s="341">
        <f>Inputs!X47</f>
        <v>39338</v>
      </c>
      <c r="W12" s="341">
        <f>Inputs!Y47</f>
        <v>39338</v>
      </c>
      <c r="X12" s="341">
        <f>Inputs!Z47</f>
        <v>39338</v>
      </c>
      <c r="Y12" s="341">
        <f>Inputs!AA47</f>
        <v>39338</v>
      </c>
      <c r="Z12" s="341">
        <f>Inputs!AB47</f>
        <v>39338</v>
      </c>
      <c r="AA12" s="341">
        <f>Inputs!AC47</f>
        <v>39338</v>
      </c>
      <c r="AB12" s="341">
        <f>Inputs!AD47</f>
        <v>39338</v>
      </c>
      <c r="AC12" s="341">
        <f>Inputs!AE47</f>
        <v>39338</v>
      </c>
      <c r="AD12" s="341">
        <f>Inputs!AF47</f>
        <v>39338</v>
      </c>
      <c r="AE12" s="341">
        <f>Inputs!AG47</f>
        <v>39338</v>
      </c>
    </row>
    <row r="13" spans="1:31" ht="15">
      <c r="A13" s="56"/>
      <c r="B13" s="357"/>
      <c r="C13" s="358" t="s">
        <v>350</v>
      </c>
      <c r="D13" s="357"/>
      <c r="E13" s="350"/>
      <c r="F13" s="350"/>
      <c r="H13" s="342">
        <f aca="true" t="shared" si="2" ref="H13:AE13">IF(H12=0,0,H11-H12)</f>
        <v>48922.59302220294</v>
      </c>
      <c r="I13" s="342">
        <f t="shared" si="2"/>
        <v>49016.320821868634</v>
      </c>
      <c r="J13" s="342">
        <f t="shared" si="2"/>
        <v>9392.769883739391</v>
      </c>
      <c r="K13" s="342">
        <f t="shared" si="2"/>
        <v>-30230.781054389845</v>
      </c>
      <c r="L13" s="342">
        <f t="shared" si="2"/>
        <v>-30284.91115827172</v>
      </c>
      <c r="M13" s="342">
        <f t="shared" si="2"/>
        <v>-30341.299141083466</v>
      </c>
      <c r="N13" s="342">
        <f t="shared" si="2"/>
        <v>-30039.800237638083</v>
      </c>
      <c r="O13" s="342">
        <f t="shared" si="2"/>
        <v>-30074.43911569604</v>
      </c>
      <c r="P13" s="342">
        <f t="shared" si="2"/>
        <v>-29951.98521690363</v>
      </c>
      <c r="Q13" s="342">
        <f t="shared" si="2"/>
        <v>-29929.42531497501</v>
      </c>
      <c r="R13" s="342">
        <f t="shared" si="2"/>
        <v>-29814.619124699726</v>
      </c>
      <c r="S13" s="342">
        <f t="shared" si="2"/>
        <v>-29950.348201293724</v>
      </c>
      <c r="T13" s="342">
        <f t="shared" si="2"/>
        <v>-29785.307355828132</v>
      </c>
      <c r="U13" s="342">
        <f t="shared" si="2"/>
        <v>-29758.567483926832</v>
      </c>
      <c r="V13" s="342">
        <f t="shared" si="2"/>
        <v>-29757.8834780031</v>
      </c>
      <c r="W13" s="342">
        <f t="shared" si="2"/>
        <v>-29756.933596022638</v>
      </c>
      <c r="X13" s="342">
        <f t="shared" si="2"/>
        <v>-29757.636613493836</v>
      </c>
      <c r="Y13" s="342">
        <f t="shared" si="2"/>
        <v>-29727.19183678741</v>
      </c>
      <c r="Z13" s="342">
        <f t="shared" si="2"/>
        <v>-29715.82052236098</v>
      </c>
      <c r="AA13" s="342">
        <f t="shared" si="2"/>
        <v>-29715.82052236098</v>
      </c>
      <c r="AB13" s="342">
        <f t="shared" si="2"/>
        <v>-29715.82052236098</v>
      </c>
      <c r="AC13" s="342">
        <f t="shared" si="2"/>
        <v>-29715.82052236098</v>
      </c>
      <c r="AD13" s="342">
        <f t="shared" si="2"/>
        <v>-29715.82052236098</v>
      </c>
      <c r="AE13" s="342">
        <f t="shared" si="2"/>
        <v>-29715.82052236098</v>
      </c>
    </row>
    <row r="18" spans="1:32" ht="12.75">
      <c r="A18" s="104" t="s">
        <v>353</v>
      </c>
      <c r="B18" s="105"/>
      <c r="C18" s="105"/>
      <c r="D18" s="105"/>
      <c r="E18" s="106"/>
      <c r="F18" s="106"/>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33"/>
      <c r="AF18" s="409"/>
    </row>
    <row r="19" spans="1:33" ht="12.75">
      <c r="A19" s="105"/>
      <c r="B19" s="105" t="s">
        <v>354</v>
      </c>
      <c r="C19" s="105"/>
      <c r="D19" s="105"/>
      <c r="E19" s="106"/>
      <c r="F19" s="431"/>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row>
    <row r="20" spans="1:31" ht="12.75">
      <c r="A20" s="104"/>
      <c r="B20" s="105"/>
      <c r="C20" s="105" t="s">
        <v>355</v>
      </c>
      <c r="D20" s="105"/>
      <c r="E20" s="302"/>
      <c r="F20" s="362">
        <f>SUM(G20:AE20)</f>
        <v>-19381.313237410097</v>
      </c>
      <c r="G20" s="175"/>
      <c r="H20" s="565">
        <v>0</v>
      </c>
      <c r="I20" s="565">
        <v>0</v>
      </c>
      <c r="J20" s="565">
        <f>(Inputs!G52/2*Inputs!N9)*('Keep RevReq'!M14/0.7)*Inputs!$G$7</f>
        <v>-301.6682361369783</v>
      </c>
      <c r="K20" s="565">
        <f>(Inputs!$G$52*Inputs!O9)*('Keep RevReq'!N14/0.7)*Inputs!$G$7</f>
        <v>-625.6438326361225</v>
      </c>
      <c r="L20" s="565">
        <f>(Inputs!$G$52*Inputs!P9)*('Keep RevReq'!O14/0.7)*Inputs!$G$7</f>
        <v>-640.4704226936575</v>
      </c>
      <c r="M20" s="565">
        <f>(Inputs!$G$52*Inputs!Q9)*('Keep RevReq'!P14/0.7)*Inputs!$G$7</f>
        <v>-655.4541356922366</v>
      </c>
      <c r="N20" s="565">
        <f>(Inputs!$G$52*Inputs!R9)*('Keep RevReq'!Q14/0.7)*Inputs!$G$7</f>
        <v>-698.4157148552067</v>
      </c>
      <c r="O20" s="565">
        <f>(Inputs!$G$52*Inputs!S9)*('Keep RevReq'!R14/0.7)*Inputs!$G$7</f>
        <v>-716.6112095201752</v>
      </c>
      <c r="P20" s="565">
        <f>(Inputs!$G$52*Inputs!T9)*('Keep RevReq'!S14/0.7)*Inputs!$G$7</f>
        <v>-748.1482841206821</v>
      </c>
      <c r="Q20" s="565">
        <f>(Inputs!$G$52*Inputs!U9)*('Keep RevReq'!T14/0.7)*Inputs!$G$7</f>
        <v>-772.4976710964693</v>
      </c>
      <c r="R20" s="565">
        <f>(Inputs!$G$52*Inputs!V9)*('Keep RevReq'!U14/0.7)*Inputs!$G$7</f>
        <v>-805.6575598921698</v>
      </c>
      <c r="S20" s="565">
        <f>(Inputs!$G$52*Inputs!W9)*('Keep RevReq'!V14/0.7)*Inputs!$G$7</f>
        <v>-840.9596588295747</v>
      </c>
      <c r="T20" s="565">
        <f>(Inputs!$G$52*Inputs!X9)*('Keep RevReq'!W14/0.7)*Inputs!$G$7</f>
        <v>-881.4165883842505</v>
      </c>
      <c r="U20" s="565">
        <f>(Inputs!$G$52*Inputs!Y9)*('Keep RevReq'!X14/0.7)*Inputs!$G$7</f>
        <v>-910.4003627803867</v>
      </c>
      <c r="V20" s="565">
        <f>(Inputs!$G$52*Inputs!Z9)*('Keep RevReq'!Y14/0.7)*Inputs!$G$7</f>
        <v>-937.7793296987479</v>
      </c>
      <c r="W20" s="565">
        <f>(Inputs!$G$52*Inputs!AA9)*('Keep RevReq'!Z14/0.7)*Inputs!$G$7</f>
        <v>-966.0084811886708</v>
      </c>
      <c r="X20" s="565">
        <f>(Inputs!$G$52*Inputs!AB9)*('Keep RevReq'!AA14/0.7)*Inputs!$G$7</f>
        <v>-994.9157276275903</v>
      </c>
      <c r="Y20" s="565">
        <f>(Inputs!$G$52*Inputs!AC9)*('Keep RevReq'!AB14/0.7)*Inputs!$G$7</f>
        <v>-1028.019723820448</v>
      </c>
      <c r="Z20" s="565">
        <f>(Inputs!$G$52*Inputs!AD9)*('Keep RevReq'!AC14/0.7)*Inputs!$G$7</f>
        <v>-1060.1131377095485</v>
      </c>
      <c r="AA20" s="565">
        <f>(Inputs!$G$52*Inputs!AE9)*('Keep RevReq'!AD14/0.7)*Inputs!$G$7</f>
        <v>-1091.9165318408352</v>
      </c>
      <c r="AB20" s="565">
        <f>(Inputs!$G$52*Inputs!AF9)*('Keep RevReq'!AE14/0.7)*Inputs!$G$7</f>
        <v>-1124.67402779606</v>
      </c>
      <c r="AC20" s="565">
        <f>(Inputs!$G$52*Inputs!AG9)*('Keep RevReq'!AF14/0.7)*Inputs!$G$7</f>
        <v>-1158.4142486299415</v>
      </c>
      <c r="AD20" s="565">
        <f>(Inputs!$G$52*Inputs!AH9)*('Keep RevReq'!AG14/0.7)*Inputs!$G$7</f>
        <v>-1193.16667608884</v>
      </c>
      <c r="AE20" s="565">
        <f>(Inputs!$G$52*Inputs!AI9)*('Keep RevReq'!AH14/0.7)*Inputs!$G$7</f>
        <v>-1228.9616763715053</v>
      </c>
    </row>
    <row r="21" spans="1:31" ht="12.75">
      <c r="A21" s="105"/>
      <c r="B21" s="105"/>
      <c r="C21" s="105" t="s">
        <v>356</v>
      </c>
      <c r="D21" s="105"/>
      <c r="E21" s="302"/>
      <c r="F21" s="362">
        <f>SUM(G21:AE21)</f>
        <v>36067.343057012484</v>
      </c>
      <c r="G21" s="175"/>
      <c r="H21" s="565">
        <v>0</v>
      </c>
      <c r="I21" s="565">
        <v>0</v>
      </c>
      <c r="J21" s="565">
        <f>(Inputs!$G$53/2*Inputs!N9)*('Keep RevReq'!M14/0.7)*Inputs!$G$7</f>
        <v>561.3846507136983</v>
      </c>
      <c r="K21" s="565">
        <f>(Inputs!$G$53*Inputs!O9)*('Keep RevReq'!N14/0.7)*Inputs!$G$7</f>
        <v>1164.2818248061349</v>
      </c>
      <c r="L21" s="565">
        <f>(Inputs!$G$53*Inputs!P9)*('Keep RevReq'!O14/0.7)*Inputs!$G$7</f>
        <v>1191.8731290392561</v>
      </c>
      <c r="M21" s="565">
        <f>(Inputs!$G$53*Inputs!Q9)*('Keep RevReq'!P14/0.7)*Inputs!$G$7</f>
        <v>1219.7568286816745</v>
      </c>
      <c r="N21" s="565">
        <f>(Inputs!$G$53*Inputs!R9)*('Keep RevReq'!Q14/0.7)*Inputs!$G$7</f>
        <v>1299.705488246753</v>
      </c>
      <c r="O21" s="565">
        <f>(Inputs!$G$53*Inputs!S9)*('Keep RevReq'!R14/0.7)*Inputs!$G$7</f>
        <v>1333.5661013091706</v>
      </c>
      <c r="P21" s="565">
        <f>(Inputs!$G$53*Inputs!T9)*('Keep RevReq'!S14/0.7)*Inputs!$G$7</f>
        <v>1392.2545129094508</v>
      </c>
      <c r="Q21" s="565">
        <f>(Inputs!$G$53*Inputs!U9)*('Keep RevReq'!T14/0.7)*Inputs!$G$7</f>
        <v>1437.5671128620957</v>
      </c>
      <c r="R21" s="565">
        <f>(Inputs!$G$53*Inputs!V9)*('Keep RevReq'!U14/0.7)*Inputs!$G$7</f>
        <v>1499.2754744306192</v>
      </c>
      <c r="S21" s="565">
        <f>(Inputs!$G$53*Inputs!W9)*('Keep RevReq'!V14/0.7)*Inputs!$G$7</f>
        <v>1564.9703474978542</v>
      </c>
      <c r="T21" s="565">
        <f>(Inputs!$G$53*Inputs!X9)*('Keep RevReq'!W14/0.7)*Inputs!$G$7</f>
        <v>1640.258019669901</v>
      </c>
      <c r="U21" s="565">
        <f>(Inputs!$G$53*Inputs!Y9)*('Keep RevReq'!X14/0.7)*Inputs!$G$7</f>
        <v>1694.1949083330856</v>
      </c>
      <c r="V21" s="565">
        <f>(Inputs!$G$53*Inputs!Z9)*('Keep RevReq'!Y14/0.7)*Inputs!$G$7</f>
        <v>1745.1453563391096</v>
      </c>
      <c r="W21" s="565">
        <f>(Inputs!$G$53*Inputs!AA9)*('Keep RevReq'!Z14/0.7)*Inputs!$G$7</f>
        <v>1797.6779416455674</v>
      </c>
      <c r="X21" s="565">
        <f>(Inputs!$G$53*Inputs!AB9)*('Keep RevReq'!AA14/0.7)*Inputs!$G$7</f>
        <v>1851.4724168379737</v>
      </c>
      <c r="Y21" s="565">
        <f>(Inputs!$G$53*Inputs!AC9)*('Keep RevReq'!AB14/0.7)*Inputs!$G$7</f>
        <v>1913.076765966453</v>
      </c>
      <c r="Z21" s="565">
        <f>(Inputs!$G$53*Inputs!AD9)*('Keep RevReq'!AC14/0.7)*Inputs!$G$7</f>
        <v>1972.8004882152945</v>
      </c>
      <c r="AA21" s="565">
        <f>(Inputs!$G$53*Inputs!AE9)*('Keep RevReq'!AD14/0.7)*Inputs!$G$7</f>
        <v>2031.9845028617533</v>
      </c>
      <c r="AB21" s="565">
        <f>(Inputs!$G$53*Inputs!AF9)*('Keep RevReq'!AE14/0.7)*Inputs!$G$7</f>
        <v>2092.9440379476064</v>
      </c>
      <c r="AC21" s="565">
        <f>(Inputs!$G$53*Inputs!AG9)*('Keep RevReq'!AF14/0.7)*Inputs!$G$7</f>
        <v>2155.732359086034</v>
      </c>
      <c r="AD21" s="565">
        <f>(Inputs!$G$53*Inputs!AH9)*('Keep RevReq'!AG14/0.7)*Inputs!$G$7</f>
        <v>2220.4043298586153</v>
      </c>
      <c r="AE21" s="565">
        <f>(Inputs!$G$53*Inputs!AI9)*('Keep RevReq'!AH14/0.7)*Inputs!$G$7</f>
        <v>2287.016459754374</v>
      </c>
    </row>
    <row r="22" spans="1:31" ht="12.75">
      <c r="A22" s="105"/>
      <c r="B22" s="105"/>
      <c r="C22" s="105" t="s">
        <v>357</v>
      </c>
      <c r="D22" s="105"/>
      <c r="E22" s="302"/>
      <c r="F22" s="362">
        <f>SUM(G22:AE22)</f>
        <v>41535.203588497665</v>
      </c>
      <c r="G22" s="175"/>
      <c r="H22" s="565">
        <v>0</v>
      </c>
      <c r="I22" s="565">
        <v>0</v>
      </c>
      <c r="J22" s="565">
        <f>((Inputs!$G$54+Inputs!$G$55)/2*Inputs!N9)*('Keep RevReq'!M14/0.7)*Inputs!$G$7</f>
        <v>646.4913626155671</v>
      </c>
      <c r="K22" s="565">
        <f>((Inputs!$G$54+Inputs!$G$55)*Inputs!O9)*('Keep RevReq'!N14/0.7)*Inputs!$G$7</f>
        <v>1340.7886062266555</v>
      </c>
      <c r="L22" s="565">
        <f>((Inputs!$G$54+Inputs!$G$55)*Inputs!P9)*('Keep RevReq'!O14/0.7)*Inputs!$G$7</f>
        <v>1372.5627914441066</v>
      </c>
      <c r="M22" s="565">
        <f>((Inputs!$G$54+Inputs!$G$55)*Inputs!Q9)*('Keep RevReq'!P14/0.7)*Inputs!$G$7</f>
        <v>1404.6736996309849</v>
      </c>
      <c r="N22" s="565">
        <f>((Inputs!$G$54+Inputs!$G$55)*Inputs!R9)*('Keep RevReq'!Q14/0.7)*Inputs!$G$7</f>
        <v>1496.7426897535436</v>
      </c>
      <c r="O22" s="565">
        <f>((Inputs!$G$54+Inputs!$G$55)*Inputs!S9)*('Keep RevReq'!R14/0.7)*Inputs!$G$7</f>
        <v>1535.736619940076</v>
      </c>
      <c r="P22" s="565">
        <f>((Inputs!$G$54+Inputs!$G$55)*Inputs!T9)*('Keep RevReq'!S14/0.7)*Inputs!$G$7</f>
        <v>1603.3222782529149</v>
      </c>
      <c r="Q22" s="565">
        <f>((Inputs!$G$54+Inputs!$G$55)*Inputs!U9)*('Keep RevReq'!T14/0.7)*Inputs!$G$7</f>
        <v>1655.5043328384781</v>
      </c>
      <c r="R22" s="565">
        <f>((Inputs!$G$54+Inputs!$G$55)*Inputs!V9)*('Keep RevReq'!U14/0.7)*Inputs!$G$7</f>
        <v>1726.5677698321526</v>
      </c>
      <c r="S22" s="565">
        <f>((Inputs!$G$54+Inputs!$G$55)*Inputs!W9)*('Keep RevReq'!V14/0.7)*Inputs!$G$7</f>
        <v>1802.2220791405728</v>
      </c>
      <c r="T22" s="565">
        <f>((Inputs!$G$54+Inputs!$G$55)*Inputs!X9)*('Keep RevReq'!W14/0.7)*Inputs!$G$7</f>
        <v>1888.9234695487035</v>
      </c>
      <c r="U22" s="565">
        <f>((Inputs!$G$54+Inputs!$G$55)*Inputs!Y9)*('Keep RevReq'!X14/0.7)*Inputs!$G$7</f>
        <v>1951.0372672857382</v>
      </c>
      <c r="V22" s="565">
        <f>((Inputs!$G$54+Inputs!$G$55)*Inputs!Z9)*('Keep RevReq'!Y14/0.7)*Inputs!$G$7</f>
        <v>2009.7118757122637</v>
      </c>
      <c r="W22" s="565">
        <f>((Inputs!$G$54+Inputs!$G$55)*Inputs!AA9)*('Keep RevReq'!Z14/0.7)*Inputs!$G$7</f>
        <v>2070.2084757053594</v>
      </c>
      <c r="X22" s="565">
        <f>((Inputs!$G$54+Inputs!$G$55)*Inputs!AB9)*('Keep RevReq'!AA14/0.7)*Inputs!$G$7</f>
        <v>2132.15826988679</v>
      </c>
      <c r="Y22" s="565">
        <f>((Inputs!$G$54+Inputs!$G$55)*Inputs!AC9)*('Keep RevReq'!AB14/0.7)*Inputs!$G$7</f>
        <v>2203.1019260065</v>
      </c>
      <c r="Z22" s="565">
        <f>((Inputs!$G$54+Inputs!$G$55)*Inputs!AD9)*('Keep RevReq'!AC14/0.7)*Inputs!$G$7</f>
        <v>2271.879849535475</v>
      </c>
      <c r="AA22" s="565">
        <f>((Inputs!$G$54+Inputs!$G$55)*Inputs!AE9)*('Keep RevReq'!AD14/0.7)*Inputs!$G$7</f>
        <v>2340.0362450215393</v>
      </c>
      <c r="AB22" s="565">
        <f>((Inputs!$G$54+Inputs!$G$55)*Inputs!AF9)*('Keep RevReq'!AE14/0.7)*Inputs!$G$7</f>
        <v>2410.2373323721854</v>
      </c>
      <c r="AC22" s="565">
        <f>((Inputs!$G$54+Inputs!$G$55)*Inputs!AG9)*('Keep RevReq'!AF14/0.7)*Inputs!$G$7</f>
        <v>2482.5444523433507</v>
      </c>
      <c r="AD22" s="565">
        <f>((Inputs!$G$54+Inputs!$G$55)*Inputs!AH9)*('Keep RevReq'!AG14/0.7)*Inputs!$G$7</f>
        <v>2557.020785913651</v>
      </c>
      <c r="AE22" s="565">
        <f>((Inputs!$G$54+Inputs!$G$55)*Inputs!AI9)*('Keep RevReq'!AH14/0.7)*Inputs!$G$7</f>
        <v>2633.731409491061</v>
      </c>
    </row>
    <row r="23" spans="1:31" ht="12.75">
      <c r="A23" s="105"/>
      <c r="B23" s="105" t="s">
        <v>358</v>
      </c>
      <c r="C23" s="105"/>
      <c r="D23" s="105"/>
      <c r="E23" s="302"/>
      <c r="F23" s="362">
        <f>SUM(G23:AE23)</f>
        <v>32061.97109710583</v>
      </c>
      <c r="G23" s="175"/>
      <c r="H23" s="369">
        <f>(Inputs!$G$58)*Inputs!$G$7+(Capex!D48*Inputs!$G$59)*Inputs!$G$7</f>
        <v>844.8432376874999</v>
      </c>
      <c r="I23" s="369">
        <f>H23+(Capex!E48*Inputs!J9*Inputs!$G$59)*Inputs!$G$7</f>
        <v>857.1160739374999</v>
      </c>
      <c r="J23" s="369">
        <f>I23+(Capex!F48*Inputs!K9*Inputs!$G$59)*Inputs!$G$7</f>
        <v>989.3466773010151</v>
      </c>
      <c r="K23" s="369">
        <f>J23+(Capex!G48*Inputs!L9*Inputs!$G$59)*Inputs!$G$7</f>
        <v>1067.6563430970775</v>
      </c>
      <c r="L23" s="369">
        <f>K23+(Capex!H48*Inputs!M9*Inputs!$G$59)*Inputs!$G$7</f>
        <v>1101.9354303065627</v>
      </c>
      <c r="M23" s="369">
        <f>L23+(Capex!$E$83*Inputs!N9*Inputs!$G$59)*Inputs!$G$7</f>
        <v>1129.881180960157</v>
      </c>
      <c r="N23" s="369">
        <f>M23+(Capex!$E$83*Inputs!O9*Inputs!$G$59)*Inputs!$G$7</f>
        <v>1158.6653041333593</v>
      </c>
      <c r="O23" s="369">
        <f>N23+(Capex!$E$83*Inputs!P9*Inputs!$G$59)*Inputs!$G$7</f>
        <v>1188.3129510017575</v>
      </c>
      <c r="P23" s="369">
        <f>O23+(Capex!$E$83*Inputs!Q9*Inputs!$G$59)*Inputs!$G$7</f>
        <v>1218.8500272762078</v>
      </c>
      <c r="Q23" s="369">
        <f>P23+(Capex!$E$83*Inputs!R9*Inputs!$G$59)*Inputs!$G$7</f>
        <v>1250.3032158388914</v>
      </c>
      <c r="R23" s="369">
        <f>Q23+(Capex!$E$83*Inputs!S9*Inputs!$G$59)*Inputs!$G$7</f>
        <v>1282.7000000584558</v>
      </c>
      <c r="S23" s="369">
        <f>R23+(Capex!$E$83*Inputs!T9*Inputs!$G$59)*Inputs!$G$7</f>
        <v>1316.068687804607</v>
      </c>
      <c r="T23" s="369">
        <f>S23+(Capex!$E$83*Inputs!U9*Inputs!$G$59)*Inputs!$G$7</f>
        <v>1350.4384361831426</v>
      </c>
      <c r="U23" s="369">
        <f>T23+(Capex!$E$83*Inputs!V9*Inputs!$G$59)*Inputs!$G$7</f>
        <v>1385.8392770130342</v>
      </c>
      <c r="V23" s="369">
        <f>U23+(Capex!$E$83*Inputs!W9*Inputs!$G$59)*Inputs!$G$7</f>
        <v>1422.3021430678227</v>
      </c>
      <c r="W23" s="369">
        <f>V23+(Capex!$E$83*Inputs!X9*Inputs!$G$59)*Inputs!$G$7</f>
        <v>1459.858895104255</v>
      </c>
      <c r="X23" s="369">
        <f>W23+(Capex!$E$83*Inputs!Y9*Inputs!$G$59)*Inputs!$G$7</f>
        <v>1498.54234970178</v>
      </c>
      <c r="Y23" s="369">
        <f>X23+(Capex!$E$83*Inputs!Z9*Inputs!$G$59)*Inputs!$G$7</f>
        <v>1538.3863079372309</v>
      </c>
      <c r="Z23" s="369">
        <f>Y23+(Capex!$E$83*Inputs!AA9*Inputs!$G$59)*Inputs!$G$7</f>
        <v>1579.4255849197452</v>
      </c>
      <c r="AA23" s="369">
        <f>Z23+(Capex!$E$83*Inputs!AB9*Inputs!$G$59)*Inputs!$G$7</f>
        <v>1621.6960402117352</v>
      </c>
      <c r="AB23" s="369">
        <f>AA23+(Capex!$E$83*Inputs!AC9*Inputs!$G$59)*Inputs!$G$7</f>
        <v>1665.2346091624847</v>
      </c>
      <c r="AC23" s="369">
        <f>AB23+(Capex!$E$83*Inputs!AD9*Inputs!$G$59)*Inputs!$G$7*Inputs!AD57</f>
        <v>1698.8681536769388</v>
      </c>
      <c r="AD23" s="369">
        <f>AC23+(Capex!X101*Inputs!$G$59)*Inputs!$G$7*Inputs!AE57</f>
        <v>1715.684925934166</v>
      </c>
      <c r="AE23" s="369">
        <f>AD23+(Capex!Y101*Inputs!$G$59)*Inputs!$G$7*Inputs!AF57</f>
        <v>1720.0152447904018</v>
      </c>
    </row>
    <row r="24" spans="1:31" ht="12.75">
      <c r="A24" s="105"/>
      <c r="B24" s="105" t="s">
        <v>359</v>
      </c>
      <c r="C24" s="105"/>
      <c r="D24" s="105"/>
      <c r="E24" s="302"/>
      <c r="F24" s="431">
        <f aca="true" t="shared" si="3" ref="F24:F30">SUM(H24:AE24)</f>
        <v>30286.430039587507</v>
      </c>
      <c r="G24" s="175"/>
      <c r="H24" s="566">
        <f>G24+(Inputs!$G$59*Capex!C93)*Inputs!$G$7</f>
        <v>248.23206378749998</v>
      </c>
      <c r="I24" s="566">
        <f>H24+(Inputs!$G$59*Capex!D93)*Inputs!$G$7</f>
        <v>765.7481932625001</v>
      </c>
      <c r="J24" s="566">
        <f>I24+(Inputs!$G$59*Capex!E93)*Inputs!$G$7</f>
        <v>1192.4457339625</v>
      </c>
      <c r="K24" s="566">
        <f>J24+(Inputs!$G$59*Capex!F93)*Inputs!$G$7</f>
        <v>1336.756346325</v>
      </c>
      <c r="L24" s="566">
        <f>K24+(Inputs!$G$59*Capex!G93)*Inputs!$G$7</f>
        <v>1337.1623851125</v>
      </c>
      <c r="M24" s="566">
        <f>L24+(Inputs!$G$59*Capex!H93)*Inputs!$G$7</f>
        <v>1337.1623851125</v>
      </c>
      <c r="N24" s="566">
        <f>M24+(Inputs!$G$59*Capex!I93)*Inputs!$G$7</f>
        <v>1337.1623851125</v>
      </c>
      <c r="O24" s="566">
        <f>N24+(Inputs!$G$59*Capex!J93)*Inputs!$G$7</f>
        <v>1337.1623851125</v>
      </c>
      <c r="P24" s="566">
        <f>O24+(Inputs!$G$59*Capex!K93)*Inputs!$G$7</f>
        <v>1337.1623851125</v>
      </c>
      <c r="Q24" s="566">
        <f>P24+(Inputs!$G$59*Capex!L93)*Inputs!$G$7</f>
        <v>1337.1623851125</v>
      </c>
      <c r="R24" s="566">
        <f>Q24+(Inputs!$G$59*Capex!M93)*Inputs!$G$7</f>
        <v>1337.1623851125</v>
      </c>
      <c r="S24" s="566">
        <f>R24+(Inputs!$G$59*Capex!N93)*Inputs!$G$7</f>
        <v>1337.1623851125</v>
      </c>
      <c r="T24" s="566">
        <f>S24+(Inputs!$G$59*Capex!O93)*Inputs!$G$7</f>
        <v>1337.1623851125</v>
      </c>
      <c r="U24" s="566">
        <f>T24+(Inputs!$G$59*Capex!P93)*Inputs!$G$7</f>
        <v>1337.1623851125</v>
      </c>
      <c r="V24" s="566">
        <f>U24+(Inputs!$G$59*Capex!Q93)*Inputs!$G$7</f>
        <v>1337.1623851125</v>
      </c>
      <c r="W24" s="566">
        <f>V24+(Inputs!$G$59*Capex!R93)*Inputs!$G$7</f>
        <v>1337.1623851125</v>
      </c>
      <c r="X24" s="566">
        <f>W24+(Inputs!$G$59*Capex!S93)*Inputs!$G$7</f>
        <v>1337.1623851125</v>
      </c>
      <c r="Y24" s="566">
        <f>X24+(Inputs!$G$59*Capex!T93)*Inputs!$G$7</f>
        <v>1337.1623851125</v>
      </c>
      <c r="Z24" s="566">
        <f>Y24+(Inputs!$G$59*Capex!U93)*Inputs!$G$7</f>
        <v>1337.1623851125</v>
      </c>
      <c r="AA24" s="566">
        <f>Z24+(Inputs!$G$59*Capex!V93)*Inputs!$G$7</f>
        <v>1337.1623851125</v>
      </c>
      <c r="AB24" s="566">
        <f>AA24+(Inputs!$G$59*Capex!W93)*Inputs!$G$7</f>
        <v>1337.1623851125</v>
      </c>
      <c r="AC24" s="566">
        <f>AB24+(Inputs!$G$59*Capex!X93)*Inputs!$G$7</f>
        <v>1337.1623851125</v>
      </c>
      <c r="AD24" s="566">
        <f>AC24+(Inputs!$G$59*Capex!Y93)*Inputs!$G$7</f>
        <v>1337.1623851125</v>
      </c>
      <c r="AE24" s="566">
        <f>AD24+(Inputs!$G$59*Capex!Z93)*Inputs!$G$7</f>
        <v>1337.1623851125</v>
      </c>
    </row>
    <row r="25" spans="1:31" ht="12.75">
      <c r="A25" s="105"/>
      <c r="B25" s="105" t="s">
        <v>360</v>
      </c>
      <c r="C25" s="105"/>
      <c r="D25" s="105"/>
      <c r="E25" s="302"/>
      <c r="F25" s="431">
        <f t="shared" si="3"/>
        <v>327538.95377437427</v>
      </c>
      <c r="G25" s="175"/>
      <c r="H25" s="566">
        <f>$E$75*Inputs!$G$7</f>
        <v>7412.1375</v>
      </c>
      <c r="I25" s="566">
        <f>$E$76*Inputs!$G$7</f>
        <v>10473.125232499999</v>
      </c>
      <c r="J25" s="566">
        <f>$E$77*Inputs!$G$7</f>
        <v>10499.767879425</v>
      </c>
      <c r="K25" s="566">
        <f>$E$78*Inputs!$G$7</f>
        <v>7856.726799085998</v>
      </c>
      <c r="L25" s="566">
        <f>E80*Inputs!$G$7</f>
        <v>10763.245879309256</v>
      </c>
      <c r="M25" s="566">
        <f>($L$25*(1+Inputs!$G$9)^('O&amp;M and SO2'!H3-1999))</f>
        <v>11086.143255688534</v>
      </c>
      <c r="N25" s="566">
        <f>($L$25*(1+Inputs!$G$9)^('O&amp;M and SO2'!I3-1999))</f>
        <v>11418.72755335919</v>
      </c>
      <c r="O25" s="566">
        <f>($L$25*(1+Inputs!$G$9)^('O&amp;M and SO2'!J3-1999))</f>
        <v>11761.289379959964</v>
      </c>
      <c r="P25" s="566">
        <f>($L$25*(1+Inputs!$G$9)^('O&amp;M and SO2'!K3-1999))</f>
        <v>12114.128061358762</v>
      </c>
      <c r="Q25" s="566">
        <f>($L$25*(1+Inputs!$G$9)^('O&amp;M and SO2'!L3-1999))</f>
        <v>12477.551903199525</v>
      </c>
      <c r="R25" s="566">
        <f>($L$25*(1+Inputs!$G$9)^('O&amp;M and SO2'!M3-1999))</f>
        <v>12851.878460295511</v>
      </c>
      <c r="S25" s="566">
        <f>($L$25*(1+Inputs!$G$9)^('O&amp;M and SO2'!N3-1999))</f>
        <v>13237.434814104377</v>
      </c>
      <c r="T25" s="566">
        <f>($L$25*(1+Inputs!$G$9)^('O&amp;M and SO2'!O3-1999))</f>
        <v>13634.557858527507</v>
      </c>
      <c r="U25" s="566">
        <f>($L$25*(1+Inputs!$G$9)^('O&amp;M and SO2'!P3-1999))</f>
        <v>14043.594594283333</v>
      </c>
      <c r="V25" s="566">
        <f>($L$25*(1+Inputs!$G$9)^('O&amp;M and SO2'!Q3-1999))</f>
        <v>14464.902432111832</v>
      </c>
      <c r="W25" s="566">
        <f>($L$25*(1+Inputs!$G$9)^('O&amp;M and SO2'!R3-1999))</f>
        <v>14898.849505075188</v>
      </c>
      <c r="X25" s="566">
        <f>($L$25*(1+Inputs!$G$9)^('O&amp;M and SO2'!S3-1999))</f>
        <v>15345.814990227442</v>
      </c>
      <c r="Y25" s="566">
        <f>($L$25*(1+Inputs!$G$9)^('O&amp;M and SO2'!T3-1999))</f>
        <v>15806.189439934264</v>
      </c>
      <c r="Z25" s="566">
        <f>($L$25*(1+Inputs!$G$9)^('O&amp;M and SO2'!U3-1999))</f>
        <v>16280.375123132295</v>
      </c>
      <c r="AA25" s="566">
        <f>($L$25*(1+Inputs!$G$9)^('O&amp;M and SO2'!V3-1999))</f>
        <v>16768.786376826265</v>
      </c>
      <c r="AB25" s="566">
        <f>($L$25*(1+Inputs!$G$9)^('O&amp;M and SO2'!W3-1999))</f>
        <v>17271.84996813105</v>
      </c>
      <c r="AC25" s="566">
        <f>($L$25*(1+Inputs!$G$9)^('O&amp;M and SO2'!X3-1999))</f>
        <v>17790.00546717498</v>
      </c>
      <c r="AD25" s="566">
        <f>($L$25*(1+Inputs!$G$9)^('O&amp;M and SO2'!Y3-1999))</f>
        <v>18323.70563119023</v>
      </c>
      <c r="AE25" s="360">
        <f>($L$25*(1+Inputs!G9)^(Z3-1999))+Inputs!G20*Inputs!G7</f>
        <v>20958.165669473823</v>
      </c>
    </row>
    <row r="26" spans="1:31" ht="12.75">
      <c r="A26" s="105"/>
      <c r="B26" s="105" t="s">
        <v>361</v>
      </c>
      <c r="C26" s="105"/>
      <c r="D26" s="105"/>
      <c r="E26" s="302"/>
      <c r="F26" s="431">
        <f t="shared" si="3"/>
        <v>171386.1566949289</v>
      </c>
      <c r="G26" s="175"/>
      <c r="H26" s="566">
        <f>'Wholesale Transmission'!G8*1000</f>
        <v>3859.9</v>
      </c>
      <c r="I26" s="566">
        <f>'Wholesale Transmission'!H8*1000</f>
        <v>3859.9</v>
      </c>
      <c r="J26" s="566">
        <f>'Wholesale Transmission'!I8*1000</f>
        <v>3859.9</v>
      </c>
      <c r="K26" s="566">
        <f>'Wholesale Transmission'!J8*1000</f>
        <v>3859.9</v>
      </c>
      <c r="L26" s="566">
        <f>'Wholesale Transmission'!K8*1000</f>
        <v>3859.9</v>
      </c>
      <c r="M26" s="566">
        <f>'Wholesale Transmission'!L8*1000</f>
        <v>3859.9</v>
      </c>
      <c r="N26" s="566">
        <f>'Wholesale Transmission'!M8*1000</f>
        <v>3859.9</v>
      </c>
      <c r="O26" s="566">
        <f>'Wholesale Transmission'!N8*1000</f>
        <v>3859.9</v>
      </c>
      <c r="P26" s="566">
        <f>'Wholesale Transmission'!O8*1000</f>
        <v>7656</v>
      </c>
      <c r="Q26" s="566">
        <f>'Wholesale Transmission'!P8*1000</f>
        <v>7793.807999999999</v>
      </c>
      <c r="R26" s="566">
        <f>'Wholesale Transmission'!Q8*1000</f>
        <v>7934.096543999999</v>
      </c>
      <c r="S26" s="566">
        <f>'Wholesale Transmission'!R8*1000</f>
        <v>8076.910281791999</v>
      </c>
      <c r="T26" s="566">
        <f>'Wholesale Transmission'!S8*1000</f>
        <v>8222.294666864256</v>
      </c>
      <c r="U26" s="566">
        <f>'Wholesale Transmission'!T8*1000</f>
        <v>8370.295970867814</v>
      </c>
      <c r="V26" s="566">
        <f>'Wholesale Transmission'!U8*1000</f>
        <v>8520.961298343433</v>
      </c>
      <c r="W26" s="566">
        <f>'Wholesale Transmission'!V8*1000</f>
        <v>8674.338601713614</v>
      </c>
      <c r="X26" s="566">
        <f>'Wholesale Transmission'!W8*1000</f>
        <v>8830.47669654446</v>
      </c>
      <c r="Y26" s="566">
        <f>'Wholesale Transmission'!X8*1000</f>
        <v>8989.42527708226</v>
      </c>
      <c r="Z26" s="566">
        <f>'Wholesale Transmission'!Y8*1000</f>
        <v>9151.234932069741</v>
      </c>
      <c r="AA26" s="566">
        <f>'Wholesale Transmission'!Z8*1000</f>
        <v>9315.957160846998</v>
      </c>
      <c r="AB26" s="566">
        <f>'Wholesale Transmission'!AA8*1000</f>
        <v>9483.644389742243</v>
      </c>
      <c r="AC26" s="566">
        <f>'Wholesale Transmission'!AB8*1000</f>
        <v>9654.349988757604</v>
      </c>
      <c r="AD26" s="566">
        <f>'Wholesale Transmission'!AC8*1000</f>
        <v>9828.128288555241</v>
      </c>
      <c r="AE26" s="566">
        <f>'Wholesale Transmission'!AD8*1000</f>
        <v>10005.034597749234</v>
      </c>
    </row>
    <row r="27" spans="1:31" ht="12.75">
      <c r="A27" s="105"/>
      <c r="B27" s="338" t="s">
        <v>362</v>
      </c>
      <c r="C27" s="105"/>
      <c r="D27" s="105"/>
      <c r="E27" s="361">
        <f>Inputs!G9</f>
        <v>0.03</v>
      </c>
      <c r="F27" s="431">
        <f t="shared" si="3"/>
        <v>200781.1881045077</v>
      </c>
      <c r="G27" s="175"/>
      <c r="H27" s="430">
        <f>(Inputs!$G$60*(1+Inputs!$G$9)^('O&amp;M and SO2'!I3-1999))</f>
        <v>5832.1746856</v>
      </c>
      <c r="I27" s="430">
        <f>(Inputs!$G$60*(1+Inputs!$G$9)^('O&amp;M and SO2'!J3-1999))</f>
        <v>6007.139926168</v>
      </c>
      <c r="J27" s="430">
        <f>(Inputs!$G$60*(1+Inputs!$G$9)^('O&amp;M and SO2'!K3-1999))</f>
        <v>6187.35412395304</v>
      </c>
      <c r="K27" s="430">
        <f>(Inputs!$G$60*(1+Inputs!$G$9)^('O&amp;M and SO2'!L3-1999))</f>
        <v>6372.97474767163</v>
      </c>
      <c r="L27" s="430">
        <f>(Inputs!$G$60*(1+Inputs!$G$9)^('O&amp;M and SO2'!M3-1999))</f>
        <v>6564.16399010178</v>
      </c>
      <c r="M27" s="430">
        <f>(Inputs!$G$60*(1+Inputs!$G$9)^('O&amp;M and SO2'!N3-1999))</f>
        <v>6761.088909804834</v>
      </c>
      <c r="N27" s="430">
        <f>(Inputs!$G$60*(1+Inputs!$G$9)^('O&amp;M and SO2'!O3-1999))</f>
        <v>6963.921577098978</v>
      </c>
      <c r="O27" s="430">
        <f>(Inputs!$G$60*(1+Inputs!$G$9)^('O&amp;M and SO2'!P3-1999))</f>
        <v>7172.839224411947</v>
      </c>
      <c r="P27" s="430">
        <f>(Inputs!$G$60*(1+Inputs!$G$9)^('O&amp;M and SO2'!Q3-1999))</f>
        <v>7388.024401144306</v>
      </c>
      <c r="Q27" s="430">
        <f>(Inputs!$G$60*(1+Inputs!$G$9)^('O&amp;M and SO2'!R3-1999))</f>
        <v>7609.665133178635</v>
      </c>
      <c r="R27" s="430">
        <f>(Inputs!$G$60*(1+Inputs!$G$9)^('O&amp;M and SO2'!S3-1999))</f>
        <v>7837.955087173993</v>
      </c>
      <c r="S27" s="430">
        <f>(Inputs!$G$60*(1+Inputs!$G$9)^('O&amp;M and SO2'!T3-1999))</f>
        <v>8073.093739789212</v>
      </c>
      <c r="T27" s="430">
        <f>(Inputs!$G$60*(1+Inputs!$G$9)^('O&amp;M and SO2'!U3-1999))</f>
        <v>8315.28655198289</v>
      </c>
      <c r="U27" s="430">
        <f>(Inputs!$G$60*(1+Inputs!$G$9)^('O&amp;M and SO2'!V3-1999))</f>
        <v>8564.745148542377</v>
      </c>
      <c r="V27" s="430">
        <f>(Inputs!$G$60*(1+Inputs!$G$9)^('O&amp;M and SO2'!W3-1999))</f>
        <v>8821.687502998646</v>
      </c>
      <c r="W27" s="430">
        <f>(Inputs!$G$60*(1+Inputs!$G$9)^('O&amp;M and SO2'!X3-1999))</f>
        <v>9086.338128088606</v>
      </c>
      <c r="X27" s="430">
        <f>(Inputs!$G$60*(1+Inputs!$G$9)^('O&amp;M and SO2'!Y3-1999))</f>
        <v>9358.928271931265</v>
      </c>
      <c r="Y27" s="430">
        <f>(Inputs!$G$60*(1+Inputs!$G$9)^('O&amp;M and SO2'!Z3-1999))</f>
        <v>9639.696120089202</v>
      </c>
      <c r="Z27" s="430">
        <f>(Inputs!$G$60*(1+Inputs!$G$9)^('O&amp;M and SO2'!AA3-1999))</f>
        <v>9928.887003691878</v>
      </c>
      <c r="AA27" s="430">
        <f>(Inputs!$G$60*(1+Inputs!$G$9)^('O&amp;M and SO2'!AB3-1999))</f>
        <v>10226.753613802633</v>
      </c>
      <c r="AB27" s="430">
        <f>(Inputs!$G$60*(1+Inputs!$G$9)^('O&amp;M and SO2'!AC3-1999))</f>
        <v>10533.556222216712</v>
      </c>
      <c r="AC27" s="430">
        <f>(Inputs!$G$60*(1+Inputs!$G$9)^('O&amp;M and SO2'!AD3-1999))</f>
        <v>10849.562908883216</v>
      </c>
      <c r="AD27" s="430">
        <f>(Inputs!$G$60*(1+Inputs!$G$9)^('O&amp;M and SO2'!AE3-1999))</f>
        <v>11175.04979614971</v>
      </c>
      <c r="AE27" s="430">
        <f>(Inputs!$G$60*(1+Inputs!$G$9)^('O&amp;M and SO2'!AF3-1999))</f>
        <v>11510.3012900342</v>
      </c>
    </row>
    <row r="28" spans="1:31" ht="12.75">
      <c r="A28" s="105"/>
      <c r="B28" s="338" t="s">
        <v>363</v>
      </c>
      <c r="C28" s="105"/>
      <c r="D28" s="105"/>
      <c r="E28" s="302"/>
      <c r="F28" s="431">
        <f t="shared" si="3"/>
        <v>-177682.2676440357</v>
      </c>
      <c r="G28" s="175"/>
      <c r="H28" s="433">
        <f>-Inputs!$G$21*Inputs!K9</f>
        <v>-5161.2107350125</v>
      </c>
      <c r="I28" s="433">
        <f>-Inputs!$G$21*Inputs!L9</f>
        <v>-5316.047057062875</v>
      </c>
      <c r="J28" s="433">
        <f>-Inputs!$G$21*Inputs!M9</f>
        <v>-5475.528468774761</v>
      </c>
      <c r="K28" s="433">
        <f>-Inputs!$G$21*Inputs!N9</f>
        <v>-5639.794322838004</v>
      </c>
      <c r="L28" s="433">
        <f>-Inputs!$G$21*Inputs!O9</f>
        <v>-5808.988152523144</v>
      </c>
      <c r="M28" s="433">
        <f>-Inputs!$G$21*Inputs!P9</f>
        <v>-5983.257797098839</v>
      </c>
      <c r="N28" s="433">
        <f>-Inputs!$G$21*Inputs!Q9</f>
        <v>-6162.755531011803</v>
      </c>
      <c r="O28" s="433">
        <f>-Inputs!$G$21*Inputs!R9</f>
        <v>-6347.638196942157</v>
      </c>
      <c r="P28" s="433">
        <f>-Inputs!$G$21*Inputs!S9</f>
        <v>-6538.067342850422</v>
      </c>
      <c r="Q28" s="433">
        <f>-Inputs!$G$21*Inputs!T9</f>
        <v>-6734.209363135935</v>
      </c>
      <c r="R28" s="433">
        <f>-Inputs!$G$21*Inputs!U9</f>
        <v>-6936.235644030012</v>
      </c>
      <c r="S28" s="433">
        <f>-Inputs!$G$21*Inputs!V9</f>
        <v>-7144.322713350912</v>
      </c>
      <c r="T28" s="433">
        <f>-Inputs!$G$21*Inputs!W9</f>
        <v>-7358.652394751441</v>
      </c>
      <c r="U28" s="433">
        <f>-Inputs!$G$21*Inputs!X9</f>
        <v>-7579.411966593984</v>
      </c>
      <c r="V28" s="433">
        <f>-Inputs!$G$21*Inputs!Y9</f>
        <v>-7806.794325591802</v>
      </c>
      <c r="W28" s="433">
        <f>-Inputs!$G$21*Inputs!Z9</f>
        <v>-8040.998155359556</v>
      </c>
      <c r="X28" s="433">
        <f>-Inputs!$G$21*Inputs!AA9</f>
        <v>-8282.228100020342</v>
      </c>
      <c r="Y28" s="433">
        <f>-Inputs!$G$21*Inputs!AB9</f>
        <v>-8530.694943020953</v>
      </c>
      <c r="Z28" s="433">
        <f>-Inputs!$G$21*Inputs!AC9</f>
        <v>-8786.615791311582</v>
      </c>
      <c r="AA28" s="433">
        <f>-Inputs!$G$21*Inputs!AD9</f>
        <v>-9050.214265050927</v>
      </c>
      <c r="AB28" s="433">
        <f>-Inputs!$G$21*Inputs!AE9</f>
        <v>-9321.720693002457</v>
      </c>
      <c r="AC28" s="433">
        <f>-Inputs!$G$21*Inputs!AF9</f>
        <v>-9601.37231379253</v>
      </c>
      <c r="AD28" s="433">
        <f>-Inputs!$G$21*Inputs!AG9</f>
        <v>-9889.413483206305</v>
      </c>
      <c r="AE28" s="433">
        <f>-Inputs!$G$21*Inputs!AH9</f>
        <v>-10186.095887702493</v>
      </c>
    </row>
    <row r="29" spans="1:31" ht="12.75">
      <c r="A29" s="105"/>
      <c r="B29" s="56" t="str">
        <f>"Plant Coal Handling Savings @ $"&amp;FIXED(Inputs!G19,2)&amp;"/ton @ 47.5%"</f>
        <v>Plant Coal Handling Savings @ $0.26/ton @ 47.5%</v>
      </c>
      <c r="C29" s="105"/>
      <c r="D29" s="105"/>
      <c r="E29" s="302"/>
      <c r="F29" s="431">
        <f t="shared" si="3"/>
        <v>-18099.148144943378</v>
      </c>
      <c r="G29" s="175"/>
      <c r="H29" s="567">
        <f>-(Inputs!J38*Inputs!$G$19*Inputs!K9/1000*Inputs!$G$7)</f>
        <v>-524.0846</v>
      </c>
      <c r="I29" s="567">
        <f>-(Inputs!K38*Inputs!$G$19*Inputs!L9/1000*Inputs!$G$7)</f>
        <v>-539.807138</v>
      </c>
      <c r="J29" s="567">
        <f>-(Inputs!L38*Inputs!$G$19*Inputs!M9/1000*Inputs!$G$7)</f>
        <v>-556.0013521399999</v>
      </c>
      <c r="K29" s="567">
        <f>-(Inputs!M38*Inputs!$G$19*Inputs!N9/1000*Inputs!$G$7)</f>
        <v>-604.839655525282</v>
      </c>
      <c r="L29" s="567">
        <f>-(Inputs!N38*Inputs!$G$19*Inputs!O9/1000*Inputs!$G$7)</f>
        <v>-591.8356029314884</v>
      </c>
      <c r="M29" s="567">
        <f>-(Inputs!O38*Inputs!$G$19*Inputs!P9/1000*Inputs!$G$7)</f>
        <v>-625.6325307831024</v>
      </c>
      <c r="N29" s="567">
        <f>-(Inputs!P38*Inputs!$G$19*Inputs!Q9/1000*Inputs!$G$7)</f>
        <v>-644.4015067065953</v>
      </c>
      <c r="O29" s="567">
        <f>-(Inputs!Q38*Inputs!$G$19*Inputs!R9/1000*Inputs!$G$7)</f>
        <v>-663.7335519077932</v>
      </c>
      <c r="P29" s="567">
        <f>-(Inputs!R38*Inputs!$G$19*Inputs!S9/1000*Inputs!$G$7)</f>
        <v>-666.1161851710519</v>
      </c>
      <c r="Q29" s="567">
        <f>-(Inputs!S38*Inputs!$G$19*Inputs!T9/1000*Inputs!$G$7)</f>
        <v>-668.0444162333893</v>
      </c>
      <c r="R29" s="567">
        <f>-(Inputs!T38*Inputs!$G$19*Inputs!U9/1000*Inputs!$G$7)</f>
        <v>-688.0857487203909</v>
      </c>
      <c r="S29" s="567">
        <f>-(Inputs!U38*Inputs!$G$19*Inputs!V9/1000*Inputs!$G$7)</f>
        <v>-708.7283211820026</v>
      </c>
      <c r="T29" s="567">
        <f>-(Inputs!V38*Inputs!$G$19*Inputs!W9/1000*Inputs!$G$7)</f>
        <v>-749.7196348936103</v>
      </c>
      <c r="U29" s="567">
        <f>-(Inputs!W38*Inputs!$G$19*Inputs!X9/1000*Inputs!$G$7)</f>
        <v>-772.2112239404187</v>
      </c>
      <c r="V29" s="567">
        <f>-(Inputs!X38*Inputs!$G$19*Inputs!Y9/1000*Inputs!$G$7)</f>
        <v>-795.3775606586311</v>
      </c>
      <c r="W29" s="567">
        <f>-(Inputs!Y38*Inputs!$G$19*Inputs!Z9/1000*Inputs!$G$7)</f>
        <v>-819.23888747839</v>
      </c>
      <c r="X29" s="567">
        <f>-(Inputs!Z38*Inputs!$G$19*Inputs!AA9/1000*Inputs!$G$7)</f>
        <v>-821.6103684684591</v>
      </c>
      <c r="Y29" s="567">
        <f>-(Inputs!AA38*Inputs!$G$19*Inputs!AB9/1000*Inputs!$G$7)</f>
        <v>-869.130535725824</v>
      </c>
      <c r="Z29" s="567">
        <f>-(Inputs!AB38*Inputs!$G$19*Inputs!AC9/1000*Inputs!$G$7)</f>
        <v>-895.2044517975986</v>
      </c>
      <c r="AA29" s="567">
        <f>-(Inputs!AC38*Inputs!$G$19*Inputs!AD9/1000*Inputs!$G$7)</f>
        <v>-922.0605853515265</v>
      </c>
      <c r="AB29" s="567">
        <f>-(Inputs!AD38*Inputs!$G$19*Inputs!AE9/1000*Inputs!$G$7)</f>
        <v>-949.7224029120723</v>
      </c>
      <c r="AC29" s="567">
        <f>-(Inputs!AE38*Inputs!$G$19*Inputs!AF9/1000*Inputs!$G$7)</f>
        <v>-978.2140749994345</v>
      </c>
      <c r="AD29" s="567">
        <f>-(Inputs!AF38*Inputs!$G$19*Inputs!AG9/1000*Inputs!$G$7)</f>
        <v>-1007.5604972494176</v>
      </c>
      <c r="AE29" s="567">
        <f>-(Inputs!AG38*Inputs!$G$19*Inputs!AH9/1000*Inputs!$G$7)</f>
        <v>-1037.7873121669002</v>
      </c>
    </row>
    <row r="30" spans="1:31" ht="12.75">
      <c r="A30" s="105"/>
      <c r="B30" s="105"/>
      <c r="C30" s="110" t="s">
        <v>364</v>
      </c>
      <c r="D30" s="105"/>
      <c r="E30" s="106"/>
      <c r="F30" s="431">
        <f t="shared" si="3"/>
        <v>624494.5173296252</v>
      </c>
      <c r="G30" s="175"/>
      <c r="H30" s="303">
        <f aca="true" t="shared" si="4" ref="H30:AE30">SUM(H20:H29)</f>
        <v>12511.992152062498</v>
      </c>
      <c r="I30" s="303">
        <f t="shared" si="4"/>
        <v>16107.175230805125</v>
      </c>
      <c r="J30" s="303">
        <f t="shared" si="4"/>
        <v>17603.49237091908</v>
      </c>
      <c r="K30" s="303">
        <f t="shared" si="4"/>
        <v>16128.806856213088</v>
      </c>
      <c r="L30" s="303">
        <f t="shared" si="4"/>
        <v>19149.549427165173</v>
      </c>
      <c r="M30" s="303">
        <f t="shared" si="4"/>
        <v>19534.261796304505</v>
      </c>
      <c r="N30" s="303">
        <f t="shared" si="4"/>
        <v>20029.25224513072</v>
      </c>
      <c r="O30" s="303">
        <f t="shared" si="4"/>
        <v>20460.82370336529</v>
      </c>
      <c r="P30" s="303">
        <f t="shared" si="4"/>
        <v>24757.409853911984</v>
      </c>
      <c r="Q30" s="303">
        <f t="shared" si="4"/>
        <v>25386.810632564328</v>
      </c>
      <c r="R30" s="303">
        <f t="shared" si="4"/>
        <v>26039.656768260655</v>
      </c>
      <c r="S30" s="303">
        <f t="shared" si="4"/>
        <v>26713.85164187863</v>
      </c>
      <c r="T30" s="303">
        <f t="shared" si="4"/>
        <v>27399.1327698596</v>
      </c>
      <c r="U30" s="303">
        <f t="shared" si="4"/>
        <v>28084.84599812309</v>
      </c>
      <c r="V30" s="303">
        <f t="shared" si="4"/>
        <v>28781.92177773643</v>
      </c>
      <c r="W30" s="303">
        <f t="shared" si="4"/>
        <v>29498.188408418475</v>
      </c>
      <c r="X30" s="303">
        <f t="shared" si="4"/>
        <v>30255.80118412581</v>
      </c>
      <c r="Y30" s="303">
        <f t="shared" si="4"/>
        <v>30999.193019561182</v>
      </c>
      <c r="Z30" s="303">
        <f t="shared" si="4"/>
        <v>31779.831985858193</v>
      </c>
      <c r="AA30" s="303">
        <f t="shared" si="4"/>
        <v>32578.18494244014</v>
      </c>
      <c r="AB30" s="303">
        <f t="shared" si="4"/>
        <v>33398.5118209742</v>
      </c>
      <c r="AC30" s="303">
        <f t="shared" si="4"/>
        <v>34230.22507761271</v>
      </c>
      <c r="AD30" s="303">
        <f t="shared" si="4"/>
        <v>35067.01548616955</v>
      </c>
      <c r="AE30" s="303">
        <f t="shared" si="4"/>
        <v>37998.58218016469</v>
      </c>
    </row>
    <row r="31" spans="6:31" ht="12.75">
      <c r="F31" s="106"/>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row>
    <row r="33" spans="2:31" ht="12.75">
      <c r="B33" s="105" t="s">
        <v>440</v>
      </c>
      <c r="G33" s="53">
        <f>(Inputs!$G$58)</f>
        <v>1669.53</v>
      </c>
      <c r="H33" s="53">
        <f>G33+(Capex!D48*Inputs!$G$59)</f>
        <v>1778.6173425</v>
      </c>
      <c r="I33" s="53">
        <f>H33+(Capex!E48*Inputs!J9*Inputs!$G$59)</f>
        <v>1804.4548925</v>
      </c>
      <c r="J33" s="53">
        <f>I33+(Capex!F48*Inputs!K9*Inputs!$G$59)</f>
        <v>2082.8351101074004</v>
      </c>
      <c r="K33" s="53">
        <f>J33+(Capex!G48*Inputs!L9*Inputs!$G$59)</f>
        <v>2247.6975644149006</v>
      </c>
      <c r="L33" s="53">
        <f>K33+(Capex!H48*Inputs!M9*Inputs!$G$59)</f>
        <v>2319.8640638032907</v>
      </c>
      <c r="M33" s="53">
        <f>L33+(Capex!$E$83*Inputs!N9*Inputs!$G$59)</f>
        <v>2378.6972230740157</v>
      </c>
      <c r="N33" s="53">
        <f>M33+(Capex!$E$83*Inputs!O9*Inputs!$G$59)</f>
        <v>2439.2953771228626</v>
      </c>
      <c r="O33" s="53">
        <f>N33+(Capex!$E$83*Inputs!P9*Inputs!$G$59)</f>
        <v>2501.711475793175</v>
      </c>
      <c r="P33" s="53">
        <f>O33+(Capex!$E$83*Inputs!Q9*Inputs!$G$59)</f>
        <v>2566.0000574235964</v>
      </c>
      <c r="Q33" s="53">
        <f>P33+(Capex!$E$83*Inputs!R9*Inputs!$G$59)</f>
        <v>2632.2172965029304</v>
      </c>
      <c r="R33" s="53">
        <f>Q33+(Capex!$E$83*Inputs!S9*Inputs!$G$59)</f>
        <v>2700.4210527546447</v>
      </c>
      <c r="S33" s="53">
        <f>R33+(Capex!$E$83*Inputs!T9*Inputs!$G$59)</f>
        <v>2770.6709216939103</v>
      </c>
      <c r="T33" s="53">
        <f>S33+(Capex!$E$83*Inputs!U9*Inputs!$G$59)</f>
        <v>2843.028286701354</v>
      </c>
      <c r="U33" s="53">
        <f>T33+(Capex!$E$83*Inputs!V9*Inputs!$G$59)</f>
        <v>2917.556372659021</v>
      </c>
      <c r="V33" s="53">
        <f>U33+(Capex!$E$83*Inputs!W9*Inputs!$G$59)</f>
        <v>2994.320301195418</v>
      </c>
      <c r="W33" s="53">
        <f>V33+(Capex!$E$83*Inputs!X9*Inputs!$G$59)</f>
        <v>3073.387147587907</v>
      </c>
      <c r="X33" s="53">
        <f>W33+(Capex!$E$83*Inputs!Y9*Inputs!$G$59)</f>
        <v>3154.8259993721704</v>
      </c>
      <c r="Y33" s="53">
        <f>X33+(Capex!$E$83*Inputs!Z9*Inputs!$G$59)</f>
        <v>3238.7080167099616</v>
      </c>
      <c r="Z33" s="53">
        <f>Y33+(Capex!$E$83*Inputs!AA9*Inputs!$G$59)</f>
        <v>3325.106494567887</v>
      </c>
      <c r="AA33" s="53">
        <f>Z33+(Capex!$E$83*Inputs!AB9*Inputs!$G$59)</f>
        <v>3414.0969267615496</v>
      </c>
      <c r="AB33" s="53">
        <f>AA33+(Capex!$E$83*Inputs!AC9*Inputs!$G$59)</f>
        <v>3505.7570719210225</v>
      </c>
      <c r="AC33" s="53">
        <f>AB33+(Capex!$E$83*Inputs!AD9*Inputs!$G$59)</f>
        <v>3600.1670214352794</v>
      </c>
      <c r="AD33" s="53">
        <f>AC33+(Capex!$E$83*Inputs!AE9*Inputs!$G$59)</f>
        <v>3697.409269434964</v>
      </c>
      <c r="AE33" s="53">
        <f>AD33+(Capex!$E$83*Inputs!AF9*Inputs!$G$59)</f>
        <v>3797.568784874639</v>
      </c>
    </row>
    <row r="34" spans="7:31" ht="12.75">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row>
    <row r="35" spans="10:31" ht="12.75">
      <c r="J35" s="205"/>
      <c r="K35" s="205"/>
      <c r="L35" s="205"/>
      <c r="M35" s="205"/>
      <c r="N35" s="205"/>
      <c r="O35" s="205"/>
      <c r="P35" s="205"/>
      <c r="Q35" s="205"/>
      <c r="R35" s="205"/>
      <c r="S35" s="205"/>
      <c r="T35" s="205"/>
      <c r="U35" s="205"/>
      <c r="V35" s="205"/>
      <c r="W35" s="205"/>
      <c r="X35" s="205"/>
      <c r="Y35" s="205"/>
      <c r="Z35" s="205"/>
      <c r="AA35" s="205"/>
      <c r="AB35" s="205"/>
      <c r="AC35" s="205"/>
      <c r="AD35" s="205"/>
      <c r="AE35" s="205"/>
    </row>
    <row r="36" spans="10:31" ht="12.75">
      <c r="J36" s="205"/>
      <c r="K36" s="205"/>
      <c r="L36" s="205"/>
      <c r="M36" s="205"/>
      <c r="N36" s="205"/>
      <c r="O36" s="205"/>
      <c r="P36" s="205"/>
      <c r="Q36" s="205"/>
      <c r="R36" s="205"/>
      <c r="S36" s="205"/>
      <c r="T36" s="205"/>
      <c r="U36" s="205"/>
      <c r="V36" s="205"/>
      <c r="W36" s="205"/>
      <c r="X36" s="205"/>
      <c r="Y36" s="205"/>
      <c r="Z36" s="205"/>
      <c r="AA36" s="205"/>
      <c r="AB36" s="205"/>
      <c r="AC36" s="205"/>
      <c r="AD36" s="205"/>
      <c r="AE36" s="205"/>
    </row>
    <row r="37" spans="10:31" ht="12.75">
      <c r="J37" s="205"/>
      <c r="K37" s="205"/>
      <c r="L37" s="205"/>
      <c r="M37" s="205"/>
      <c r="N37" s="205"/>
      <c r="O37" s="205"/>
      <c r="P37" s="205"/>
      <c r="Q37" s="205"/>
      <c r="R37" s="205"/>
      <c r="S37" s="205"/>
      <c r="T37" s="205"/>
      <c r="U37" s="205"/>
      <c r="V37" s="205"/>
      <c r="W37" s="205"/>
      <c r="X37" s="205"/>
      <c r="Y37" s="205"/>
      <c r="Z37" s="205"/>
      <c r="AA37" s="205"/>
      <c r="AB37" s="205"/>
      <c r="AC37" s="205"/>
      <c r="AD37" s="205"/>
      <c r="AE37" s="205"/>
    </row>
    <row r="38" spans="10:31" ht="12.75">
      <c r="J38" s="205"/>
      <c r="K38" s="205"/>
      <c r="L38" s="205"/>
      <c r="M38" s="205"/>
      <c r="N38" s="205"/>
      <c r="O38" s="205"/>
      <c r="P38" s="205"/>
      <c r="Q38" s="205"/>
      <c r="R38" s="205"/>
      <c r="S38" s="205"/>
      <c r="T38" s="205"/>
      <c r="U38" s="205"/>
      <c r="V38" s="205"/>
      <c r="W38" s="205"/>
      <c r="X38" s="205"/>
      <c r="Y38" s="205"/>
      <c r="Z38" s="205"/>
      <c r="AA38" s="205"/>
      <c r="AB38" s="205"/>
      <c r="AC38" s="205"/>
      <c r="AD38" s="205"/>
      <c r="AE38" s="205"/>
    </row>
    <row r="39" spans="10:31" ht="12.75">
      <c r="J39" s="205"/>
      <c r="K39" s="205"/>
      <c r="L39" s="205"/>
      <c r="M39" s="205"/>
      <c r="N39" s="205"/>
      <c r="O39" s="205"/>
      <c r="P39" s="205"/>
      <c r="Q39" s="205"/>
      <c r="R39" s="205"/>
      <c r="S39" s="205"/>
      <c r="T39" s="205"/>
      <c r="U39" s="205"/>
      <c r="V39" s="205"/>
      <c r="W39" s="205"/>
      <c r="X39" s="205"/>
      <c r="Y39" s="205"/>
      <c r="Z39" s="205"/>
      <c r="AA39" s="205"/>
      <c r="AB39" s="205"/>
      <c r="AC39" s="205"/>
      <c r="AD39" s="205"/>
      <c r="AE39" s="205"/>
    </row>
    <row r="40" spans="10:31" ht="12.75">
      <c r="J40" s="205"/>
      <c r="K40" s="205"/>
      <c r="L40" s="205"/>
      <c r="M40" s="205"/>
      <c r="N40" s="205"/>
      <c r="O40" s="205"/>
      <c r="P40" s="205"/>
      <c r="Q40" s="205"/>
      <c r="R40" s="205"/>
      <c r="S40" s="205"/>
      <c r="T40" s="205"/>
      <c r="U40" s="205"/>
      <c r="V40" s="205"/>
      <c r="W40" s="205"/>
      <c r="X40" s="205"/>
      <c r="Y40" s="205"/>
      <c r="Z40" s="205"/>
      <c r="AA40" s="205"/>
      <c r="AB40" s="205"/>
      <c r="AC40" s="205"/>
      <c r="AD40" s="205"/>
      <c r="AE40" s="205"/>
    </row>
    <row r="41" spans="6:31" ht="18">
      <c r="F41" s="410" t="s">
        <v>444</v>
      </c>
      <c r="J41" s="205"/>
      <c r="K41" s="205"/>
      <c r="L41" s="205"/>
      <c r="M41" s="205"/>
      <c r="N41" s="205"/>
      <c r="O41" s="205"/>
      <c r="P41" s="205"/>
      <c r="Q41" s="205"/>
      <c r="R41" s="205"/>
      <c r="S41" s="205"/>
      <c r="T41" s="205"/>
      <c r="U41" s="205"/>
      <c r="V41" s="205"/>
      <c r="W41" s="205"/>
      <c r="X41" s="205"/>
      <c r="Y41" s="205"/>
      <c r="Z41" s="205"/>
      <c r="AA41" s="205"/>
      <c r="AB41" s="205"/>
      <c r="AC41" s="205"/>
      <c r="AD41" s="205"/>
      <c r="AE41" s="205"/>
    </row>
    <row r="42" spans="10:31" ht="12.75">
      <c r="J42" s="205"/>
      <c r="K42" s="205"/>
      <c r="L42" s="205"/>
      <c r="M42" s="205"/>
      <c r="N42" s="205"/>
      <c r="O42" s="205"/>
      <c r="P42" s="205"/>
      <c r="Q42" s="205"/>
      <c r="R42" s="205"/>
      <c r="S42" s="205"/>
      <c r="T42" s="205"/>
      <c r="U42" s="205"/>
      <c r="V42" s="205"/>
      <c r="W42" s="205"/>
      <c r="X42" s="205"/>
      <c r="Y42" s="205"/>
      <c r="Z42" s="205"/>
      <c r="AA42" s="205"/>
      <c r="AB42" s="205"/>
      <c r="AC42" s="205"/>
      <c r="AD42" s="205"/>
      <c r="AE42" s="205"/>
    </row>
    <row r="43" spans="10:31" ht="12.75">
      <c r="J43" s="205"/>
      <c r="K43" s="205"/>
      <c r="L43" s="205"/>
      <c r="M43" s="205"/>
      <c r="N43" s="205"/>
      <c r="O43" s="205"/>
      <c r="P43" s="205"/>
      <c r="Q43" s="205"/>
      <c r="R43" s="205"/>
      <c r="S43" s="205"/>
      <c r="T43" s="205"/>
      <c r="U43" s="205"/>
      <c r="V43" s="205"/>
      <c r="W43" s="205"/>
      <c r="X43" s="205"/>
      <c r="Y43" s="205"/>
      <c r="Z43" s="205"/>
      <c r="AA43" s="205"/>
      <c r="AB43" s="205"/>
      <c r="AC43" s="205"/>
      <c r="AD43" s="205"/>
      <c r="AE43" s="205"/>
    </row>
    <row r="44" spans="2:31" ht="12.75">
      <c r="B44" t="s">
        <v>429</v>
      </c>
      <c r="D44" s="411">
        <v>0.03</v>
      </c>
      <c r="J44" s="205"/>
      <c r="K44" s="205"/>
      <c r="L44" s="205"/>
      <c r="M44" s="205"/>
      <c r="N44" s="205"/>
      <c r="O44" s="205"/>
      <c r="P44" s="205"/>
      <c r="Q44" s="205"/>
      <c r="R44" s="205"/>
      <c r="S44" s="205"/>
      <c r="T44" s="205"/>
      <c r="U44" s="205"/>
      <c r="V44" s="205"/>
      <c r="W44" s="205"/>
      <c r="X44" s="205"/>
      <c r="Y44" s="205"/>
      <c r="Z44" s="205"/>
      <c r="AA44" s="205"/>
      <c r="AB44" s="205"/>
      <c r="AC44" s="205"/>
      <c r="AD44" s="205"/>
      <c r="AE44" s="205"/>
    </row>
    <row r="45" ht="12.75">
      <c r="D45" s="411"/>
    </row>
    <row r="46" spans="4:9" ht="12.75">
      <c r="D46" s="411"/>
      <c r="I46" s="2"/>
    </row>
    <row r="47" spans="3:9" ht="12.75">
      <c r="C47" s="8" t="s">
        <v>445</v>
      </c>
      <c r="I47" s="2"/>
    </row>
    <row r="48" ht="12.75">
      <c r="D48" s="411"/>
    </row>
    <row r="49" spans="3:8" ht="12.75">
      <c r="C49" s="122" t="s">
        <v>431</v>
      </c>
      <c r="D49" s="411"/>
      <c r="H49" s="122"/>
    </row>
    <row r="50" spans="3:8" ht="12.75">
      <c r="C50" s="122" t="s">
        <v>432</v>
      </c>
      <c r="D50" s="411"/>
      <c r="H50" s="122"/>
    </row>
    <row r="51" spans="3:10" ht="12.75">
      <c r="C51" s="412" t="s">
        <v>433</v>
      </c>
      <c r="D51" s="412" t="s">
        <v>434</v>
      </c>
      <c r="E51" s="412" t="s">
        <v>435</v>
      </c>
      <c r="H51" s="412"/>
      <c r="I51" s="412"/>
      <c r="J51" s="412"/>
    </row>
    <row r="52" spans="2:10" ht="12.75">
      <c r="B52">
        <v>1991</v>
      </c>
      <c r="C52" s="53">
        <v>19199</v>
      </c>
      <c r="D52" s="413">
        <f>Inputs!$Q$9</f>
        <v>1.266770081387616</v>
      </c>
      <c r="E52" s="53">
        <f aca="true" t="shared" si="5" ref="E52:E59">C52*D52</f>
        <v>24320.718792560838</v>
      </c>
      <c r="H52" s="53"/>
      <c r="I52" s="413"/>
      <c r="J52" s="53"/>
    </row>
    <row r="53" spans="2:10" ht="12.75">
      <c r="B53">
        <v>1992</v>
      </c>
      <c r="C53" s="53">
        <v>18133</v>
      </c>
      <c r="D53" s="413">
        <f>Inputs!$P$9</f>
        <v>1.22987386542487</v>
      </c>
      <c r="E53" s="53">
        <f t="shared" si="5"/>
        <v>22301.302801749167</v>
      </c>
      <c r="H53" s="170"/>
      <c r="I53" s="413"/>
      <c r="J53" s="53"/>
    </row>
    <row r="54" spans="2:10" ht="12.75">
      <c r="B54">
        <v>1993</v>
      </c>
      <c r="C54" s="53">
        <v>19173</v>
      </c>
      <c r="D54" s="413">
        <f>Inputs!$O$9</f>
        <v>1.194052296529</v>
      </c>
      <c r="E54" s="53">
        <f t="shared" si="5"/>
        <v>22893.564681350515</v>
      </c>
      <c r="H54" s="53"/>
      <c r="I54" s="413"/>
      <c r="J54" s="53"/>
    </row>
    <row r="55" spans="2:10" ht="12.75">
      <c r="B55">
        <v>1994</v>
      </c>
      <c r="C55" s="53">
        <v>19837</v>
      </c>
      <c r="D55" s="413">
        <f>Inputs!$N$9</f>
        <v>1.1592740742999998</v>
      </c>
      <c r="E55" s="53">
        <f t="shared" si="5"/>
        <v>22996.5198118891</v>
      </c>
      <c r="H55" s="53"/>
      <c r="I55" s="413"/>
      <c r="J55" s="53"/>
    </row>
    <row r="56" spans="2:10" ht="12.75">
      <c r="B56">
        <v>1995</v>
      </c>
      <c r="C56" s="53">
        <v>17202</v>
      </c>
      <c r="D56" s="413">
        <f>Inputs!$M$9</f>
        <v>1.12550881</v>
      </c>
      <c r="E56" s="53">
        <f t="shared" si="5"/>
        <v>19361.00254962</v>
      </c>
      <c r="H56" s="53"/>
      <c r="I56" s="413"/>
      <c r="J56" s="53"/>
    </row>
    <row r="57" spans="2:10" ht="12.75">
      <c r="B57">
        <v>1996</v>
      </c>
      <c r="C57" s="53">
        <v>11959</v>
      </c>
      <c r="D57" s="413">
        <f>Inputs!$L$9</f>
        <v>1.092727</v>
      </c>
      <c r="E57" s="53">
        <f t="shared" si="5"/>
        <v>13067.922193</v>
      </c>
      <c r="H57" s="53"/>
      <c r="I57" s="413"/>
      <c r="J57" s="53"/>
    </row>
    <row r="58" spans="2:10" ht="12.75">
      <c r="B58">
        <v>1997</v>
      </c>
      <c r="C58" s="53">
        <v>13453</v>
      </c>
      <c r="D58" s="413">
        <f>Inputs!$K$9</f>
        <v>1.0609</v>
      </c>
      <c r="E58" s="53">
        <f t="shared" si="5"/>
        <v>14272.287699999999</v>
      </c>
      <c r="H58" s="53"/>
      <c r="I58" s="413"/>
      <c r="J58" s="53"/>
    </row>
    <row r="59" spans="2:10" ht="12.75">
      <c r="B59">
        <v>1998</v>
      </c>
      <c r="C59" s="53">
        <v>16657</v>
      </c>
      <c r="D59" s="413">
        <f>Inputs!$J$9</f>
        <v>1.03</v>
      </c>
      <c r="E59" s="53">
        <f t="shared" si="5"/>
        <v>17156.71</v>
      </c>
      <c r="H59" s="53"/>
      <c r="I59" s="413"/>
      <c r="J59" s="53"/>
    </row>
    <row r="60" spans="5:10" ht="12.75">
      <c r="E60" s="53"/>
      <c r="J60" s="53"/>
    </row>
    <row r="61" spans="3:10" ht="12.75">
      <c r="C61" t="s">
        <v>436</v>
      </c>
      <c r="E61" s="53">
        <f>SUM(E52:E59)</f>
        <v>156370.0285301696</v>
      </c>
      <c r="J61" s="53"/>
    </row>
    <row r="62" spans="5:10" ht="12.75">
      <c r="E62" s="53"/>
      <c r="J62" s="53"/>
    </row>
    <row r="63" spans="3:10" ht="12.75">
      <c r="C63" t="s">
        <v>437</v>
      </c>
      <c r="E63" s="53">
        <f>E61/8</f>
        <v>19546.2535662712</v>
      </c>
      <c r="J63" s="53"/>
    </row>
    <row r="65" spans="3:10" ht="12.75">
      <c r="C65" t="s">
        <v>439</v>
      </c>
      <c r="E65" s="175">
        <f>E63*0.475</f>
        <v>9284.47044397882</v>
      </c>
      <c r="J65" s="175"/>
    </row>
    <row r="70" ht="12.75">
      <c r="D70" s="2" t="s">
        <v>446</v>
      </c>
    </row>
    <row r="71" ht="12.75">
      <c r="D71" s="2" t="s">
        <v>447</v>
      </c>
    </row>
    <row r="72" ht="12.75">
      <c r="F72" s="122" t="s">
        <v>259</v>
      </c>
    </row>
    <row r="73" spans="3:6" ht="12.75">
      <c r="C73" s="412" t="s">
        <v>448</v>
      </c>
      <c r="D73" s="412" t="s">
        <v>434</v>
      </c>
      <c r="E73" s="412" t="s">
        <v>449</v>
      </c>
      <c r="F73" s="412" t="s">
        <v>450</v>
      </c>
    </row>
    <row r="74" spans="2:6" ht="12.75">
      <c r="B74">
        <v>1999</v>
      </c>
      <c r="C74" s="53">
        <v>14461</v>
      </c>
      <c r="D74" s="132">
        <v>1</v>
      </c>
      <c r="E74" s="432">
        <f>C74*D74</f>
        <v>14461</v>
      </c>
      <c r="F74" s="175">
        <f>E74*0.475</f>
        <v>6868.974999999999</v>
      </c>
    </row>
    <row r="75" spans="2:6" ht="12.75">
      <c r="B75">
        <v>2000</v>
      </c>
      <c r="C75" s="53">
        <v>15150</v>
      </c>
      <c r="D75" s="411">
        <f>Inputs!J9</f>
        <v>1.03</v>
      </c>
      <c r="E75" s="432">
        <f>C75*D75</f>
        <v>15604.5</v>
      </c>
      <c r="F75" s="175">
        <f>E75*0.475</f>
        <v>7412.1375</v>
      </c>
    </row>
    <row r="76" spans="2:6" ht="12.75">
      <c r="B76">
        <v>2001</v>
      </c>
      <c r="C76" s="53">
        <v>20783</v>
      </c>
      <c r="D76" s="411">
        <f>Inputs!K9</f>
        <v>1.0609</v>
      </c>
      <c r="E76" s="432">
        <f>C76*D76</f>
        <v>22048.684699999998</v>
      </c>
      <c r="F76" s="175">
        <f>E76*0.475</f>
        <v>10473.125232499999</v>
      </c>
    </row>
    <row r="77" spans="2:6" ht="12.75">
      <c r="B77">
        <v>2002</v>
      </c>
      <c r="C77" s="53">
        <v>20229</v>
      </c>
      <c r="D77" s="411">
        <f>Inputs!L9</f>
        <v>1.092727</v>
      </c>
      <c r="E77" s="432">
        <f>C77*D77</f>
        <v>22104.774483</v>
      </c>
      <c r="F77" s="175">
        <f>E77*0.475</f>
        <v>10499.767879425</v>
      </c>
    </row>
    <row r="78" spans="2:6" ht="12.75">
      <c r="B78">
        <v>2003</v>
      </c>
      <c r="C78" s="53">
        <v>14696</v>
      </c>
      <c r="D78" s="411">
        <f>Inputs!M9</f>
        <v>1.12550881</v>
      </c>
      <c r="E78" s="432">
        <f>C78*D78</f>
        <v>16540.477471759998</v>
      </c>
      <c r="F78" s="175">
        <f>E78*0.475</f>
        <v>7856.726799085998</v>
      </c>
    </row>
    <row r="80" spans="2:5" ht="12.75">
      <c r="B80" t="s">
        <v>887</v>
      </c>
      <c r="E80" s="53">
        <f>(E65*Inputs!N9)/0.475</f>
        <v>22659.46500907212</v>
      </c>
    </row>
  </sheetData>
  <printOptions/>
  <pageMargins left="0.75" right="0.75" top="1" bottom="1" header="0.5" footer="0.5"/>
  <pageSetup horizontalDpi="600" verticalDpi="600" orientation="landscape" scale="70" r:id="rId3"/>
  <headerFooter alignWithMargins="0">
    <oddHeader>&amp;C&amp;A</oddHeader>
  </headerFooter>
  <legacyDrawing r:id="rId2"/>
</worksheet>
</file>

<file path=xl/worksheets/sheet12.xml><?xml version="1.0" encoding="utf-8"?>
<worksheet xmlns="http://schemas.openxmlformats.org/spreadsheetml/2006/main" xmlns:r="http://schemas.openxmlformats.org/officeDocument/2006/relationships">
  <dimension ref="A4:AC150"/>
  <sheetViews>
    <sheetView workbookViewId="0" topLeftCell="A1">
      <selection activeCell="A1" sqref="A1"/>
    </sheetView>
  </sheetViews>
  <sheetFormatPr defaultColWidth="9.140625" defaultRowHeight="12.75"/>
  <cols>
    <col min="1" max="1" width="33.421875" style="0" customWidth="1"/>
    <col min="2" max="2" width="15.57421875" style="0" customWidth="1"/>
    <col min="4" max="7" width="13.8515625" style="0" bestFit="1" customWidth="1"/>
    <col min="8" max="8" width="14.421875" style="0" bestFit="1" customWidth="1"/>
    <col min="9" max="11" width="12.8515625" style="0" bestFit="1" customWidth="1"/>
    <col min="12" max="12" width="9.28125" style="0" bestFit="1" customWidth="1"/>
    <col min="13" max="13" width="14.28125" style="0" customWidth="1"/>
  </cols>
  <sheetData>
    <row r="3" ht="13.5" thickBot="1"/>
    <row r="4" spans="1:10" ht="15.75">
      <c r="A4" s="370" t="s">
        <v>373</v>
      </c>
      <c r="B4" s="371"/>
      <c r="C4" s="372"/>
      <c r="D4" s="373"/>
      <c r="E4" s="373"/>
      <c r="F4" s="373"/>
      <c r="G4" s="373"/>
      <c r="H4" s="373"/>
      <c r="I4" s="373"/>
      <c r="J4" s="374"/>
    </row>
    <row r="5" spans="1:10" ht="15.75">
      <c r="A5" s="375" t="s">
        <v>374</v>
      </c>
      <c r="B5" s="376"/>
      <c r="C5" s="377" t="s">
        <v>375</v>
      </c>
      <c r="D5" s="378"/>
      <c r="E5" s="378"/>
      <c r="F5" s="378"/>
      <c r="G5" s="378"/>
      <c r="H5" s="378"/>
      <c r="I5" s="378"/>
      <c r="J5" s="379"/>
    </row>
    <row r="6" spans="1:10" ht="16.5" thickBot="1">
      <c r="A6" s="375" t="s">
        <v>376</v>
      </c>
      <c r="B6" s="380"/>
      <c r="C6" s="381"/>
      <c r="D6" s="382"/>
      <c r="E6" s="382"/>
      <c r="F6" s="382"/>
      <c r="G6" s="382"/>
      <c r="H6" s="382"/>
      <c r="I6" s="382"/>
      <c r="J6" s="383"/>
    </row>
    <row r="7" spans="1:10" ht="15.75">
      <c r="A7" s="384" t="s">
        <v>377</v>
      </c>
      <c r="B7" s="385" t="s">
        <v>378</v>
      </c>
      <c r="C7" s="386" t="s">
        <v>379</v>
      </c>
      <c r="D7" s="386"/>
      <c r="E7" s="386"/>
      <c r="F7" s="386"/>
      <c r="G7" s="386"/>
      <c r="H7" s="386"/>
      <c r="I7" s="386" t="s">
        <v>380</v>
      </c>
      <c r="J7" s="386" t="s">
        <v>3</v>
      </c>
    </row>
    <row r="8" spans="1:10" ht="16.5" thickBot="1">
      <c r="A8" s="387" t="s">
        <v>381</v>
      </c>
      <c r="B8" s="388" t="s">
        <v>382</v>
      </c>
      <c r="C8" s="389" t="s">
        <v>383</v>
      </c>
      <c r="D8" s="389">
        <v>1999</v>
      </c>
      <c r="E8" s="389">
        <v>2000</v>
      </c>
      <c r="F8" s="389">
        <v>2001</v>
      </c>
      <c r="G8" s="389">
        <v>2002</v>
      </c>
      <c r="H8" s="389">
        <v>2003</v>
      </c>
      <c r="I8" s="389" t="s">
        <v>383</v>
      </c>
      <c r="J8" s="389" t="s">
        <v>384</v>
      </c>
    </row>
    <row r="9" spans="1:10" ht="13.5" thickTop="1">
      <c r="A9" s="390" t="s">
        <v>385</v>
      </c>
      <c r="B9" s="391"/>
      <c r="C9" s="392"/>
      <c r="D9" s="392">
        <v>650</v>
      </c>
      <c r="E9" s="392"/>
      <c r="F9" s="392"/>
      <c r="G9" s="392"/>
      <c r="H9" s="392"/>
      <c r="I9" s="392"/>
      <c r="J9" s="393">
        <v>650</v>
      </c>
    </row>
    <row r="10" spans="1:10" ht="12.75">
      <c r="A10" s="394" t="s">
        <v>386</v>
      </c>
      <c r="B10" s="395"/>
      <c r="C10" s="396"/>
      <c r="D10" s="396">
        <v>810</v>
      </c>
      <c r="E10" s="396"/>
      <c r="F10" s="396"/>
      <c r="G10" s="396"/>
      <c r="H10" s="396"/>
      <c r="I10" s="396"/>
      <c r="J10" s="397">
        <v>810</v>
      </c>
    </row>
    <row r="11" spans="1:10" ht="12.75">
      <c r="A11" s="394" t="s">
        <v>387</v>
      </c>
      <c r="B11" s="395"/>
      <c r="C11" s="396"/>
      <c r="D11" s="396">
        <v>144</v>
      </c>
      <c r="E11" s="396"/>
      <c r="F11" s="396"/>
      <c r="G11" s="396"/>
      <c r="H11" s="396"/>
      <c r="I11" s="396"/>
      <c r="J11" s="397">
        <v>144</v>
      </c>
    </row>
    <row r="12" spans="1:10" ht="12.75">
      <c r="A12" s="394" t="s">
        <v>388</v>
      </c>
      <c r="B12" s="395"/>
      <c r="C12" s="396"/>
      <c r="D12" s="398">
        <v>1157</v>
      </c>
      <c r="E12" s="396"/>
      <c r="F12" s="396"/>
      <c r="G12" s="396"/>
      <c r="H12" s="396"/>
      <c r="I12" s="396"/>
      <c r="J12" s="397">
        <v>1157</v>
      </c>
    </row>
    <row r="13" spans="1:10" ht="12.75">
      <c r="A13" s="394" t="s">
        <v>389</v>
      </c>
      <c r="B13" s="395"/>
      <c r="C13" s="396"/>
      <c r="D13" s="396">
        <v>979</v>
      </c>
      <c r="E13" s="396"/>
      <c r="F13" s="396"/>
      <c r="G13" s="396"/>
      <c r="H13" s="396"/>
      <c r="I13" s="396"/>
      <c r="J13" s="397">
        <v>979</v>
      </c>
    </row>
    <row r="14" spans="1:10" ht="12.75">
      <c r="A14" s="394" t="s">
        <v>390</v>
      </c>
      <c r="B14" s="395"/>
      <c r="C14" s="396"/>
      <c r="D14" s="398">
        <v>0</v>
      </c>
      <c r="E14" s="396"/>
      <c r="F14" s="396"/>
      <c r="G14" s="396"/>
      <c r="H14" s="396"/>
      <c r="I14" s="396"/>
      <c r="J14" s="397">
        <v>0</v>
      </c>
    </row>
    <row r="15" spans="1:10" ht="12.75">
      <c r="A15" s="394" t="s">
        <v>391</v>
      </c>
      <c r="B15" s="395"/>
      <c r="C15" s="396"/>
      <c r="D15" s="396">
        <v>102</v>
      </c>
      <c r="E15" s="396"/>
      <c r="F15" s="396"/>
      <c r="G15" s="396"/>
      <c r="H15" s="396"/>
      <c r="I15" s="396"/>
      <c r="J15" s="397">
        <v>102</v>
      </c>
    </row>
    <row r="16" spans="1:10" ht="12.75">
      <c r="A16" s="394" t="s">
        <v>392</v>
      </c>
      <c r="B16" s="395"/>
      <c r="C16" s="396"/>
      <c r="D16" s="396"/>
      <c r="E16" s="396">
        <v>725</v>
      </c>
      <c r="F16" s="396"/>
      <c r="G16" s="396"/>
      <c r="H16" s="396"/>
      <c r="I16" s="396"/>
      <c r="J16" s="397">
        <v>725</v>
      </c>
    </row>
    <row r="17" spans="1:10" ht="12.75">
      <c r="A17" s="394" t="s">
        <v>393</v>
      </c>
      <c r="B17" s="395"/>
      <c r="C17" s="396"/>
      <c r="D17" s="396"/>
      <c r="E17" s="396">
        <v>100</v>
      </c>
      <c r="F17" s="396"/>
      <c r="G17" s="396"/>
      <c r="H17" s="396"/>
      <c r="I17" s="396"/>
      <c r="J17" s="397">
        <v>100</v>
      </c>
    </row>
    <row r="18" spans="1:10" ht="12.75">
      <c r="A18" s="394" t="s">
        <v>394</v>
      </c>
      <c r="B18" s="395"/>
      <c r="C18" s="396"/>
      <c r="D18" s="396"/>
      <c r="E18" s="396">
        <v>105</v>
      </c>
      <c r="F18" s="396"/>
      <c r="G18" s="396"/>
      <c r="H18" s="396"/>
      <c r="I18" s="396"/>
      <c r="J18" s="397">
        <v>105</v>
      </c>
    </row>
    <row r="19" spans="1:10" ht="12.75">
      <c r="A19" s="394" t="s">
        <v>395</v>
      </c>
      <c r="B19" s="395" t="s">
        <v>396</v>
      </c>
      <c r="C19" s="396">
        <v>60</v>
      </c>
      <c r="D19" s="396"/>
      <c r="E19" s="396"/>
      <c r="F19" s="396">
        <v>833</v>
      </c>
      <c r="G19" s="396"/>
      <c r="H19" s="396"/>
      <c r="I19" s="396"/>
      <c r="J19" s="397">
        <v>893</v>
      </c>
    </row>
    <row r="20" spans="1:10" ht="12.75">
      <c r="A20" s="394" t="s">
        <v>397</v>
      </c>
      <c r="B20" s="395" t="s">
        <v>396</v>
      </c>
      <c r="C20" s="396"/>
      <c r="D20" s="396"/>
      <c r="E20" s="396"/>
      <c r="F20" s="396">
        <v>600</v>
      </c>
      <c r="G20" s="396"/>
      <c r="H20" s="396"/>
      <c r="I20" s="396"/>
      <c r="J20" s="397">
        <v>600</v>
      </c>
    </row>
    <row r="21" spans="1:10" ht="12.75">
      <c r="A21" s="394" t="s">
        <v>398</v>
      </c>
      <c r="B21" s="395"/>
      <c r="C21" s="396"/>
      <c r="D21" s="396"/>
      <c r="E21" s="396"/>
      <c r="F21" s="396">
        <v>340</v>
      </c>
      <c r="G21" s="396"/>
      <c r="H21" s="396"/>
      <c r="I21" s="396"/>
      <c r="J21" s="397">
        <v>340</v>
      </c>
    </row>
    <row r="22" spans="1:10" ht="12.75">
      <c r="A22" s="394" t="s">
        <v>399</v>
      </c>
      <c r="B22" s="395"/>
      <c r="C22" s="396"/>
      <c r="D22" s="396"/>
      <c r="E22" s="396"/>
      <c r="F22" s="396">
        <v>250</v>
      </c>
      <c r="G22" s="396"/>
      <c r="H22" s="396"/>
      <c r="I22" s="396"/>
      <c r="J22" s="397">
        <v>250</v>
      </c>
    </row>
    <row r="23" spans="1:10" ht="12.75">
      <c r="A23" s="394" t="s">
        <v>400</v>
      </c>
      <c r="B23" s="395" t="s">
        <v>396</v>
      </c>
      <c r="C23" s="396">
        <v>8</v>
      </c>
      <c r="D23" s="396"/>
      <c r="E23" s="396"/>
      <c r="F23" s="396">
        <v>169</v>
      </c>
      <c r="G23" s="396"/>
      <c r="H23" s="396"/>
      <c r="I23" s="396"/>
      <c r="J23" s="397">
        <v>177</v>
      </c>
    </row>
    <row r="24" spans="1:10" ht="12.75">
      <c r="A24" s="394" t="s">
        <v>401</v>
      </c>
      <c r="B24" s="395" t="s">
        <v>396</v>
      </c>
      <c r="C24" s="396">
        <v>163</v>
      </c>
      <c r="D24" s="396"/>
      <c r="E24" s="396"/>
      <c r="F24" s="396">
        <v>79</v>
      </c>
      <c r="G24" s="396"/>
      <c r="H24" s="396"/>
      <c r="I24" s="396"/>
      <c r="J24" s="397">
        <v>242</v>
      </c>
    </row>
    <row r="25" spans="1:10" ht="12.75">
      <c r="A25" s="394" t="s">
        <v>402</v>
      </c>
      <c r="B25" s="395" t="s">
        <v>396</v>
      </c>
      <c r="C25" s="396"/>
      <c r="D25" s="396"/>
      <c r="E25" s="396"/>
      <c r="F25" s="396">
        <v>750</v>
      </c>
      <c r="G25" s="396"/>
      <c r="H25" s="396"/>
      <c r="I25" s="396"/>
      <c r="J25" s="397">
        <v>750</v>
      </c>
    </row>
    <row r="26" spans="1:10" ht="12.75">
      <c r="A26" s="394" t="s">
        <v>403</v>
      </c>
      <c r="B26" s="395"/>
      <c r="C26" s="396"/>
      <c r="D26" s="396"/>
      <c r="E26" s="396"/>
      <c r="F26" s="396">
        <v>400</v>
      </c>
      <c r="G26" s="396"/>
      <c r="H26" s="396"/>
      <c r="I26" s="396"/>
      <c r="J26" s="397">
        <v>400</v>
      </c>
    </row>
    <row r="27" spans="1:10" ht="12.75">
      <c r="A27" s="394" t="s">
        <v>404</v>
      </c>
      <c r="B27" s="395"/>
      <c r="C27" s="396"/>
      <c r="D27" s="396"/>
      <c r="E27" s="396"/>
      <c r="F27" s="396">
        <v>900</v>
      </c>
      <c r="G27" s="396"/>
      <c r="H27" s="396"/>
      <c r="I27" s="396"/>
      <c r="J27" s="397">
        <v>900</v>
      </c>
    </row>
    <row r="28" spans="1:10" ht="12.75">
      <c r="A28" s="394" t="s">
        <v>405</v>
      </c>
      <c r="B28" s="395" t="s">
        <v>396</v>
      </c>
      <c r="C28" s="396"/>
      <c r="D28" s="396"/>
      <c r="E28" s="396"/>
      <c r="F28" s="396">
        <v>5956.355469</v>
      </c>
      <c r="G28" s="396"/>
      <c r="H28" s="396"/>
      <c r="I28" s="396"/>
      <c r="J28" s="397">
        <v>5956.355469</v>
      </c>
    </row>
    <row r="29" spans="1:10" ht="12.75">
      <c r="A29" s="394" t="s">
        <v>406</v>
      </c>
      <c r="B29" s="395" t="s">
        <v>396</v>
      </c>
      <c r="C29" s="396">
        <v>1812</v>
      </c>
      <c r="D29" s="396"/>
      <c r="E29" s="396"/>
      <c r="F29" s="396"/>
      <c r="G29" s="396"/>
      <c r="H29" s="396"/>
      <c r="I29" s="396"/>
      <c r="J29" s="397">
        <v>1812</v>
      </c>
    </row>
    <row r="30" spans="1:10" ht="12.75">
      <c r="A30" s="394" t="s">
        <v>407</v>
      </c>
      <c r="B30" s="395" t="s">
        <v>396</v>
      </c>
      <c r="C30" s="396"/>
      <c r="D30" s="396"/>
      <c r="E30" s="396"/>
      <c r="F30" s="396">
        <v>827</v>
      </c>
      <c r="G30" s="396"/>
      <c r="H30" s="396"/>
      <c r="I30" s="396"/>
      <c r="J30" s="397">
        <v>827</v>
      </c>
    </row>
    <row r="31" spans="1:10" ht="12.75">
      <c r="A31" s="394" t="s">
        <v>408</v>
      </c>
      <c r="B31" s="395" t="s">
        <v>396</v>
      </c>
      <c r="C31" s="396"/>
      <c r="D31" s="396"/>
      <c r="E31" s="396"/>
      <c r="F31" s="396">
        <v>1495.2</v>
      </c>
      <c r="G31" s="396"/>
      <c r="H31" s="396"/>
      <c r="I31" s="396"/>
      <c r="J31" s="397">
        <v>1495.2</v>
      </c>
    </row>
    <row r="32" spans="1:10" ht="12.75">
      <c r="A32" s="394" t="s">
        <v>409</v>
      </c>
      <c r="B32" s="395" t="s">
        <v>396</v>
      </c>
      <c r="C32" s="396"/>
      <c r="D32" s="396"/>
      <c r="E32" s="396"/>
      <c r="F32" s="396">
        <v>168</v>
      </c>
      <c r="G32" s="396"/>
      <c r="H32" s="396"/>
      <c r="I32" s="396"/>
      <c r="J32" s="397">
        <v>168</v>
      </c>
    </row>
    <row r="33" spans="1:10" ht="12.75">
      <c r="A33" s="394" t="s">
        <v>410</v>
      </c>
      <c r="B33" s="395" t="s">
        <v>396</v>
      </c>
      <c r="C33" s="396"/>
      <c r="D33" s="396"/>
      <c r="E33" s="396"/>
      <c r="F33" s="396">
        <v>115</v>
      </c>
      <c r="G33" s="396"/>
      <c r="H33" s="396"/>
      <c r="I33" s="396"/>
      <c r="J33" s="397">
        <v>115</v>
      </c>
    </row>
    <row r="34" spans="1:10" ht="12.75">
      <c r="A34" s="394" t="s">
        <v>411</v>
      </c>
      <c r="B34" s="395" t="s">
        <v>396</v>
      </c>
      <c r="C34" s="396"/>
      <c r="D34" s="396"/>
      <c r="E34" s="396"/>
      <c r="F34" s="396"/>
      <c r="G34" s="396">
        <v>750</v>
      </c>
      <c r="H34" s="396"/>
      <c r="I34" s="396"/>
      <c r="J34" s="397">
        <v>750</v>
      </c>
    </row>
    <row r="35" spans="1:10" ht="12.75">
      <c r="A35" s="394" t="s">
        <v>412</v>
      </c>
      <c r="B35" s="395" t="s">
        <v>396</v>
      </c>
      <c r="C35" s="396"/>
      <c r="D35" s="396"/>
      <c r="E35" s="396"/>
      <c r="F35" s="396"/>
      <c r="G35" s="396">
        <v>600</v>
      </c>
      <c r="H35" s="396"/>
      <c r="I35" s="396"/>
      <c r="J35" s="397">
        <v>600</v>
      </c>
    </row>
    <row r="36" spans="1:10" ht="12.75">
      <c r="A36" s="394" t="s">
        <v>413</v>
      </c>
      <c r="B36" s="395" t="s">
        <v>396</v>
      </c>
      <c r="C36" s="396">
        <v>8</v>
      </c>
      <c r="D36" s="396"/>
      <c r="E36" s="396"/>
      <c r="F36" s="396"/>
      <c r="G36" s="396">
        <v>169</v>
      </c>
      <c r="H36" s="396"/>
      <c r="I36" s="396"/>
      <c r="J36" s="397">
        <v>177</v>
      </c>
    </row>
    <row r="37" spans="1:10" ht="12.75">
      <c r="A37" s="394" t="s">
        <v>414</v>
      </c>
      <c r="B37" s="395" t="s">
        <v>396</v>
      </c>
      <c r="C37" s="396">
        <v>13</v>
      </c>
      <c r="D37" s="396"/>
      <c r="E37" s="396"/>
      <c r="F37" s="396">
        <v>4414</v>
      </c>
      <c r="G37" s="396">
        <v>6783</v>
      </c>
      <c r="H37" s="396"/>
      <c r="I37" s="396"/>
      <c r="J37" s="397">
        <v>11210</v>
      </c>
    </row>
    <row r="38" spans="1:10" ht="12.75">
      <c r="A38" s="394" t="s">
        <v>415</v>
      </c>
      <c r="B38" s="395"/>
      <c r="C38" s="396"/>
      <c r="D38" s="396"/>
      <c r="E38" s="396"/>
      <c r="F38" s="396"/>
      <c r="G38" s="396">
        <v>900</v>
      </c>
      <c r="H38" s="396"/>
      <c r="I38" s="396"/>
      <c r="J38" s="397">
        <v>900</v>
      </c>
    </row>
    <row r="39" spans="1:10" ht="12.75">
      <c r="A39" s="394" t="s">
        <v>416</v>
      </c>
      <c r="B39" s="395" t="s">
        <v>396</v>
      </c>
      <c r="C39" s="396"/>
      <c r="D39" s="396"/>
      <c r="E39" s="396"/>
      <c r="F39" s="396"/>
      <c r="G39" s="396">
        <v>168</v>
      </c>
      <c r="H39" s="396"/>
      <c r="I39" s="396"/>
      <c r="J39" s="397">
        <v>168</v>
      </c>
    </row>
    <row r="40" spans="1:10" ht="12.75">
      <c r="A40" s="394" t="s">
        <v>417</v>
      </c>
      <c r="B40" s="395"/>
      <c r="C40" s="396"/>
      <c r="D40" s="396"/>
      <c r="E40" s="396"/>
      <c r="F40" s="396"/>
      <c r="G40" s="396">
        <v>120</v>
      </c>
      <c r="H40" s="396"/>
      <c r="I40" s="396"/>
      <c r="J40" s="397">
        <v>120</v>
      </c>
    </row>
    <row r="41" spans="1:10" ht="12.75">
      <c r="A41" s="394" t="s">
        <v>418</v>
      </c>
      <c r="B41" s="395"/>
      <c r="C41" s="396"/>
      <c r="D41" s="396"/>
      <c r="E41" s="396"/>
      <c r="F41" s="396"/>
      <c r="G41" s="396">
        <v>115</v>
      </c>
      <c r="H41" s="396"/>
      <c r="I41" s="396"/>
      <c r="J41" s="397">
        <v>115</v>
      </c>
    </row>
    <row r="42" spans="1:10" ht="12.75">
      <c r="A42" s="394" t="s">
        <v>419</v>
      </c>
      <c r="B42" s="395"/>
      <c r="C42" s="396"/>
      <c r="D42" s="396"/>
      <c r="E42" s="396"/>
      <c r="F42" s="396"/>
      <c r="G42" s="396"/>
      <c r="H42" s="396">
        <v>922</v>
      </c>
      <c r="I42" s="396"/>
      <c r="J42" s="397">
        <v>922</v>
      </c>
    </row>
    <row r="43" spans="1:10" ht="12.75">
      <c r="A43" s="394" t="s">
        <v>420</v>
      </c>
      <c r="B43" s="395"/>
      <c r="C43" s="396"/>
      <c r="D43" s="396"/>
      <c r="E43" s="396"/>
      <c r="F43" s="396"/>
      <c r="G43" s="396"/>
      <c r="H43" s="396">
        <v>800</v>
      </c>
      <c r="I43" s="396"/>
      <c r="J43" s="397">
        <v>800</v>
      </c>
    </row>
    <row r="44" spans="1:10" ht="12.75">
      <c r="A44" s="394" t="s">
        <v>421</v>
      </c>
      <c r="B44" s="395"/>
      <c r="C44" s="396"/>
      <c r="D44" s="396"/>
      <c r="E44" s="396"/>
      <c r="F44" s="396"/>
      <c r="G44" s="396"/>
      <c r="H44" s="396">
        <v>1900</v>
      </c>
      <c r="I44" s="396"/>
      <c r="J44" s="397">
        <v>1900</v>
      </c>
    </row>
    <row r="45" spans="1:10" ht="13.5" thickBot="1">
      <c r="A45" s="561" t="s">
        <v>625</v>
      </c>
      <c r="B45" s="562"/>
      <c r="C45" s="563"/>
      <c r="D45" s="563">
        <v>2816.265</v>
      </c>
      <c r="E45" s="563"/>
      <c r="F45" s="563"/>
      <c r="G45" s="563"/>
      <c r="H45" s="563"/>
      <c r="I45" s="563"/>
      <c r="J45" s="564"/>
    </row>
    <row r="46" spans="1:10" ht="13.5" thickBot="1">
      <c r="A46" s="399" t="s">
        <v>422</v>
      </c>
      <c r="B46" s="400"/>
      <c r="C46" s="401">
        <v>2064</v>
      </c>
      <c r="D46" s="401">
        <v>3842</v>
      </c>
      <c r="E46" s="401">
        <v>930</v>
      </c>
      <c r="F46" s="401">
        <v>17296.555469</v>
      </c>
      <c r="G46" s="401">
        <v>9605</v>
      </c>
      <c r="H46" s="401">
        <v>3622</v>
      </c>
      <c r="I46" s="401">
        <v>0</v>
      </c>
      <c r="J46" s="402">
        <v>37359.555469</v>
      </c>
    </row>
    <row r="47" spans="1:10" ht="13.5" thickBot="1">
      <c r="A47" s="399" t="s">
        <v>423</v>
      </c>
      <c r="B47" s="403"/>
      <c r="C47" s="401">
        <v>0</v>
      </c>
      <c r="D47" s="401">
        <v>865</v>
      </c>
      <c r="E47" s="401">
        <v>800</v>
      </c>
      <c r="F47" s="401">
        <v>800</v>
      </c>
      <c r="G47" s="401">
        <v>800</v>
      </c>
      <c r="H47" s="401">
        <v>800</v>
      </c>
      <c r="I47" s="401">
        <v>0</v>
      </c>
      <c r="J47" s="402">
        <v>4065</v>
      </c>
    </row>
    <row r="48" spans="1:10" ht="13.5" thickBot="1">
      <c r="A48" s="404" t="s">
        <v>424</v>
      </c>
      <c r="B48" s="405"/>
      <c r="C48" s="406">
        <v>2064</v>
      </c>
      <c r="D48" s="406">
        <f>4707+D45</f>
        <v>7523.264999999999</v>
      </c>
      <c r="E48" s="406">
        <v>1730</v>
      </c>
      <c r="F48" s="406">
        <v>18096.555469</v>
      </c>
      <c r="G48" s="406">
        <v>10405</v>
      </c>
      <c r="H48" s="406">
        <v>4422</v>
      </c>
      <c r="I48" s="406">
        <v>0</v>
      </c>
      <c r="J48" s="402">
        <v>41424.555469</v>
      </c>
    </row>
    <row r="50" spans="1:9" ht="12.75">
      <c r="A50" s="11" t="s">
        <v>425</v>
      </c>
      <c r="B50" s="132">
        <v>0.03</v>
      </c>
      <c r="D50" s="407">
        <v>1</v>
      </c>
      <c r="E50" s="407">
        <f>D50*(1+$B$50)</f>
        <v>1.03</v>
      </c>
      <c r="F50" s="407">
        <f>E50*(1+$B$50)</f>
        <v>1.0609</v>
      </c>
      <c r="G50" s="407">
        <f>F50*(1+$B$50)</f>
        <v>1.092727</v>
      </c>
      <c r="H50" s="407">
        <f>G50*(1+$B$50)</f>
        <v>1.1255088100000001</v>
      </c>
      <c r="I50" s="407"/>
    </row>
    <row r="52" spans="1:9" ht="12.75">
      <c r="A52" s="8" t="s">
        <v>426</v>
      </c>
      <c r="D52" s="408">
        <f>D48*D50</f>
        <v>7523.264999999999</v>
      </c>
      <c r="E52" s="408">
        <f>E48*E50</f>
        <v>1781.9</v>
      </c>
      <c r="F52" s="408">
        <f>F48*F50</f>
        <v>19198.6356970621</v>
      </c>
      <c r="G52" s="408">
        <f>G48*G50</f>
        <v>11369.824435</v>
      </c>
      <c r="H52" s="408">
        <f>H48*H50</f>
        <v>4976.99995782</v>
      </c>
      <c r="I52" s="408"/>
    </row>
    <row r="54" spans="1:9" ht="12.75">
      <c r="A54" s="8" t="s">
        <v>427</v>
      </c>
      <c r="C54" s="408"/>
      <c r="D54" s="408">
        <f>D52*0.475</f>
        <v>3573.5508749999995</v>
      </c>
      <c r="E54" s="408">
        <f>E52*0.475</f>
        <v>846.4025</v>
      </c>
      <c r="F54" s="408">
        <f>F52*0.475</f>
        <v>9119.351956104496</v>
      </c>
      <c r="G54" s="408">
        <f>G52*0.475</f>
        <v>5400.666606625</v>
      </c>
      <c r="H54" s="408">
        <f>H52*0.475</f>
        <v>2364.0749799645</v>
      </c>
      <c r="I54" s="408"/>
    </row>
    <row r="55" ht="12.75">
      <c r="D55" s="443"/>
    </row>
    <row r="56" spans="1:6" ht="12.75">
      <c r="A56" s="771"/>
      <c r="B56" s="771"/>
      <c r="C56" s="771"/>
      <c r="D56" s="772"/>
      <c r="E56" s="771"/>
      <c r="F56" s="771"/>
    </row>
    <row r="58" ht="18">
      <c r="D58" s="410" t="s">
        <v>428</v>
      </c>
    </row>
    <row r="62" spans="2:4" ht="12.75">
      <c r="B62" t="s">
        <v>429</v>
      </c>
      <c r="D62" s="411">
        <v>0.03</v>
      </c>
    </row>
    <row r="63" ht="12.75">
      <c r="D63" s="411"/>
    </row>
    <row r="64" ht="12.75">
      <c r="D64" s="411"/>
    </row>
    <row r="65" spans="3:4" ht="12.75">
      <c r="C65" s="8" t="s">
        <v>430</v>
      </c>
      <c r="D65" s="411"/>
    </row>
    <row r="66" ht="12.75">
      <c r="D66" s="411"/>
    </row>
    <row r="67" spans="3:4" ht="12.75">
      <c r="C67" s="122" t="s">
        <v>431</v>
      </c>
      <c r="D67" s="411"/>
    </row>
    <row r="68" spans="3:4" ht="12.75">
      <c r="C68" s="122" t="s">
        <v>432</v>
      </c>
      <c r="D68" s="411"/>
    </row>
    <row r="69" spans="3:5" ht="12.75">
      <c r="C69" s="412" t="s">
        <v>433</v>
      </c>
      <c r="D69" s="120" t="s">
        <v>434</v>
      </c>
      <c r="E69" s="120" t="s">
        <v>435</v>
      </c>
    </row>
    <row r="70" spans="2:5" ht="12.75">
      <c r="B70">
        <v>1991</v>
      </c>
      <c r="C70" s="53">
        <v>5540</v>
      </c>
      <c r="D70" s="413">
        <f>Inputs!$Q$9</f>
        <v>1.266770081387616</v>
      </c>
      <c r="E70" s="53">
        <f aca="true" t="shared" si="0" ref="E70:E77">C70*D70</f>
        <v>7017.906250887392</v>
      </c>
    </row>
    <row r="71" spans="2:5" ht="12.75">
      <c r="B71">
        <v>1992</v>
      </c>
      <c r="C71" s="53">
        <v>4543</v>
      </c>
      <c r="D71" s="413">
        <f>Inputs!$P$9</f>
        <v>1.22987386542487</v>
      </c>
      <c r="E71" s="53">
        <f t="shared" si="0"/>
        <v>5587.316970625185</v>
      </c>
    </row>
    <row r="72" spans="2:5" ht="12.75">
      <c r="B72">
        <v>1993</v>
      </c>
      <c r="C72" s="53">
        <v>7226</v>
      </c>
      <c r="D72" s="413">
        <f>Inputs!$O$9</f>
        <v>1.194052296529</v>
      </c>
      <c r="E72" s="53">
        <f t="shared" si="0"/>
        <v>8628.221894718554</v>
      </c>
    </row>
    <row r="73" spans="2:5" ht="12.75">
      <c r="B73">
        <v>1994</v>
      </c>
      <c r="C73" s="53">
        <v>359</v>
      </c>
      <c r="D73" s="413">
        <f>Inputs!$N$9</f>
        <v>1.1592740742999998</v>
      </c>
      <c r="E73" s="53">
        <f t="shared" si="0"/>
        <v>416.17939267369997</v>
      </c>
    </row>
    <row r="74" spans="2:5" ht="12.75">
      <c r="B74">
        <v>1995</v>
      </c>
      <c r="C74" s="53">
        <v>1644</v>
      </c>
      <c r="D74" s="413">
        <f>Inputs!$M$9</f>
        <v>1.12550881</v>
      </c>
      <c r="E74" s="53">
        <f t="shared" si="0"/>
        <v>1850.3364836399999</v>
      </c>
    </row>
    <row r="75" spans="2:5" ht="12.75">
      <c r="B75">
        <v>1996</v>
      </c>
      <c r="C75" s="53">
        <v>1039</v>
      </c>
      <c r="D75" s="413">
        <f>Inputs!$L$9</f>
        <v>1.092727</v>
      </c>
      <c r="E75" s="53">
        <f t="shared" si="0"/>
        <v>1135.343353</v>
      </c>
    </row>
    <row r="76" spans="2:5" ht="12.75">
      <c r="B76">
        <v>1997</v>
      </c>
      <c r="C76" s="53">
        <v>500</v>
      </c>
      <c r="D76" s="413">
        <f>Inputs!$K$9</f>
        <v>1.0609</v>
      </c>
      <c r="E76" s="53">
        <f t="shared" si="0"/>
        <v>530.4499999999999</v>
      </c>
    </row>
    <row r="77" spans="2:5" ht="12.75">
      <c r="B77">
        <v>1998</v>
      </c>
      <c r="C77" s="53">
        <v>2397</v>
      </c>
      <c r="D77" s="413">
        <f>Inputs!$J$9</f>
        <v>1.03</v>
      </c>
      <c r="E77" s="53">
        <f t="shared" si="0"/>
        <v>2468.91</v>
      </c>
    </row>
    <row r="78" ht="12.75">
      <c r="E78" s="53"/>
    </row>
    <row r="79" spans="3:5" ht="12.75">
      <c r="C79" t="s">
        <v>436</v>
      </c>
      <c r="E79" s="53">
        <f>SUM(E70:E77)</f>
        <v>27634.664345544832</v>
      </c>
    </row>
    <row r="80" ht="12.75">
      <c r="E80" s="53"/>
    </row>
    <row r="81" spans="3:5" ht="12.75">
      <c r="C81" t="s">
        <v>437</v>
      </c>
      <c r="E81" s="53">
        <f>E79/8</f>
        <v>3454.333043193104</v>
      </c>
    </row>
    <row r="82" ht="13.5" thickBot="1"/>
    <row r="83" spans="2:5" ht="13.5" thickBot="1">
      <c r="B83" s="417" t="s">
        <v>438</v>
      </c>
      <c r="C83" s="418"/>
      <c r="D83" s="418"/>
      <c r="E83" s="414">
        <v>3500</v>
      </c>
    </row>
    <row r="84" spans="3:5" ht="12.75">
      <c r="C84" s="415"/>
      <c r="D84" s="415"/>
      <c r="E84" s="416"/>
    </row>
    <row r="85" spans="3:5" ht="12.75">
      <c r="C85" s="415" t="s">
        <v>439</v>
      </c>
      <c r="D85" s="415"/>
      <c r="E85" s="416">
        <f>E83*0.475</f>
        <v>1662.5</v>
      </c>
    </row>
    <row r="86" spans="3:5" ht="12.75">
      <c r="C86" s="415"/>
      <c r="D86" s="415"/>
      <c r="E86" s="416"/>
    </row>
    <row r="87" spans="3:5" ht="12.75">
      <c r="C87" s="415"/>
      <c r="D87" s="415"/>
      <c r="E87" s="416"/>
    </row>
    <row r="88" spans="3:5" ht="12.75">
      <c r="C88" s="415"/>
      <c r="D88" s="415"/>
      <c r="E88" s="416"/>
    </row>
    <row r="92" spans="3:7" ht="12.75">
      <c r="C92" s="420">
        <v>1999</v>
      </c>
      <c r="D92" s="420">
        <f>C92+1</f>
        <v>2000</v>
      </c>
      <c r="E92" s="420">
        <f>D92+1</f>
        <v>2001</v>
      </c>
      <c r="F92" s="420">
        <f>E92+1</f>
        <v>2002</v>
      </c>
      <c r="G92" s="420">
        <f>F92+1</f>
        <v>2003</v>
      </c>
    </row>
    <row r="93" spans="1:7" ht="12.75">
      <c r="A93" t="s">
        <v>441</v>
      </c>
      <c r="C93" s="422">
        <v>36040.953</v>
      </c>
      <c r="D93" s="422">
        <v>75138.458</v>
      </c>
      <c r="E93" s="422">
        <v>61952.456</v>
      </c>
      <c r="F93" s="422">
        <v>20952.539</v>
      </c>
      <c r="G93" s="422">
        <v>58.953</v>
      </c>
    </row>
    <row r="94" spans="3:7" ht="12.75">
      <c r="C94" s="421"/>
      <c r="D94" s="421"/>
      <c r="E94" s="421"/>
      <c r="F94" s="421"/>
      <c r="G94" s="421"/>
    </row>
    <row r="95" spans="1:7" ht="12.75">
      <c r="A95" s="120" t="s">
        <v>474</v>
      </c>
      <c r="C95" s="421"/>
      <c r="D95" s="421"/>
      <c r="E95" s="421"/>
      <c r="F95" s="421"/>
      <c r="G95" s="421"/>
    </row>
    <row r="96" spans="1:8" ht="15">
      <c r="A96" t="s">
        <v>472</v>
      </c>
      <c r="C96" s="174">
        <v>0</v>
      </c>
      <c r="D96" s="174">
        <v>0</v>
      </c>
      <c r="E96" s="174">
        <v>129132.37420693996</v>
      </c>
      <c r="F96" s="174">
        <v>65010.98479306004</v>
      </c>
      <c r="H96" s="53"/>
    </row>
    <row r="97" spans="1:8" ht="12.75">
      <c r="A97" t="s">
        <v>473</v>
      </c>
      <c r="C97" s="53">
        <v>0</v>
      </c>
      <c r="D97" s="53">
        <v>0</v>
      </c>
      <c r="E97" s="53">
        <v>129132.37420693996</v>
      </c>
      <c r="F97" s="53">
        <v>65010.98479306004</v>
      </c>
      <c r="H97" s="53"/>
    </row>
    <row r="99" spans="1:27" ht="12.75">
      <c r="A99" s="36" t="s">
        <v>759</v>
      </c>
      <c r="X99" s="715">
        <f>Inputs!AD57</f>
        <v>0.75</v>
      </c>
      <c r="Y99" s="715">
        <f>Inputs!AE57</f>
        <v>0.5</v>
      </c>
      <c r="Z99" s="715">
        <f>Inputs!AF57</f>
        <v>0.25</v>
      </c>
      <c r="AA99" s="715">
        <f>Inputs!AG57</f>
        <v>0.1</v>
      </c>
    </row>
    <row r="100" spans="3:29" ht="12.75">
      <c r="C100" s="120">
        <v>1999</v>
      </c>
      <c r="D100" s="120">
        <f>C100+1</f>
        <v>2000</v>
      </c>
      <c r="E100" s="120">
        <f aca="true" t="shared" si="1" ref="E100:J100">D100+1</f>
        <v>2001</v>
      </c>
      <c r="F100" s="120">
        <f t="shared" si="1"/>
        <v>2002</v>
      </c>
      <c r="G100" s="120">
        <f t="shared" si="1"/>
        <v>2003</v>
      </c>
      <c r="H100" s="120">
        <f t="shared" si="1"/>
        <v>2004</v>
      </c>
      <c r="I100" s="120">
        <f t="shared" si="1"/>
        <v>2005</v>
      </c>
      <c r="J100" s="120">
        <f t="shared" si="1"/>
        <v>2006</v>
      </c>
      <c r="K100" s="120">
        <f aca="true" t="shared" si="2" ref="K100:AA100">J100+1</f>
        <v>2007</v>
      </c>
      <c r="L100" s="120">
        <f t="shared" si="2"/>
        <v>2008</v>
      </c>
      <c r="M100" s="120">
        <f t="shared" si="2"/>
        <v>2009</v>
      </c>
      <c r="N100" s="120">
        <f t="shared" si="2"/>
        <v>2010</v>
      </c>
      <c r="O100" s="120">
        <f t="shared" si="2"/>
        <v>2011</v>
      </c>
      <c r="P100" s="120">
        <f t="shared" si="2"/>
        <v>2012</v>
      </c>
      <c r="Q100" s="120">
        <f t="shared" si="2"/>
        <v>2013</v>
      </c>
      <c r="R100" s="120">
        <f t="shared" si="2"/>
        <v>2014</v>
      </c>
      <c r="S100" s="120">
        <f t="shared" si="2"/>
        <v>2015</v>
      </c>
      <c r="T100" s="120">
        <f t="shared" si="2"/>
        <v>2016</v>
      </c>
      <c r="U100" s="120">
        <f t="shared" si="2"/>
        <v>2017</v>
      </c>
      <c r="V100" s="120">
        <f t="shared" si="2"/>
        <v>2018</v>
      </c>
      <c r="W100" s="120">
        <f t="shared" si="2"/>
        <v>2019</v>
      </c>
      <c r="X100" s="120">
        <f t="shared" si="2"/>
        <v>2020</v>
      </c>
      <c r="Y100" s="120">
        <f t="shared" si="2"/>
        <v>2021</v>
      </c>
      <c r="Z100" s="120">
        <f t="shared" si="2"/>
        <v>2022</v>
      </c>
      <c r="AA100" s="120">
        <f t="shared" si="2"/>
        <v>2023</v>
      </c>
      <c r="AB100" s="120"/>
      <c r="AC100" s="120"/>
    </row>
    <row r="101" spans="3:29" ht="12.75">
      <c r="C101" s="443">
        <f>D48</f>
        <v>7523.264999999999</v>
      </c>
      <c r="D101" s="443">
        <f>E48*Inputs!J9</f>
        <v>1781.9</v>
      </c>
      <c r="E101" s="443">
        <f>F48*Inputs!K9</f>
        <v>19198.6356970621</v>
      </c>
      <c r="F101" s="443">
        <f>G48*Inputs!L9</f>
        <v>11369.824435</v>
      </c>
      <c r="G101" s="443">
        <f>H48*Inputs!M9</f>
        <v>4976.9999578199995</v>
      </c>
      <c r="H101" s="443">
        <f>$E$83*Inputs!N9</f>
        <v>4057.4592600499996</v>
      </c>
      <c r="I101" s="443">
        <f>$E$83*Inputs!O9</f>
        <v>4179.1830378515</v>
      </c>
      <c r="J101" s="443">
        <f>$E$83*Inputs!P9</f>
        <v>4304.558528987045</v>
      </c>
      <c r="K101" s="443">
        <f>$E$83*Inputs!Q9</f>
        <v>4433.695284856656</v>
      </c>
      <c r="L101" s="443">
        <f>$E$83*Inputs!R9</f>
        <v>4566.706143402355</v>
      </c>
      <c r="M101" s="443">
        <f>$E$83*Inputs!S9</f>
        <v>4703.7073277044265</v>
      </c>
      <c r="N101" s="443">
        <f>$E$83*Inputs!T9</f>
        <v>4844.818547535559</v>
      </c>
      <c r="O101" s="443">
        <f>$E$83*Inputs!U9</f>
        <v>4990.163103961625</v>
      </c>
      <c r="P101" s="443">
        <f>$E$83*Inputs!V9</f>
        <v>5139.867997080473</v>
      </c>
      <c r="Q101" s="443">
        <f>$E$83*Inputs!W9</f>
        <v>5294.064036992889</v>
      </c>
      <c r="R101" s="443">
        <f>$E$83*Inputs!X9</f>
        <v>5452.885958102675</v>
      </c>
      <c r="S101" s="443">
        <f>$E$83*Inputs!Y9</f>
        <v>5616.472536845755</v>
      </c>
      <c r="T101" s="443">
        <f>$E$83*Inputs!Z9</f>
        <v>5784.966712951127</v>
      </c>
      <c r="U101" s="443">
        <f>$E$83*Inputs!AA9</f>
        <v>5958.515714339661</v>
      </c>
      <c r="V101" s="443">
        <f>$E$83*Inputs!AB9</f>
        <v>6137.271185769851</v>
      </c>
      <c r="W101" s="443">
        <f>$E$83*Inputs!AC9</f>
        <v>6321.3893213429465</v>
      </c>
      <c r="X101" s="443">
        <f>$E$83*Inputs!AD9*X99</f>
        <v>4883.273250737426</v>
      </c>
      <c r="Y101" s="443">
        <f>X101*(1+Inputs!$G$9)*Y99</f>
        <v>2514.885724129774</v>
      </c>
      <c r="Z101" s="443">
        <f>Y101*(1+Inputs!$G$9)*Z99</f>
        <v>647.5830739634168</v>
      </c>
      <c r="AA101" s="443">
        <f>Z101*(1+Inputs!$G$9)*AA99</f>
        <v>66.70105661823195</v>
      </c>
      <c r="AB101" s="443"/>
      <c r="AC101" s="443"/>
    </row>
    <row r="104" spans="4:12" ht="12.75">
      <c r="D104" s="53"/>
      <c r="E104" s="53"/>
      <c r="F104" s="53"/>
      <c r="G104" s="53"/>
      <c r="H104" s="53"/>
      <c r="I104" s="53"/>
      <c r="J104" s="53"/>
      <c r="K104" s="53"/>
      <c r="L104" s="53"/>
    </row>
    <row r="105" spans="4:12" ht="18">
      <c r="D105" s="410" t="s">
        <v>760</v>
      </c>
      <c r="G105" s="53"/>
      <c r="H105" s="53"/>
      <c r="I105" s="53"/>
      <c r="J105" s="53"/>
      <c r="K105" s="53"/>
      <c r="L105" s="53"/>
    </row>
    <row r="106" spans="7:12" ht="12.75">
      <c r="G106" s="53"/>
      <c r="H106" s="53"/>
      <c r="I106" s="53"/>
      <c r="J106" s="53"/>
      <c r="K106" s="53"/>
      <c r="L106" s="53"/>
    </row>
    <row r="107" spans="7:12" ht="12.75">
      <c r="G107" s="53"/>
      <c r="H107" s="53"/>
      <c r="I107" s="53"/>
      <c r="J107" s="53"/>
      <c r="K107" s="53"/>
      <c r="L107" s="53"/>
    </row>
    <row r="109" spans="2:4" ht="12.75">
      <c r="B109" t="s">
        <v>429</v>
      </c>
      <c r="D109" s="411">
        <v>0.03</v>
      </c>
    </row>
    <row r="110" ht="12.75">
      <c r="D110" s="411"/>
    </row>
    <row r="111" ht="12.75">
      <c r="D111" s="411"/>
    </row>
    <row r="112" spans="3:4" ht="12.75">
      <c r="C112" s="8" t="s">
        <v>888</v>
      </c>
      <c r="D112" s="411"/>
    </row>
    <row r="113" ht="12.75">
      <c r="D113" s="411"/>
    </row>
    <row r="114" spans="3:4" ht="12.75">
      <c r="C114" s="122" t="s">
        <v>431</v>
      </c>
      <c r="D114" s="411"/>
    </row>
    <row r="115" spans="3:4" ht="12.75">
      <c r="C115" s="122" t="s">
        <v>432</v>
      </c>
      <c r="D115" s="411"/>
    </row>
    <row r="116" spans="3:5" ht="12.75">
      <c r="C116" s="412" t="s">
        <v>433</v>
      </c>
      <c r="D116" s="120" t="s">
        <v>434</v>
      </c>
      <c r="E116" s="120" t="s">
        <v>761</v>
      </c>
    </row>
    <row r="117" spans="2:5" ht="12.75">
      <c r="B117">
        <v>2003</v>
      </c>
      <c r="C117" s="53">
        <v>11630</v>
      </c>
      <c r="D117" s="413">
        <f>Inputs!$M$9</f>
        <v>1.12550881</v>
      </c>
      <c r="E117" s="53">
        <f>C117*D117</f>
        <v>13089.6674603</v>
      </c>
    </row>
    <row r="118" spans="2:5" ht="12.75">
      <c r="B118">
        <v>2002</v>
      </c>
      <c r="C118" s="53">
        <v>15975</v>
      </c>
      <c r="D118" s="413">
        <f>Inputs!$L$9</f>
        <v>1.092727</v>
      </c>
      <c r="E118" s="53">
        <f>C118*D118</f>
        <v>17456.313825</v>
      </c>
    </row>
    <row r="119" spans="2:5" ht="12.75">
      <c r="B119">
        <v>2001</v>
      </c>
      <c r="C119" s="53">
        <v>14826</v>
      </c>
      <c r="D119" s="413">
        <f>Inputs!$K$9</f>
        <v>1.0609</v>
      </c>
      <c r="E119" s="53">
        <f>C119*D119</f>
        <v>15728.9034</v>
      </c>
    </row>
    <row r="120" spans="2:5" ht="12.75">
      <c r="B120">
        <v>2000</v>
      </c>
      <c r="C120" s="53">
        <v>15497</v>
      </c>
      <c r="D120" s="413">
        <f>Inputs!$J$9</f>
        <v>1.03</v>
      </c>
      <c r="E120" s="53">
        <f>C120*D120</f>
        <v>15961.91</v>
      </c>
    </row>
    <row r="121" ht="12.75">
      <c r="E121" s="53"/>
    </row>
    <row r="122" ht="12.75">
      <c r="E122" s="53"/>
    </row>
    <row r="123" ht="12.75">
      <c r="E123" s="53"/>
    </row>
    <row r="124" ht="12.75">
      <c r="E124" s="53"/>
    </row>
    <row r="128" spans="3:5" ht="12.75">
      <c r="C128" s="415"/>
      <c r="D128" s="415"/>
      <c r="E128" s="416"/>
    </row>
    <row r="130" spans="3:4" ht="12.75">
      <c r="C130" s="8" t="s">
        <v>430</v>
      </c>
      <c r="D130" s="411"/>
    </row>
    <row r="131" ht="12.75">
      <c r="D131" s="411"/>
    </row>
    <row r="132" spans="3:4" ht="12.75">
      <c r="C132" s="122" t="s">
        <v>431</v>
      </c>
      <c r="D132" s="411"/>
    </row>
    <row r="133" spans="3:4" ht="12.75">
      <c r="C133" s="122" t="s">
        <v>432</v>
      </c>
      <c r="D133" s="411"/>
    </row>
    <row r="134" spans="3:5" ht="12.75">
      <c r="C134" s="412" t="s">
        <v>433</v>
      </c>
      <c r="D134" s="120" t="s">
        <v>434</v>
      </c>
      <c r="E134" s="120" t="s">
        <v>435</v>
      </c>
    </row>
    <row r="135" spans="2:5" ht="12.75">
      <c r="B135">
        <v>1991</v>
      </c>
      <c r="C135" s="53">
        <v>4780</v>
      </c>
      <c r="D135" s="413">
        <f>Inputs!$Q$9</f>
        <v>1.266770081387616</v>
      </c>
      <c r="E135" s="53">
        <f aca="true" t="shared" si="3" ref="E135:E142">C135*D135</f>
        <v>6055.1609890328045</v>
      </c>
    </row>
    <row r="136" spans="2:5" ht="12.75">
      <c r="B136">
        <v>1992</v>
      </c>
      <c r="C136" s="53">
        <v>4457</v>
      </c>
      <c r="D136" s="413">
        <f>Inputs!$P$9</f>
        <v>1.22987386542487</v>
      </c>
      <c r="E136" s="53">
        <f t="shared" si="3"/>
        <v>5481.5478181986455</v>
      </c>
    </row>
    <row r="137" spans="2:5" ht="12.75">
      <c r="B137">
        <v>1993</v>
      </c>
      <c r="C137" s="53">
        <v>4838</v>
      </c>
      <c r="D137" s="413">
        <f>Inputs!$O$9</f>
        <v>1.194052296529</v>
      </c>
      <c r="E137" s="53">
        <f t="shared" si="3"/>
        <v>5776.825010607302</v>
      </c>
    </row>
    <row r="138" spans="2:5" ht="12.75">
      <c r="B138">
        <v>1994</v>
      </c>
      <c r="C138" s="53">
        <v>19990</v>
      </c>
      <c r="D138" s="413">
        <f>Inputs!$N$9</f>
        <v>1.1592740742999998</v>
      </c>
      <c r="E138" s="53">
        <f t="shared" si="3"/>
        <v>23173.888745256998</v>
      </c>
    </row>
    <row r="139" spans="2:5" ht="12.75">
      <c r="B139">
        <v>1995</v>
      </c>
      <c r="C139" s="53">
        <v>2241</v>
      </c>
      <c r="D139" s="413">
        <f>Inputs!$M$9</f>
        <v>1.12550881</v>
      </c>
      <c r="E139" s="53">
        <f t="shared" si="3"/>
        <v>2522.26524321</v>
      </c>
    </row>
    <row r="140" spans="2:5" ht="12.75">
      <c r="B140">
        <v>1996</v>
      </c>
      <c r="C140" s="53">
        <v>6649</v>
      </c>
      <c r="D140" s="413">
        <f>Inputs!$L$9</f>
        <v>1.092727</v>
      </c>
      <c r="E140" s="53">
        <f t="shared" si="3"/>
        <v>7265.5418230000005</v>
      </c>
    </row>
    <row r="141" spans="2:5" ht="12.75">
      <c r="B141">
        <v>1997</v>
      </c>
      <c r="C141" s="53">
        <v>6116</v>
      </c>
      <c r="D141" s="413">
        <f>Inputs!$K$9</f>
        <v>1.0609</v>
      </c>
      <c r="E141" s="53">
        <f t="shared" si="3"/>
        <v>6488.4644</v>
      </c>
    </row>
    <row r="142" spans="2:5" ht="12.75">
      <c r="B142">
        <v>1998</v>
      </c>
      <c r="C142" s="53">
        <v>6733</v>
      </c>
      <c r="D142" s="413">
        <f>Inputs!$J$9</f>
        <v>1.03</v>
      </c>
      <c r="E142" s="53">
        <f t="shared" si="3"/>
        <v>6934.99</v>
      </c>
    </row>
    <row r="143" ht="12.75">
      <c r="E143" s="53"/>
    </row>
    <row r="144" spans="3:5" ht="12.75">
      <c r="C144" t="s">
        <v>436</v>
      </c>
      <c r="E144" s="53">
        <f>SUM(E135:E142)</f>
        <v>63698.68402930575</v>
      </c>
    </row>
    <row r="145" ht="12.75">
      <c r="E145" s="53"/>
    </row>
    <row r="146" spans="3:5" ht="12.75">
      <c r="C146" t="s">
        <v>437</v>
      </c>
      <c r="E146" s="53">
        <f>E144/8</f>
        <v>7962.335503663218</v>
      </c>
    </row>
    <row r="147" ht="13.5" thickBot="1"/>
    <row r="148" spans="2:5" ht="13.5" thickBot="1">
      <c r="B148" s="417" t="s">
        <v>438</v>
      </c>
      <c r="C148" s="418"/>
      <c r="D148" s="418"/>
      <c r="E148" s="414">
        <f>8000</f>
        <v>8000</v>
      </c>
    </row>
    <row r="149" spans="3:5" ht="12.75">
      <c r="C149" s="415"/>
      <c r="D149" s="415"/>
      <c r="E149" s="416"/>
    </row>
    <row r="150" spans="3:5" ht="12.75">
      <c r="C150" s="415" t="s">
        <v>439</v>
      </c>
      <c r="D150" s="415"/>
      <c r="E150" s="416">
        <f>E148*0.475</f>
        <v>3800</v>
      </c>
    </row>
  </sheetData>
  <printOptions/>
  <pageMargins left="0.75" right="0.75" top="1" bottom="1" header="0.5" footer="0.5"/>
  <pageSetup horizontalDpi="600" verticalDpi="600" orientation="landscape" scale="60" r:id="rId3"/>
  <headerFooter alignWithMargins="0">
    <oddHeader>&amp;C&amp;A</oddHead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O51"/>
  <sheetViews>
    <sheetView workbookViewId="0" topLeftCell="A1">
      <selection activeCell="A1" sqref="A1"/>
    </sheetView>
  </sheetViews>
  <sheetFormatPr defaultColWidth="9.140625" defaultRowHeight="12.75"/>
  <cols>
    <col min="1" max="1" width="4.7109375" style="0" customWidth="1"/>
    <col min="2" max="2" width="2.140625" style="0" customWidth="1"/>
    <col min="3" max="4" width="5.00390625" style="0" customWidth="1"/>
    <col min="5" max="5" width="45.28125" style="0" customWidth="1"/>
    <col min="6" max="7" width="12.7109375" style="0" customWidth="1"/>
    <col min="8" max="9" width="12.00390625" style="0" customWidth="1"/>
    <col min="10" max="10" width="12.140625" style="0" customWidth="1"/>
    <col min="12" max="12" width="20.7109375" style="0" customWidth="1"/>
    <col min="13" max="13" width="13.00390625" style="0" customWidth="1"/>
    <col min="14" max="14" width="16.421875" style="0" customWidth="1"/>
    <col min="15" max="15" width="12.8515625" style="0" customWidth="1"/>
  </cols>
  <sheetData>
    <row r="1" spans="1:10" ht="15.75">
      <c r="A1" s="513" t="s">
        <v>104</v>
      </c>
      <c r="B1" s="513"/>
      <c r="C1" s="513"/>
      <c r="D1" s="513"/>
      <c r="E1" s="513"/>
      <c r="F1" s="513"/>
      <c r="G1" s="513"/>
      <c r="H1" s="513"/>
      <c r="I1" s="513"/>
      <c r="J1" s="513"/>
    </row>
    <row r="2" spans="1:10" ht="15.75">
      <c r="A2" s="513" t="s">
        <v>520</v>
      </c>
      <c r="B2" s="513"/>
      <c r="C2" s="513"/>
      <c r="D2" s="513"/>
      <c r="E2" s="513"/>
      <c r="F2" s="513"/>
      <c r="G2" s="513"/>
      <c r="H2" s="513"/>
      <c r="I2" s="513"/>
      <c r="J2" s="513"/>
    </row>
    <row r="3" spans="1:10" ht="15.75">
      <c r="A3" s="513" t="s">
        <v>521</v>
      </c>
      <c r="B3" s="513"/>
      <c r="C3" s="513"/>
      <c r="D3" s="513"/>
      <c r="E3" s="513"/>
      <c r="F3" s="513"/>
      <c r="G3" s="513"/>
      <c r="H3" s="513"/>
      <c r="I3" s="513"/>
      <c r="J3" s="513"/>
    </row>
    <row r="4" spans="6:10" ht="12.75">
      <c r="F4" s="514"/>
      <c r="G4" s="514"/>
      <c r="H4" s="514"/>
      <c r="I4" s="514"/>
      <c r="J4" s="514"/>
    </row>
    <row r="5" spans="6:10" ht="25.5">
      <c r="F5" s="515">
        <v>1998</v>
      </c>
      <c r="G5" s="515">
        <v>1999</v>
      </c>
      <c r="H5" s="516" t="s">
        <v>522</v>
      </c>
      <c r="I5" s="517" t="s">
        <v>523</v>
      </c>
      <c r="J5" s="515" t="s">
        <v>524</v>
      </c>
    </row>
    <row r="6" spans="6:12" ht="12.75">
      <c r="F6" s="145"/>
      <c r="G6" s="145"/>
      <c r="H6" s="145"/>
      <c r="I6" s="518" t="s">
        <v>525</v>
      </c>
      <c r="J6" s="518" t="s">
        <v>526</v>
      </c>
      <c r="L6" t="s">
        <v>811</v>
      </c>
    </row>
    <row r="7" spans="1:12" ht="12.75">
      <c r="A7" s="519"/>
      <c r="B7" s="520" t="s">
        <v>527</v>
      </c>
      <c r="D7" s="521"/>
      <c r="E7" s="521"/>
      <c r="F7" s="321"/>
      <c r="G7" s="321"/>
      <c r="H7" s="522"/>
      <c r="I7" s="523"/>
      <c r="J7" s="321"/>
      <c r="L7" t="s">
        <v>812</v>
      </c>
    </row>
    <row r="8" spans="4:10" ht="12.75">
      <c r="D8" t="s">
        <v>528</v>
      </c>
      <c r="F8" s="524">
        <v>2.923</v>
      </c>
      <c r="G8" s="524">
        <v>0</v>
      </c>
      <c r="H8" s="525">
        <f>SUM(F8:G8)</f>
        <v>2.923</v>
      </c>
      <c r="I8" s="523"/>
      <c r="J8" s="526">
        <f>+H8</f>
        <v>2.923</v>
      </c>
    </row>
    <row r="9" spans="2:10" ht="12.75">
      <c r="B9" s="177"/>
      <c r="C9" s="177"/>
      <c r="D9" s="177"/>
      <c r="E9" s="177"/>
      <c r="F9" s="527"/>
      <c r="G9" s="527"/>
      <c r="H9" s="527"/>
      <c r="I9" s="528"/>
      <c r="J9" s="177"/>
    </row>
    <row r="10" spans="1:13" ht="12.75">
      <c r="A10" s="519"/>
      <c r="B10" s="529" t="s">
        <v>529</v>
      </c>
      <c r="D10" s="321"/>
      <c r="E10" s="321"/>
      <c r="F10" s="524"/>
      <c r="G10" s="524"/>
      <c r="H10" s="525"/>
      <c r="I10" s="523"/>
      <c r="J10" s="321"/>
      <c r="M10" t="s">
        <v>522</v>
      </c>
    </row>
    <row r="11" spans="1:15" ht="12.75">
      <c r="A11" s="530"/>
      <c r="C11" s="530" t="s">
        <v>530</v>
      </c>
      <c r="F11" s="524"/>
      <c r="G11" s="524"/>
      <c r="H11" s="525"/>
      <c r="I11" s="523"/>
      <c r="J11" s="321"/>
      <c r="M11">
        <v>1</v>
      </c>
      <c r="N11" t="s">
        <v>813</v>
      </c>
      <c r="O11" t="s">
        <v>814</v>
      </c>
    </row>
    <row r="12" spans="4:12" ht="12.75">
      <c r="D12" t="s">
        <v>531</v>
      </c>
      <c r="F12" s="524"/>
      <c r="G12" s="524"/>
      <c r="H12" s="525"/>
      <c r="I12" s="523"/>
      <c r="J12" s="321"/>
      <c r="L12" t="s">
        <v>815</v>
      </c>
    </row>
    <row r="13" spans="1:15" ht="12.75">
      <c r="A13" s="11"/>
      <c r="B13" s="11"/>
      <c r="C13" s="11"/>
      <c r="D13" s="11"/>
      <c r="E13" s="11" t="s">
        <v>532</v>
      </c>
      <c r="F13" s="531">
        <v>56.15061</v>
      </c>
      <c r="G13" s="531">
        <v>0</v>
      </c>
      <c r="H13" s="532">
        <f>SUM(F13:G13)</f>
        <v>56.15061</v>
      </c>
      <c r="I13" s="533">
        <f>+H13</f>
        <v>56.15061</v>
      </c>
      <c r="J13" s="534"/>
      <c r="L13" t="s">
        <v>816</v>
      </c>
      <c r="M13" s="53">
        <v>3820485</v>
      </c>
      <c r="N13" s="53">
        <v>2573315.32</v>
      </c>
      <c r="O13" s="53">
        <v>1247169.7</v>
      </c>
    </row>
    <row r="14" spans="1:15" ht="12.75">
      <c r="A14" s="11"/>
      <c r="B14" s="11"/>
      <c r="C14" s="11"/>
      <c r="D14" s="11"/>
      <c r="E14" s="11" t="s">
        <v>533</v>
      </c>
      <c r="F14" s="531">
        <v>6.314</v>
      </c>
      <c r="G14" s="531">
        <v>0</v>
      </c>
      <c r="H14" s="532">
        <f>SUM(F14:G14)</f>
        <v>6.314</v>
      </c>
      <c r="I14" s="533">
        <f>+H14</f>
        <v>6.314</v>
      </c>
      <c r="J14" s="534"/>
      <c r="L14" t="s">
        <v>817</v>
      </c>
      <c r="M14" s="53">
        <v>224531.71</v>
      </c>
      <c r="N14" s="53">
        <v>224531.71</v>
      </c>
      <c r="O14" s="53">
        <v>0</v>
      </c>
    </row>
    <row r="15" spans="4:15" ht="12.75">
      <c r="D15" t="s">
        <v>534</v>
      </c>
      <c r="F15" s="524"/>
      <c r="G15" s="524"/>
      <c r="H15" s="525"/>
      <c r="I15" s="523"/>
      <c r="J15" s="321"/>
      <c r="L15" t="s">
        <v>681</v>
      </c>
      <c r="M15" s="53">
        <v>4045016.71</v>
      </c>
      <c r="N15" s="53">
        <v>2797847.03</v>
      </c>
      <c r="O15" s="53">
        <v>1247169.7</v>
      </c>
    </row>
    <row r="16" spans="1:15" ht="12.75">
      <c r="A16" s="11"/>
      <c r="B16" s="11"/>
      <c r="C16" s="11"/>
      <c r="D16" s="11"/>
      <c r="E16" s="11" t="s">
        <v>535</v>
      </c>
      <c r="F16" s="531">
        <v>102.22934</v>
      </c>
      <c r="G16" s="531">
        <v>354.78402</v>
      </c>
      <c r="H16" s="532">
        <f>SUM(F16:G16)</f>
        <v>457.01336</v>
      </c>
      <c r="I16" s="533">
        <f>+H16-J16</f>
        <v>432.12336</v>
      </c>
      <c r="J16" s="534">
        <f>(11210+13680)/1000</f>
        <v>24.89</v>
      </c>
      <c r="M16" s="53"/>
      <c r="N16" s="53"/>
      <c r="O16" s="53"/>
    </row>
    <row r="17" spans="4:15" ht="12.75">
      <c r="D17" t="s">
        <v>536</v>
      </c>
      <c r="F17" s="524"/>
      <c r="G17" s="524"/>
      <c r="H17" s="525"/>
      <c r="I17" s="523"/>
      <c r="J17" s="321"/>
      <c r="L17" t="s">
        <v>818</v>
      </c>
      <c r="M17" s="53"/>
      <c r="N17" s="53"/>
      <c r="O17" s="53"/>
    </row>
    <row r="18" spans="5:15" ht="12.75">
      <c r="E18" t="s">
        <v>537</v>
      </c>
      <c r="F18" s="524">
        <v>1455.53856</v>
      </c>
      <c r="G18" s="524">
        <v>1246.7248599999998</v>
      </c>
      <c r="H18" s="525">
        <f>SUM(F18:G18)</f>
        <v>2702.2634199999998</v>
      </c>
      <c r="I18" s="523">
        <f>+H18</f>
        <v>2702.2634199999998</v>
      </c>
      <c r="J18" s="526"/>
      <c r="L18" t="s">
        <v>537</v>
      </c>
      <c r="M18" s="53">
        <v>177000</v>
      </c>
      <c r="N18" s="53">
        <v>116820</v>
      </c>
      <c r="O18" s="53">
        <v>60180</v>
      </c>
    </row>
    <row r="19" spans="1:15" ht="12.75">
      <c r="A19" s="530"/>
      <c r="B19" s="530"/>
      <c r="C19" s="11"/>
      <c r="E19" t="s">
        <v>538</v>
      </c>
      <c r="F19" s="524">
        <v>12.96</v>
      </c>
      <c r="G19" s="524">
        <v>21.817760000000003</v>
      </c>
      <c r="H19" s="525">
        <f>SUM(F19:G19)</f>
        <v>34.77776</v>
      </c>
      <c r="I19" s="523">
        <f>+H19</f>
        <v>34.77776</v>
      </c>
      <c r="J19" s="526"/>
      <c r="L19" t="s">
        <v>819</v>
      </c>
      <c r="M19" s="53">
        <v>178000</v>
      </c>
      <c r="N19" s="53">
        <v>117480</v>
      </c>
      <c r="O19" s="53">
        <v>60520</v>
      </c>
    </row>
    <row r="20" spans="1:15" ht="12.75">
      <c r="A20" s="530"/>
      <c r="B20" s="530"/>
      <c r="C20" s="11"/>
      <c r="E20" t="s">
        <v>539</v>
      </c>
      <c r="F20" s="524">
        <v>0</v>
      </c>
      <c r="G20" s="524">
        <v>18.25525</v>
      </c>
      <c r="H20" s="525">
        <f>SUM(F20:G20)</f>
        <v>18.25525</v>
      </c>
      <c r="I20" s="523">
        <f>+H20</f>
        <v>18.25525</v>
      </c>
      <c r="J20" s="526"/>
      <c r="L20" t="s">
        <v>820</v>
      </c>
      <c r="M20" s="53">
        <v>150000</v>
      </c>
      <c r="N20" s="53">
        <v>99000</v>
      </c>
      <c r="O20" s="53">
        <v>51000</v>
      </c>
    </row>
    <row r="21" spans="1:15" ht="12.75">
      <c r="A21" s="530"/>
      <c r="B21" s="530"/>
      <c r="D21" t="s">
        <v>540</v>
      </c>
      <c r="F21" s="524">
        <v>0.6413</v>
      </c>
      <c r="G21" s="524">
        <v>0</v>
      </c>
      <c r="H21" s="525">
        <f>SUM(F21:G21)</f>
        <v>0.6413</v>
      </c>
      <c r="I21" s="523">
        <f>+H21</f>
        <v>0.6413</v>
      </c>
      <c r="J21" s="526"/>
      <c r="L21" t="s">
        <v>821</v>
      </c>
      <c r="M21" s="53">
        <v>200000</v>
      </c>
      <c r="N21" s="53">
        <v>132000</v>
      </c>
      <c r="O21" s="53">
        <v>68000</v>
      </c>
    </row>
    <row r="22" spans="1:15" ht="12.75">
      <c r="A22" s="530"/>
      <c r="B22" s="530"/>
      <c r="D22" t="s">
        <v>541</v>
      </c>
      <c r="I22" s="523"/>
      <c r="J22" s="526"/>
      <c r="L22" t="s">
        <v>822</v>
      </c>
      <c r="M22" s="53">
        <v>200000</v>
      </c>
      <c r="N22" s="53">
        <v>132000</v>
      </c>
      <c r="O22" s="53">
        <v>68000</v>
      </c>
    </row>
    <row r="23" spans="1:15" ht="12.75">
      <c r="A23" s="530"/>
      <c r="B23" s="535"/>
      <c r="C23" s="177"/>
      <c r="D23" s="177"/>
      <c r="E23" s="177" t="s">
        <v>542</v>
      </c>
      <c r="F23" s="527">
        <v>143.64807000000002</v>
      </c>
      <c r="G23" s="527">
        <v>127.43798999999999</v>
      </c>
      <c r="H23" s="527">
        <f>SUM(F23:G23)</f>
        <v>271.08606</v>
      </c>
      <c r="I23" s="536">
        <f>+H23-J23</f>
        <v>256.53855999999996</v>
      </c>
      <c r="J23" s="537">
        <f>(9807+4740.5)/1000</f>
        <v>14.5475</v>
      </c>
      <c r="L23" t="s">
        <v>823</v>
      </c>
      <c r="M23" s="53">
        <v>500000</v>
      </c>
      <c r="N23" s="53">
        <v>330000</v>
      </c>
      <c r="O23" s="53">
        <v>170000</v>
      </c>
    </row>
    <row r="24" spans="1:15" ht="12.75">
      <c r="A24" s="519"/>
      <c r="B24" s="529" t="s">
        <v>543</v>
      </c>
      <c r="D24" s="321"/>
      <c r="E24" s="321"/>
      <c r="F24" s="524"/>
      <c r="G24" s="524"/>
      <c r="H24" s="525"/>
      <c r="I24" s="523"/>
      <c r="J24" s="321"/>
      <c r="L24" t="s">
        <v>824</v>
      </c>
      <c r="M24" s="53">
        <v>500000</v>
      </c>
      <c r="N24" s="53">
        <v>500000</v>
      </c>
      <c r="O24" s="53">
        <v>0</v>
      </c>
    </row>
    <row r="25" spans="1:15" ht="12.75">
      <c r="A25" s="530"/>
      <c r="C25" s="530" t="s">
        <v>544</v>
      </c>
      <c r="F25" s="524"/>
      <c r="G25" s="524"/>
      <c r="H25" s="525"/>
      <c r="I25" s="523"/>
      <c r="J25" s="321"/>
      <c r="L25" t="s">
        <v>681</v>
      </c>
      <c r="M25" s="53">
        <v>1905000</v>
      </c>
      <c r="N25" s="53">
        <v>1427300</v>
      </c>
      <c r="O25" s="53">
        <v>477700</v>
      </c>
    </row>
    <row r="26" spans="1:15" ht="12.75">
      <c r="A26" s="530"/>
      <c r="B26" s="530"/>
      <c r="E26" t="s">
        <v>545</v>
      </c>
      <c r="F26" s="524">
        <v>0.012</v>
      </c>
      <c r="G26" s="524">
        <v>1.1595</v>
      </c>
      <c r="H26" s="525">
        <f>SUM(F26:G26)</f>
        <v>1.1715</v>
      </c>
      <c r="I26" s="523">
        <f>+H26</f>
        <v>1.1715</v>
      </c>
      <c r="J26" s="526"/>
      <c r="M26" s="53"/>
      <c r="N26" s="53"/>
      <c r="O26" s="53"/>
    </row>
    <row r="27" spans="1:15" ht="12.75">
      <c r="A27" s="530"/>
      <c r="B27" s="530"/>
      <c r="E27" t="s">
        <v>546</v>
      </c>
      <c r="F27" s="524">
        <v>0</v>
      </c>
      <c r="G27" s="524">
        <v>0.26211</v>
      </c>
      <c r="H27" s="525">
        <f>SUM(F27:G27)</f>
        <v>0.26211</v>
      </c>
      <c r="I27" s="523">
        <f>+H27</f>
        <v>0.26211</v>
      </c>
      <c r="J27" s="526"/>
      <c r="L27" t="s">
        <v>522</v>
      </c>
      <c r="M27" s="53">
        <v>5950016.71</v>
      </c>
      <c r="N27" s="53">
        <v>4225147.03</v>
      </c>
      <c r="O27" s="53">
        <v>1724869.7</v>
      </c>
    </row>
    <row r="28" spans="4:10" ht="12.75">
      <c r="D28" t="s">
        <v>547</v>
      </c>
      <c r="F28" s="524"/>
      <c r="G28" s="524"/>
      <c r="H28" s="525"/>
      <c r="I28" s="523"/>
      <c r="J28" s="321"/>
    </row>
    <row r="29" spans="1:10" ht="12.75">
      <c r="A29" s="11"/>
      <c r="B29" s="11"/>
      <c r="C29" s="11"/>
      <c r="D29" s="11"/>
      <c r="E29" s="11" t="s">
        <v>548</v>
      </c>
      <c r="F29" s="531">
        <v>145.23623999999998</v>
      </c>
      <c r="G29" s="531">
        <v>273.57743</v>
      </c>
      <c r="H29" s="532">
        <f>SUM(F29:G29)</f>
        <v>418.81367</v>
      </c>
      <c r="I29" s="533">
        <f>+H29-J29</f>
        <v>359.94367</v>
      </c>
      <c r="J29" s="534">
        <v>58.87</v>
      </c>
    </row>
    <row r="30" spans="5:10" ht="12.75">
      <c r="E30" t="s">
        <v>549</v>
      </c>
      <c r="F30" s="524">
        <v>47.60386</v>
      </c>
      <c r="G30" s="524">
        <v>68.05783</v>
      </c>
      <c r="H30" s="525">
        <f>SUM(F30:G30)</f>
        <v>115.66169</v>
      </c>
      <c r="I30" s="523"/>
      <c r="J30" s="526">
        <f>+H30</f>
        <v>115.66169</v>
      </c>
    </row>
    <row r="31" spans="1:10" ht="12.75">
      <c r="A31" s="11"/>
      <c r="B31" s="11"/>
      <c r="C31" s="11"/>
      <c r="D31" s="11"/>
      <c r="E31" s="11" t="s">
        <v>550</v>
      </c>
      <c r="F31" s="531">
        <v>26.1114</v>
      </c>
      <c r="G31" s="531">
        <v>0</v>
      </c>
      <c r="H31" s="532">
        <f>SUM(F31:G31)</f>
        <v>26.1114</v>
      </c>
      <c r="I31" s="533">
        <f>+H31</f>
        <v>26.1114</v>
      </c>
      <c r="J31" s="534"/>
    </row>
    <row r="32" spans="5:10" ht="12.75">
      <c r="E32" t="s">
        <v>551</v>
      </c>
      <c r="F32" s="524">
        <v>3.8013100000000004</v>
      </c>
      <c r="G32" s="524">
        <v>7.5283500000000005</v>
      </c>
      <c r="H32" s="525">
        <f>SUM(F32:G32)</f>
        <v>11.32966</v>
      </c>
      <c r="I32" s="523"/>
      <c r="J32" s="526">
        <f>+H32</f>
        <v>11.32966</v>
      </c>
    </row>
    <row r="33" spans="3:10" ht="12.75">
      <c r="C33" s="530" t="s">
        <v>552</v>
      </c>
      <c r="F33" s="524"/>
      <c r="G33" s="524"/>
      <c r="H33" s="525"/>
      <c r="I33" s="523"/>
      <c r="J33" s="321"/>
    </row>
    <row r="34" spans="5:10" ht="12.75">
      <c r="E34" t="s">
        <v>553</v>
      </c>
      <c r="F34" s="524">
        <v>0.6628999999999999</v>
      </c>
      <c r="G34" s="524">
        <v>5.52406</v>
      </c>
      <c r="H34" s="525">
        <f aca="true" t="shared" si="0" ref="H34:H39">SUM(F34:G34)</f>
        <v>6.18696</v>
      </c>
      <c r="I34" s="523"/>
      <c r="J34" s="526">
        <f aca="true" t="shared" si="1" ref="J34:J39">+H34</f>
        <v>6.18696</v>
      </c>
    </row>
    <row r="35" spans="5:10" ht="12.75">
      <c r="E35" t="s">
        <v>554</v>
      </c>
      <c r="F35" s="524">
        <v>1.3827800000000001</v>
      </c>
      <c r="G35" s="524">
        <v>0.11554</v>
      </c>
      <c r="H35" s="525">
        <f t="shared" si="0"/>
        <v>1.49832</v>
      </c>
      <c r="I35" s="523"/>
      <c r="J35" s="526">
        <f t="shared" si="1"/>
        <v>1.49832</v>
      </c>
    </row>
    <row r="36" spans="5:10" ht="12.75">
      <c r="E36" t="s">
        <v>555</v>
      </c>
      <c r="F36" s="524">
        <v>0.06275</v>
      </c>
      <c r="G36" s="524">
        <v>0.07307</v>
      </c>
      <c r="H36" s="525">
        <f t="shared" si="0"/>
        <v>0.13582</v>
      </c>
      <c r="I36" s="523"/>
      <c r="J36" s="526">
        <f t="shared" si="1"/>
        <v>0.13582</v>
      </c>
    </row>
    <row r="37" spans="5:10" ht="12.75">
      <c r="E37" t="s">
        <v>556</v>
      </c>
      <c r="F37" s="524">
        <v>0.25540999999999997</v>
      </c>
      <c r="G37" s="524">
        <v>0</v>
      </c>
      <c r="H37" s="525">
        <f t="shared" si="0"/>
        <v>0.25540999999999997</v>
      </c>
      <c r="I37" s="523"/>
      <c r="J37" s="526">
        <f t="shared" si="1"/>
        <v>0.25540999999999997</v>
      </c>
    </row>
    <row r="38" spans="5:10" ht="12.75">
      <c r="E38" t="s">
        <v>557</v>
      </c>
      <c r="F38" s="524">
        <v>2.11</v>
      </c>
      <c r="G38" s="524">
        <v>0</v>
      </c>
      <c r="H38" s="525">
        <f t="shared" si="0"/>
        <v>2.11</v>
      </c>
      <c r="I38" s="523"/>
      <c r="J38" s="526">
        <f t="shared" si="1"/>
        <v>2.11</v>
      </c>
    </row>
    <row r="39" spans="5:10" ht="12.75">
      <c r="E39" t="s">
        <v>558</v>
      </c>
      <c r="F39" s="524">
        <v>2.04332</v>
      </c>
      <c r="G39" s="524">
        <v>-0.18913999999999997</v>
      </c>
      <c r="H39" s="525">
        <f t="shared" si="0"/>
        <v>1.85418</v>
      </c>
      <c r="I39" s="523"/>
      <c r="J39" s="526">
        <f t="shared" si="1"/>
        <v>1.85418</v>
      </c>
    </row>
    <row r="40" spans="6:10" ht="12.75">
      <c r="F40" s="524"/>
      <c r="G40" s="538"/>
      <c r="H40" s="525"/>
      <c r="I40" s="523"/>
      <c r="J40" s="321"/>
    </row>
    <row r="41" spans="6:10" ht="12.75">
      <c r="F41" s="524"/>
      <c r="G41" s="538"/>
      <c r="H41" s="525"/>
      <c r="I41" s="284"/>
      <c r="J41" s="321"/>
    </row>
    <row r="42" spans="6:10" ht="12.75">
      <c r="F42" s="524"/>
      <c r="G42" s="538"/>
      <c r="H42" s="525"/>
      <c r="I42" s="284"/>
      <c r="J42" s="321"/>
    </row>
    <row r="43" spans="5:10" ht="13.5" thickBot="1">
      <c r="E43" s="261" t="s">
        <v>522</v>
      </c>
      <c r="F43" s="539">
        <f>SUM(F7:F42)</f>
        <v>2009.6868499999998</v>
      </c>
      <c r="G43" s="540">
        <f>SUM(G7:G42)</f>
        <v>2125.1286299999997</v>
      </c>
      <c r="H43" s="540">
        <f>SUM(F43:G43)</f>
        <v>4134.815479999999</v>
      </c>
      <c r="I43" s="541">
        <f>SUM(I7:I42)</f>
        <v>3894.5529399999996</v>
      </c>
      <c r="J43" s="539">
        <f>SUM(J7:J42)</f>
        <v>240.26254000000003</v>
      </c>
    </row>
    <row r="44" spans="6:10" ht="13.5" thickTop="1">
      <c r="F44" s="542"/>
      <c r="G44" s="543" t="s">
        <v>559</v>
      </c>
      <c r="H44" s="544">
        <f>+I43*0.68+J43*0.475</f>
        <v>2762.4207057000003</v>
      </c>
      <c r="I44" s="545"/>
      <c r="J44" s="545"/>
    </row>
    <row r="45" spans="6:10" ht="13.5" thickBot="1">
      <c r="F45" s="542"/>
      <c r="G45" s="546" t="s">
        <v>560</v>
      </c>
      <c r="H45" s="547">
        <f>+H43-H44</f>
        <v>1372.394774299999</v>
      </c>
      <c r="I45" s="548"/>
      <c r="J45" s="548"/>
    </row>
    <row r="46" spans="2:6" ht="12.75">
      <c r="B46" t="s">
        <v>561</v>
      </c>
      <c r="D46" s="549" t="s">
        <v>562</v>
      </c>
      <c r="E46" t="s">
        <v>563</v>
      </c>
      <c r="F46" s="542"/>
    </row>
    <row r="47" spans="4:6" ht="12.75">
      <c r="D47" s="549" t="s">
        <v>564</v>
      </c>
      <c r="E47" t="s">
        <v>565</v>
      </c>
      <c r="F47" s="542"/>
    </row>
    <row r="48" spans="4:6" ht="12.75">
      <c r="D48" s="549" t="s">
        <v>566</v>
      </c>
      <c r="E48" t="s">
        <v>567</v>
      </c>
      <c r="F48" s="542"/>
    </row>
    <row r="49" ht="12.75">
      <c r="F49" s="542"/>
    </row>
    <row r="50" spans="5:8" ht="12.75">
      <c r="E50" s="766" t="s">
        <v>757</v>
      </c>
      <c r="F50" s="319"/>
      <c r="G50" s="319"/>
      <c r="H50" s="325">
        <f>288176.46/1000</f>
        <v>288.17646</v>
      </c>
    </row>
    <row r="51" spans="5:8" ht="12.75">
      <c r="E51" s="283" t="s">
        <v>758</v>
      </c>
      <c r="F51" s="177"/>
      <c r="G51" s="177"/>
      <c r="H51" s="767"/>
    </row>
  </sheetData>
  <printOptions/>
  <pageMargins left="0.75" right="0.75" top="1" bottom="1" header="0.5" footer="0.5"/>
  <pageSetup fitToHeight="1" fitToWidth="1" horizontalDpi="600" verticalDpi="600" orientation="portrait" scale="44" r:id="rId1"/>
  <headerFooter alignWithMargins="0">
    <oddHeader>&amp;C&amp;A</oddHeader>
  </headerFooter>
</worksheet>
</file>

<file path=xl/worksheets/sheet14.xml><?xml version="1.0" encoding="utf-8"?>
<worksheet xmlns="http://schemas.openxmlformats.org/spreadsheetml/2006/main" xmlns:r="http://schemas.openxmlformats.org/officeDocument/2006/relationships">
  <dimension ref="B1:AM40"/>
  <sheetViews>
    <sheetView workbookViewId="0" topLeftCell="A1">
      <selection activeCell="A1" sqref="A1"/>
    </sheetView>
  </sheetViews>
  <sheetFormatPr defaultColWidth="9.140625" defaultRowHeight="12.75"/>
  <cols>
    <col min="1" max="1" width="1.28515625" style="1" customWidth="1"/>
    <col min="2" max="2" width="3.140625" style="1" customWidth="1"/>
    <col min="3" max="3" width="2.00390625" style="1" customWidth="1"/>
    <col min="4" max="4" width="7.7109375" style="1" customWidth="1"/>
    <col min="5" max="5" width="7.140625" style="1" customWidth="1"/>
    <col min="6" max="6" width="12.8515625" style="1" customWidth="1"/>
    <col min="7" max="7" width="11.8515625" style="1" customWidth="1"/>
    <col min="8" max="8" width="11.421875" style="1" customWidth="1"/>
    <col min="9" max="9" width="1.421875" style="1" customWidth="1"/>
    <col min="10" max="10" width="1.8515625" style="1" customWidth="1"/>
    <col min="11" max="11" width="2.28125" style="1" customWidth="1"/>
    <col min="12" max="39" width="9.57421875" style="1" customWidth="1"/>
    <col min="40" max="16384" width="12.8515625" style="1" customWidth="1"/>
  </cols>
  <sheetData>
    <row r="1" spans="2:8" ht="23.25">
      <c r="B1" s="571" t="s">
        <v>629</v>
      </c>
      <c r="C1" s="572"/>
      <c r="D1" s="572"/>
      <c r="E1" s="572"/>
      <c r="F1" s="572"/>
      <c r="G1" s="572"/>
      <c r="H1" s="572"/>
    </row>
    <row r="2" spans="2:8" ht="23.25">
      <c r="B2" s="573" t="s">
        <v>630</v>
      </c>
      <c r="C2" s="572"/>
      <c r="D2" s="572"/>
      <c r="E2" s="572"/>
      <c r="F2" s="572"/>
      <c r="G2" s="572"/>
      <c r="H2" s="572"/>
    </row>
    <row r="7" spans="2:39" ht="12.75">
      <c r="B7" s="574"/>
      <c r="C7" s="575"/>
      <c r="D7" s="575"/>
      <c r="E7" s="575"/>
      <c r="F7" s="575"/>
      <c r="G7" s="575"/>
      <c r="H7" s="575"/>
      <c r="I7" s="575"/>
      <c r="J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row>
    <row r="8" spans="2:39" ht="13.5" thickBot="1">
      <c r="B8" s="574"/>
      <c r="C8" s="575"/>
      <c r="D8" s="575"/>
      <c r="E8" s="575"/>
      <c r="F8" s="575"/>
      <c r="G8" s="575"/>
      <c r="H8" s="577" t="s">
        <v>3</v>
      </c>
      <c r="I8"/>
      <c r="J8" s="576"/>
      <c r="L8" s="578">
        <v>2000</v>
      </c>
      <c r="M8" s="578">
        <f aca="true" t="shared" si="0" ref="M8:AM8">L8+1</f>
        <v>2001</v>
      </c>
      <c r="N8" s="578">
        <f t="shared" si="0"/>
        <v>2002</v>
      </c>
      <c r="O8" s="578">
        <f t="shared" si="0"/>
        <v>2003</v>
      </c>
      <c r="P8" s="578">
        <f t="shared" si="0"/>
        <v>2004</v>
      </c>
      <c r="Q8" s="578">
        <f t="shared" si="0"/>
        <v>2005</v>
      </c>
      <c r="R8" s="578">
        <f t="shared" si="0"/>
        <v>2006</v>
      </c>
      <c r="S8" s="578">
        <f t="shared" si="0"/>
        <v>2007</v>
      </c>
      <c r="T8" s="578">
        <f t="shared" si="0"/>
        <v>2008</v>
      </c>
      <c r="U8" s="578">
        <f t="shared" si="0"/>
        <v>2009</v>
      </c>
      <c r="V8" s="578">
        <f t="shared" si="0"/>
        <v>2010</v>
      </c>
      <c r="W8" s="578">
        <f t="shared" si="0"/>
        <v>2011</v>
      </c>
      <c r="X8" s="578">
        <f t="shared" si="0"/>
        <v>2012</v>
      </c>
      <c r="Y8" s="578">
        <f t="shared" si="0"/>
        <v>2013</v>
      </c>
      <c r="Z8" s="578">
        <f t="shared" si="0"/>
        <v>2014</v>
      </c>
      <c r="AA8" s="578">
        <f t="shared" si="0"/>
        <v>2015</v>
      </c>
      <c r="AB8" s="578">
        <f t="shared" si="0"/>
        <v>2016</v>
      </c>
      <c r="AC8" s="578">
        <f t="shared" si="0"/>
        <v>2017</v>
      </c>
      <c r="AD8" s="578">
        <f t="shared" si="0"/>
        <v>2018</v>
      </c>
      <c r="AE8" s="578">
        <f t="shared" si="0"/>
        <v>2019</v>
      </c>
      <c r="AF8" s="578">
        <f t="shared" si="0"/>
        <v>2020</v>
      </c>
      <c r="AG8" s="578">
        <f t="shared" si="0"/>
        <v>2021</v>
      </c>
      <c r="AH8" s="578">
        <f t="shared" si="0"/>
        <v>2022</v>
      </c>
      <c r="AI8" s="578">
        <f t="shared" si="0"/>
        <v>2023</v>
      </c>
      <c r="AJ8" s="578">
        <f t="shared" si="0"/>
        <v>2024</v>
      </c>
      <c r="AK8" s="578">
        <f t="shared" si="0"/>
        <v>2025</v>
      </c>
      <c r="AL8" s="578">
        <f t="shared" si="0"/>
        <v>2026</v>
      </c>
      <c r="AM8" s="578">
        <f t="shared" si="0"/>
        <v>2027</v>
      </c>
    </row>
    <row r="9" spans="2:39" ht="12.75">
      <c r="B9" s="579"/>
      <c r="C9" s="580"/>
      <c r="D9" s="580"/>
      <c r="E9" s="581"/>
      <c r="F9" s="575"/>
      <c r="G9" s="575"/>
      <c r="H9" s="585"/>
      <c r="I9"/>
      <c r="J9" s="576"/>
      <c r="L9" s="601">
        <f>L10*L11/1000</f>
        <v>120408.39140501883</v>
      </c>
      <c r="M9" s="601">
        <f aca="true" t="shared" si="1" ref="M9:AI9">M10*M11/1000</f>
        <v>121633.8789787069</v>
      </c>
      <c r="N9" s="601">
        <f t="shared" si="1"/>
        <v>119425.90665496436</v>
      </c>
      <c r="O9" s="601">
        <f t="shared" si="1"/>
        <v>123173.50181180149</v>
      </c>
      <c r="P9" s="601">
        <f t="shared" si="1"/>
        <v>68421.08933803227</v>
      </c>
      <c r="Q9" s="601">
        <f t="shared" si="1"/>
        <v>114311.35092560173</v>
      </c>
      <c r="R9" s="601">
        <f t="shared" si="1"/>
        <v>123157.41427558006</v>
      </c>
      <c r="S9" s="601">
        <f t="shared" si="1"/>
        <v>119328.19431960655</v>
      </c>
      <c r="T9" s="601">
        <f t="shared" si="1"/>
        <v>109094.85700246479</v>
      </c>
      <c r="U9" s="601">
        <f t="shared" si="1"/>
        <v>121754.38611773688</v>
      </c>
      <c r="V9" s="601">
        <f t="shared" si="1"/>
        <v>123413.16912603403</v>
      </c>
      <c r="W9" s="601">
        <f t="shared" si="1"/>
        <v>130906.79489588791</v>
      </c>
      <c r="X9" s="601">
        <f t="shared" si="1"/>
        <v>138231.87762124438</v>
      </c>
      <c r="Y9" s="601">
        <f t="shared" si="1"/>
        <v>132076.2651876515</v>
      </c>
      <c r="Z9" s="601">
        <f t="shared" si="1"/>
        <v>139985.85401735586</v>
      </c>
      <c r="AA9" s="601">
        <f t="shared" si="1"/>
        <v>142037.94594286554</v>
      </c>
      <c r="AB9" s="601">
        <f t="shared" si="1"/>
        <v>147618.0507461711</v>
      </c>
      <c r="AC9" s="601">
        <f t="shared" si="1"/>
        <v>151899.4810765968</v>
      </c>
      <c r="AD9" s="601">
        <f t="shared" si="1"/>
        <v>152454.592633004</v>
      </c>
      <c r="AE9" s="601">
        <f t="shared" si="1"/>
        <v>156619.23701725053</v>
      </c>
      <c r="AF9" s="601">
        <f t="shared" si="1"/>
        <v>157213.61484974742</v>
      </c>
      <c r="AG9" s="601">
        <f t="shared" si="1"/>
        <v>165889.35636414503</v>
      </c>
      <c r="AH9" s="601">
        <f t="shared" si="1"/>
        <v>163926.34830884094</v>
      </c>
      <c r="AI9" s="601">
        <f t="shared" si="1"/>
        <v>153790.2288359172</v>
      </c>
      <c r="AJ9" s="578"/>
      <c r="AK9" s="578"/>
      <c r="AL9" s="578"/>
      <c r="AM9" s="578"/>
    </row>
    <row r="10" spans="2:39" ht="12.75">
      <c r="B10" s="579"/>
      <c r="C10" s="580"/>
      <c r="D10" s="427" t="s">
        <v>185</v>
      </c>
      <c r="E10" s="581"/>
      <c r="F10" s="575"/>
      <c r="G10" s="575"/>
      <c r="H10" s="582"/>
      <c r="I10"/>
      <c r="J10" s="576"/>
      <c r="L10" s="600">
        <f>Inputs!J38</f>
        <v>4000000</v>
      </c>
      <c r="M10" s="600">
        <f>Inputs!K38</f>
        <v>4000000</v>
      </c>
      <c r="N10" s="600">
        <f>Inputs!L38</f>
        <v>4000000</v>
      </c>
      <c r="O10" s="600">
        <f>Inputs!M38</f>
        <v>4224615.384615385</v>
      </c>
      <c r="P10" s="600">
        <f>Inputs!N38</f>
        <v>4013384.615384615</v>
      </c>
      <c r="Q10" s="600">
        <f>Inputs!O38</f>
        <v>4119000</v>
      </c>
      <c r="R10" s="600">
        <f>Inputs!P38</f>
        <v>4119000</v>
      </c>
      <c r="S10" s="600">
        <f>Inputs!Q38</f>
        <v>4119000</v>
      </c>
      <c r="T10" s="600">
        <f>Inputs!R38</f>
        <v>4013384.615384615</v>
      </c>
      <c r="U10" s="600">
        <f>Inputs!S38</f>
        <v>3907769.230769231</v>
      </c>
      <c r="V10" s="600">
        <f>Inputs!T38</f>
        <v>3907769.230769231</v>
      </c>
      <c r="W10" s="600">
        <f>Inputs!U38</f>
        <v>3907769.230769231</v>
      </c>
      <c r="X10" s="600">
        <f>Inputs!V38</f>
        <v>4013384.615384615</v>
      </c>
      <c r="Y10" s="600">
        <f>Inputs!W38</f>
        <v>4013384.615384615</v>
      </c>
      <c r="Z10" s="600">
        <f>Inputs!X38</f>
        <v>4013384.615384615</v>
      </c>
      <c r="AA10" s="600">
        <f>Inputs!Y38</f>
        <v>4013384.615384615</v>
      </c>
      <c r="AB10" s="600">
        <f>Inputs!Z38</f>
        <v>3907769.230769231</v>
      </c>
      <c r="AC10" s="600">
        <f>Inputs!AA38</f>
        <v>4013384.615384615</v>
      </c>
      <c r="AD10" s="600">
        <f>Inputs!AB38</f>
        <v>4013384.615384615</v>
      </c>
      <c r="AE10" s="600">
        <f>Inputs!AC38</f>
        <v>4013384.615384615</v>
      </c>
      <c r="AF10" s="600">
        <f>Inputs!AD38</f>
        <v>4013384.615384615</v>
      </c>
      <c r="AG10" s="600">
        <f>Inputs!AE38</f>
        <v>4013384.615384615</v>
      </c>
      <c r="AH10" s="600">
        <f>Inputs!AF38</f>
        <v>4013384.615384615</v>
      </c>
      <c r="AI10" s="600">
        <f>Inputs!AG38</f>
        <v>4013384.615384615</v>
      </c>
      <c r="AJ10" s="600"/>
      <c r="AK10" s="600"/>
      <c r="AL10" s="600"/>
      <c r="AM10" s="600"/>
    </row>
    <row r="11" spans="2:39" ht="15">
      <c r="B11" s="579"/>
      <c r="C11" s="580"/>
      <c r="D11" s="427" t="s">
        <v>650</v>
      </c>
      <c r="E11" s="581"/>
      <c r="F11" s="575"/>
      <c r="G11" s="575"/>
      <c r="H11" s="582"/>
      <c r="I11"/>
      <c r="J11" s="576"/>
      <c r="L11" s="603">
        <v>30.102097851254708</v>
      </c>
      <c r="M11" s="603">
        <v>30.408469744676726</v>
      </c>
      <c r="N11" s="603">
        <v>29.85647666374109</v>
      </c>
      <c r="O11" s="603">
        <v>29.15614573112562</v>
      </c>
      <c r="P11" s="603">
        <v>17.04822634634913</v>
      </c>
      <c r="Q11" s="603">
        <v>27.75220949881081</v>
      </c>
      <c r="R11" s="603">
        <v>29.899833521626622</v>
      </c>
      <c r="S11" s="603">
        <v>28.970185559506326</v>
      </c>
      <c r="T11" s="603">
        <v>27.182756565186537</v>
      </c>
      <c r="U11" s="603">
        <v>31.157005167823062</v>
      </c>
      <c r="V11" s="603">
        <v>31.581488526573146</v>
      </c>
      <c r="W11" s="603">
        <v>33.49911091605564</v>
      </c>
      <c r="X11" s="603">
        <v>34.44271876942878</v>
      </c>
      <c r="Y11" s="603">
        <v>32.90894789434335</v>
      </c>
      <c r="Z11" s="603">
        <v>34.87975049307368</v>
      </c>
      <c r="AA11" s="603">
        <v>35.39106254565976</v>
      </c>
      <c r="AB11" s="603">
        <v>37.775529215964724</v>
      </c>
      <c r="AC11" s="603">
        <v>37.848224287878224</v>
      </c>
      <c r="AD11" s="603">
        <v>37.986539353491246</v>
      </c>
      <c r="AE11" s="603">
        <v>39.024228183084624</v>
      </c>
      <c r="AF11" s="603">
        <v>39.17232707951694</v>
      </c>
      <c r="AG11" s="603">
        <v>41.33402907068436</v>
      </c>
      <c r="AH11" s="603">
        <v>40.844913712096684</v>
      </c>
      <c r="AI11" s="603">
        <v>38.319334819391344</v>
      </c>
      <c r="AJ11" s="578"/>
      <c r="AK11" s="578"/>
      <c r="AL11" s="578"/>
      <c r="AM11" s="578"/>
    </row>
    <row r="12" spans="2:39" ht="12.75">
      <c r="B12" s="574">
        <v>1</v>
      </c>
      <c r="C12" s="581" t="s">
        <v>631</v>
      </c>
      <c r="D12" s="580"/>
      <c r="E12" s="583"/>
      <c r="F12" s="584"/>
      <c r="G12" s="584"/>
      <c r="H12" s="585">
        <f>SUM(L12:AM12)</f>
        <v>3196771.7874522256</v>
      </c>
      <c r="I12" s="584"/>
      <c r="J12" s="608"/>
      <c r="L12" s="585">
        <f>L10*L11/1000</f>
        <v>120408.39140501883</v>
      </c>
      <c r="M12" s="585">
        <f aca="true" t="shared" si="2" ref="M12:AM12">M10*M11/1000</f>
        <v>121633.8789787069</v>
      </c>
      <c r="N12" s="585">
        <f t="shared" si="2"/>
        <v>119425.90665496436</v>
      </c>
      <c r="O12" s="585">
        <f t="shared" si="2"/>
        <v>123173.50181180149</v>
      </c>
      <c r="P12" s="585">
        <f t="shared" si="2"/>
        <v>68421.08933803227</v>
      </c>
      <c r="Q12" s="585">
        <f t="shared" si="2"/>
        <v>114311.35092560173</v>
      </c>
      <c r="R12" s="585">
        <f t="shared" si="2"/>
        <v>123157.41427558006</v>
      </c>
      <c r="S12" s="585">
        <f t="shared" si="2"/>
        <v>119328.19431960655</v>
      </c>
      <c r="T12" s="585">
        <f t="shared" si="2"/>
        <v>109094.85700246479</v>
      </c>
      <c r="U12" s="585">
        <f t="shared" si="2"/>
        <v>121754.38611773688</v>
      </c>
      <c r="V12" s="585">
        <f t="shared" si="2"/>
        <v>123413.16912603403</v>
      </c>
      <c r="W12" s="585">
        <f t="shared" si="2"/>
        <v>130906.79489588791</v>
      </c>
      <c r="X12" s="585">
        <f t="shared" si="2"/>
        <v>138231.87762124438</v>
      </c>
      <c r="Y12" s="585">
        <f t="shared" si="2"/>
        <v>132076.2651876515</v>
      </c>
      <c r="Z12" s="585">
        <f t="shared" si="2"/>
        <v>139985.85401735586</v>
      </c>
      <c r="AA12" s="585">
        <f t="shared" si="2"/>
        <v>142037.94594286554</v>
      </c>
      <c r="AB12" s="585">
        <f t="shared" si="2"/>
        <v>147618.0507461711</v>
      </c>
      <c r="AC12" s="585">
        <f t="shared" si="2"/>
        <v>151899.4810765968</v>
      </c>
      <c r="AD12" s="585">
        <f t="shared" si="2"/>
        <v>152454.592633004</v>
      </c>
      <c r="AE12" s="585">
        <f t="shared" si="2"/>
        <v>156619.23701725053</v>
      </c>
      <c r="AF12" s="585">
        <f t="shared" si="2"/>
        <v>157213.61484974742</v>
      </c>
      <c r="AG12" s="585">
        <f t="shared" si="2"/>
        <v>165889.35636414503</v>
      </c>
      <c r="AH12" s="585">
        <f t="shared" si="2"/>
        <v>163926.34830884094</v>
      </c>
      <c r="AI12" s="585">
        <f t="shared" si="2"/>
        <v>153790.2288359172</v>
      </c>
      <c r="AJ12" s="585">
        <f t="shared" si="2"/>
        <v>0</v>
      </c>
      <c r="AK12" s="585">
        <f t="shared" si="2"/>
        <v>0</v>
      </c>
      <c r="AL12" s="585">
        <f t="shared" si="2"/>
        <v>0</v>
      </c>
      <c r="AM12" s="585">
        <f t="shared" si="2"/>
        <v>0</v>
      </c>
    </row>
    <row r="13" spans="2:39" ht="12.75">
      <c r="B13" s="574"/>
      <c r="C13" s="581" t="s">
        <v>651</v>
      </c>
      <c r="D13" s="580"/>
      <c r="E13" s="583"/>
      <c r="F13" s="584"/>
      <c r="G13" s="584"/>
      <c r="H13" s="585">
        <f>SUM(L13:AM13)</f>
        <v>186989.0182828772</v>
      </c>
      <c r="I13" s="584"/>
      <c r="J13" s="608"/>
      <c r="L13" s="602">
        <v>5208.014004</v>
      </c>
      <c r="M13" s="602">
        <v>3022.06189866</v>
      </c>
      <c r="N13" s="602">
        <v>6244.147583677396</v>
      </c>
      <c r="O13" s="602">
        <v>7255.918209251313</v>
      </c>
      <c r="P13" s="602">
        <v>7485.844018659134</v>
      </c>
      <c r="Q13" s="602">
        <v>7594.585512340462</v>
      </c>
      <c r="R13" s="602">
        <v>7686.106819527936</v>
      </c>
      <c r="S13" s="602">
        <v>7202.735448556179</v>
      </c>
      <c r="T13" s="602">
        <v>6588.246259616513</v>
      </c>
      <c r="U13" s="602">
        <v>4503.5875430911165</v>
      </c>
      <c r="V13" s="602">
        <v>7507.880066340881</v>
      </c>
      <c r="W13" s="602">
        <v>7640.092412987129</v>
      </c>
      <c r="X13" s="602">
        <v>7617.697303408284</v>
      </c>
      <c r="Y13" s="602">
        <v>7855.400931623488</v>
      </c>
      <c r="Z13" s="602">
        <v>7838.395598676001</v>
      </c>
      <c r="AA13" s="602">
        <v>7742.644740436214</v>
      </c>
      <c r="AB13" s="602">
        <v>7908.819355931427</v>
      </c>
      <c r="AC13" s="602">
        <v>7942.853075722731</v>
      </c>
      <c r="AD13" s="602">
        <v>7433.245179261159</v>
      </c>
      <c r="AE13" s="602">
        <v>10504.48599559037</v>
      </c>
      <c r="AF13" s="602">
        <v>10714.575715502178</v>
      </c>
      <c r="AG13" s="602">
        <v>10847.616615762796</v>
      </c>
      <c r="AH13" s="602">
        <v>11176.132291215148</v>
      </c>
      <c r="AI13" s="602">
        <v>11467.93170303935</v>
      </c>
      <c r="AJ13" s="585"/>
      <c r="AK13" s="585"/>
      <c r="AL13" s="585"/>
      <c r="AM13" s="585"/>
    </row>
    <row r="14" spans="2:39" ht="15">
      <c r="B14" s="574"/>
      <c r="C14" s="581" t="s">
        <v>652</v>
      </c>
      <c r="D14" s="580"/>
      <c r="E14" s="583"/>
      <c r="F14" s="584"/>
      <c r="G14" s="584"/>
      <c r="H14" s="585">
        <f>SUM(L14:AM14)</f>
        <v>15190.640974893482</v>
      </c>
      <c r="I14" s="584"/>
      <c r="J14" s="608"/>
      <c r="L14" s="174"/>
      <c r="M14" s="174"/>
      <c r="N14" s="174"/>
      <c r="O14" s="174"/>
      <c r="P14" s="174">
        <v>3126.832831448486</v>
      </c>
      <c r="Q14" s="174">
        <v>553.2510557466217</v>
      </c>
      <c r="R14" s="174">
        <v>590.7885771452642</v>
      </c>
      <c r="S14" s="174">
        <v>528.8162421901263</v>
      </c>
      <c r="T14" s="174">
        <v>445.5887278336611</v>
      </c>
      <c r="U14" s="174">
        <v>553.0110506335297</v>
      </c>
      <c r="V14" s="174">
        <v>565.4701255218308</v>
      </c>
      <c r="W14" s="174">
        <v>522.6610814645069</v>
      </c>
      <c r="X14" s="174">
        <v>583.9588928923839</v>
      </c>
      <c r="Y14" s="174">
        <v>581.8473846341045</v>
      </c>
      <c r="Z14" s="174">
        <v>597.9258034360689</v>
      </c>
      <c r="AA14" s="174">
        <v>589.2377615061746</v>
      </c>
      <c r="AB14" s="174">
        <v>604.2280185031087</v>
      </c>
      <c r="AC14" s="174">
        <v>619.9717854742282</v>
      </c>
      <c r="AD14" s="174">
        <v>569.3536618805177</v>
      </c>
      <c r="AE14" s="174">
        <v>813.7694422162866</v>
      </c>
      <c r="AF14" s="174">
        <v>817.9223275088995</v>
      </c>
      <c r="AG14" s="174">
        <v>853.7233482710988</v>
      </c>
      <c r="AH14" s="174">
        <v>859.1015558673184</v>
      </c>
      <c r="AI14" s="174">
        <v>813.1813007192675</v>
      </c>
      <c r="AJ14" s="585"/>
      <c r="AK14" s="585"/>
      <c r="AL14" s="585"/>
      <c r="AM14" s="585"/>
    </row>
    <row r="15" spans="2:39" ht="12.75">
      <c r="B15" s="574">
        <f>B12+1</f>
        <v>2</v>
      </c>
      <c r="C15" s="581" t="s">
        <v>632</v>
      </c>
      <c r="D15" s="581"/>
      <c r="E15" s="586"/>
      <c r="F15" s="584"/>
      <c r="G15" s="587"/>
      <c r="H15" s="588">
        <f>SUM(L15:AM15)</f>
        <v>202179.65925777072</v>
      </c>
      <c r="I15" s="587"/>
      <c r="J15" s="608"/>
      <c r="L15" s="589">
        <f>L13+L14</f>
        <v>5208.014004</v>
      </c>
      <c r="M15" s="589">
        <f aca="true" t="shared" si="3" ref="M15:AM15">M13+M14</f>
        <v>3022.06189866</v>
      </c>
      <c r="N15" s="589">
        <f t="shared" si="3"/>
        <v>6244.147583677396</v>
      </c>
      <c r="O15" s="589">
        <f t="shared" si="3"/>
        <v>7255.918209251313</v>
      </c>
      <c r="P15" s="589">
        <f t="shared" si="3"/>
        <v>10612.67685010762</v>
      </c>
      <c r="Q15" s="589">
        <f t="shared" si="3"/>
        <v>8147.836568087083</v>
      </c>
      <c r="R15" s="589">
        <f t="shared" si="3"/>
        <v>8276.8953966732</v>
      </c>
      <c r="S15" s="589">
        <f t="shared" si="3"/>
        <v>7731.551690746305</v>
      </c>
      <c r="T15" s="589">
        <f t="shared" si="3"/>
        <v>7033.834987450175</v>
      </c>
      <c r="U15" s="589">
        <f t="shared" si="3"/>
        <v>5056.598593724646</v>
      </c>
      <c r="V15" s="589">
        <f t="shared" si="3"/>
        <v>8073.350191862712</v>
      </c>
      <c r="W15" s="589">
        <f t="shared" si="3"/>
        <v>8162.753494451636</v>
      </c>
      <c r="X15" s="589">
        <f t="shared" si="3"/>
        <v>8201.656196300668</v>
      </c>
      <c r="Y15" s="589">
        <f t="shared" si="3"/>
        <v>8437.248316257592</v>
      </c>
      <c r="Z15" s="589">
        <f t="shared" si="3"/>
        <v>8436.32140211207</v>
      </c>
      <c r="AA15" s="589">
        <f t="shared" si="3"/>
        <v>8331.88250194239</v>
      </c>
      <c r="AB15" s="589">
        <f t="shared" si="3"/>
        <v>8513.047374434536</v>
      </c>
      <c r="AC15" s="589">
        <f t="shared" si="3"/>
        <v>8562.82486119696</v>
      </c>
      <c r="AD15" s="589">
        <f t="shared" si="3"/>
        <v>8002.5988411416765</v>
      </c>
      <c r="AE15" s="589">
        <f t="shared" si="3"/>
        <v>11318.255437806656</v>
      </c>
      <c r="AF15" s="589">
        <f t="shared" si="3"/>
        <v>11532.498043011077</v>
      </c>
      <c r="AG15" s="589">
        <f t="shared" si="3"/>
        <v>11701.339964033894</v>
      </c>
      <c r="AH15" s="589">
        <f t="shared" si="3"/>
        <v>12035.233847082467</v>
      </c>
      <c r="AI15" s="589">
        <f t="shared" si="3"/>
        <v>12281.113003758617</v>
      </c>
      <c r="AJ15" s="589">
        <f t="shared" si="3"/>
        <v>0</v>
      </c>
      <c r="AK15" s="589">
        <f t="shared" si="3"/>
        <v>0</v>
      </c>
      <c r="AL15" s="589">
        <f t="shared" si="3"/>
        <v>0</v>
      </c>
      <c r="AM15" s="589">
        <f t="shared" si="3"/>
        <v>0</v>
      </c>
    </row>
    <row r="16" spans="2:39" ht="12.75">
      <c r="B16" s="574">
        <f aca="true" t="shared" si="4" ref="B16:B30">B15+1</f>
        <v>3</v>
      </c>
      <c r="C16" s="581"/>
      <c r="D16" s="581" t="s">
        <v>633</v>
      </c>
      <c r="E16" s="583"/>
      <c r="F16" s="590"/>
      <c r="G16" s="584"/>
      <c r="H16" s="585">
        <f>SUM(L16:AM16)</f>
        <v>2994592.1281944555</v>
      </c>
      <c r="I16" s="584"/>
      <c r="J16" s="608"/>
      <c r="L16" s="585">
        <f aca="true" t="shared" si="5" ref="L16:AM16">L12-L15</f>
        <v>115200.37740101884</v>
      </c>
      <c r="M16" s="585">
        <f t="shared" si="5"/>
        <v>118611.8170800469</v>
      </c>
      <c r="N16" s="585">
        <f t="shared" si="5"/>
        <v>113181.75907128697</v>
      </c>
      <c r="O16" s="585">
        <f t="shared" si="5"/>
        <v>115917.58360255018</v>
      </c>
      <c r="P16" s="585">
        <f t="shared" si="5"/>
        <v>57808.412487924645</v>
      </c>
      <c r="Q16" s="585">
        <f t="shared" si="5"/>
        <v>106163.51435751465</v>
      </c>
      <c r="R16" s="585">
        <f t="shared" si="5"/>
        <v>114880.51887890685</v>
      </c>
      <c r="S16" s="585">
        <f t="shared" si="5"/>
        <v>111596.64262886025</v>
      </c>
      <c r="T16" s="585">
        <f t="shared" si="5"/>
        <v>102061.02201501462</v>
      </c>
      <c r="U16" s="585">
        <f t="shared" si="5"/>
        <v>116697.78752401224</v>
      </c>
      <c r="V16" s="585">
        <f t="shared" si="5"/>
        <v>115339.81893417132</v>
      </c>
      <c r="W16" s="585">
        <f t="shared" si="5"/>
        <v>122744.04140143628</v>
      </c>
      <c r="X16" s="585">
        <f t="shared" si="5"/>
        <v>130030.22142494371</v>
      </c>
      <c r="Y16" s="585">
        <f t="shared" si="5"/>
        <v>123639.0168713939</v>
      </c>
      <c r="Z16" s="585">
        <f t="shared" si="5"/>
        <v>131549.53261524378</v>
      </c>
      <c r="AA16" s="585">
        <f t="shared" si="5"/>
        <v>133706.06344092314</v>
      </c>
      <c r="AB16" s="585">
        <f t="shared" si="5"/>
        <v>139105.00337173656</v>
      </c>
      <c r="AC16" s="585">
        <f t="shared" si="5"/>
        <v>143336.65621539985</v>
      </c>
      <c r="AD16" s="585">
        <f t="shared" si="5"/>
        <v>144451.99379186233</v>
      </c>
      <c r="AE16" s="585">
        <f t="shared" si="5"/>
        <v>145300.98157944388</v>
      </c>
      <c r="AF16" s="585">
        <f t="shared" si="5"/>
        <v>145681.11680673633</v>
      </c>
      <c r="AG16" s="585">
        <f t="shared" si="5"/>
        <v>154188.01640011114</v>
      </c>
      <c r="AH16" s="585">
        <f t="shared" si="5"/>
        <v>151891.11446175847</v>
      </c>
      <c r="AI16" s="585">
        <f t="shared" si="5"/>
        <v>141509.11583215857</v>
      </c>
      <c r="AJ16" s="585">
        <f t="shared" si="5"/>
        <v>0</v>
      </c>
      <c r="AK16" s="585">
        <f t="shared" si="5"/>
        <v>0</v>
      </c>
      <c r="AL16" s="585">
        <f t="shared" si="5"/>
        <v>0</v>
      </c>
      <c r="AM16" s="585">
        <f t="shared" si="5"/>
        <v>0</v>
      </c>
    </row>
    <row r="17" spans="2:39" ht="12.75">
      <c r="B17" s="574">
        <f t="shared" si="4"/>
        <v>4</v>
      </c>
      <c r="D17" s="591">
        <v>0.1</v>
      </c>
      <c r="H17" s="592">
        <f>$D$17</f>
        <v>0.1</v>
      </c>
      <c r="J17" s="608"/>
      <c r="L17" s="592">
        <f aca="true" t="shared" si="6" ref="L17:AM17">$D$17</f>
        <v>0.1</v>
      </c>
      <c r="M17" s="592">
        <f t="shared" si="6"/>
        <v>0.1</v>
      </c>
      <c r="N17" s="592">
        <f t="shared" si="6"/>
        <v>0.1</v>
      </c>
      <c r="O17" s="592">
        <f t="shared" si="6"/>
        <v>0.1</v>
      </c>
      <c r="P17" s="592">
        <f t="shared" si="6"/>
        <v>0.1</v>
      </c>
      <c r="Q17" s="592">
        <f t="shared" si="6"/>
        <v>0.1</v>
      </c>
      <c r="R17" s="592">
        <f t="shared" si="6"/>
        <v>0.1</v>
      </c>
      <c r="S17" s="592">
        <f t="shared" si="6"/>
        <v>0.1</v>
      </c>
      <c r="T17" s="592">
        <f t="shared" si="6"/>
        <v>0.1</v>
      </c>
      <c r="U17" s="592">
        <f t="shared" si="6"/>
        <v>0.1</v>
      </c>
      <c r="V17" s="592">
        <f t="shared" si="6"/>
        <v>0.1</v>
      </c>
      <c r="W17" s="592">
        <f t="shared" si="6"/>
        <v>0.1</v>
      </c>
      <c r="X17" s="592">
        <f t="shared" si="6"/>
        <v>0.1</v>
      </c>
      <c r="Y17" s="592">
        <f t="shared" si="6"/>
        <v>0.1</v>
      </c>
      <c r="Z17" s="592">
        <f t="shared" si="6"/>
        <v>0.1</v>
      </c>
      <c r="AA17" s="592">
        <f t="shared" si="6"/>
        <v>0.1</v>
      </c>
      <c r="AB17" s="592">
        <f t="shared" si="6"/>
        <v>0.1</v>
      </c>
      <c r="AC17" s="592">
        <f t="shared" si="6"/>
        <v>0.1</v>
      </c>
      <c r="AD17" s="592">
        <f t="shared" si="6"/>
        <v>0.1</v>
      </c>
      <c r="AE17" s="592">
        <f t="shared" si="6"/>
        <v>0.1</v>
      </c>
      <c r="AF17" s="592">
        <f t="shared" si="6"/>
        <v>0.1</v>
      </c>
      <c r="AG17" s="592">
        <f t="shared" si="6"/>
        <v>0.1</v>
      </c>
      <c r="AH17" s="592">
        <f t="shared" si="6"/>
        <v>0.1</v>
      </c>
      <c r="AI17" s="592">
        <f t="shared" si="6"/>
        <v>0.1</v>
      </c>
      <c r="AJ17" s="592">
        <f t="shared" si="6"/>
        <v>0.1</v>
      </c>
      <c r="AK17" s="592">
        <f t="shared" si="6"/>
        <v>0.1</v>
      </c>
      <c r="AL17" s="592">
        <f t="shared" si="6"/>
        <v>0.1</v>
      </c>
      <c r="AM17" s="592">
        <f t="shared" si="6"/>
        <v>0.1</v>
      </c>
    </row>
    <row r="18" spans="2:39" ht="12.75">
      <c r="B18" s="574">
        <f t="shared" si="4"/>
        <v>5</v>
      </c>
      <c r="D18" s="1" t="s">
        <v>634</v>
      </c>
      <c r="H18" s="593">
        <f>SUM(L18:AM18)</f>
        <v>299459.2128194456</v>
      </c>
      <c r="J18" s="608"/>
      <c r="L18" s="593">
        <f aca="true" t="shared" si="7" ref="L18:AM18">L16*L17</f>
        <v>11520.037740101885</v>
      </c>
      <c r="M18" s="593">
        <f t="shared" si="7"/>
        <v>11861.18170800469</v>
      </c>
      <c r="N18" s="593">
        <f t="shared" si="7"/>
        <v>11318.175907128698</v>
      </c>
      <c r="O18" s="593">
        <f t="shared" si="7"/>
        <v>11591.758360255018</v>
      </c>
      <c r="P18" s="593">
        <f t="shared" si="7"/>
        <v>5780.841248792465</v>
      </c>
      <c r="Q18" s="593">
        <f t="shared" si="7"/>
        <v>10616.351435751465</v>
      </c>
      <c r="R18" s="593">
        <f t="shared" si="7"/>
        <v>11488.051887890686</v>
      </c>
      <c r="S18" s="593">
        <f t="shared" si="7"/>
        <v>11159.664262886026</v>
      </c>
      <c r="T18" s="593">
        <f t="shared" si="7"/>
        <v>10206.102201501462</v>
      </c>
      <c r="U18" s="593">
        <f t="shared" si="7"/>
        <v>11669.778752401224</v>
      </c>
      <c r="V18" s="593">
        <f t="shared" si="7"/>
        <v>11533.981893417133</v>
      </c>
      <c r="W18" s="593">
        <f t="shared" si="7"/>
        <v>12274.404140143628</v>
      </c>
      <c r="X18" s="593">
        <f t="shared" si="7"/>
        <v>13003.022142494372</v>
      </c>
      <c r="Y18" s="593">
        <f t="shared" si="7"/>
        <v>12363.90168713939</v>
      </c>
      <c r="Z18" s="593">
        <f t="shared" si="7"/>
        <v>13154.953261524379</v>
      </c>
      <c r="AA18" s="593">
        <f t="shared" si="7"/>
        <v>13370.606344092315</v>
      </c>
      <c r="AB18" s="593">
        <f t="shared" si="7"/>
        <v>13910.500337173657</v>
      </c>
      <c r="AC18" s="593">
        <f t="shared" si="7"/>
        <v>14333.665621539985</v>
      </c>
      <c r="AD18" s="593">
        <f t="shared" si="7"/>
        <v>14445.199379186233</v>
      </c>
      <c r="AE18" s="593">
        <f t="shared" si="7"/>
        <v>14530.098157944389</v>
      </c>
      <c r="AF18" s="593">
        <f t="shared" si="7"/>
        <v>14568.111680673634</v>
      </c>
      <c r="AG18" s="593">
        <f t="shared" si="7"/>
        <v>15418.801640011116</v>
      </c>
      <c r="AH18" s="593">
        <f t="shared" si="7"/>
        <v>15189.111446175848</v>
      </c>
      <c r="AI18" s="593">
        <f t="shared" si="7"/>
        <v>14150.911583215857</v>
      </c>
      <c r="AJ18" s="593">
        <f t="shared" si="7"/>
        <v>0</v>
      </c>
      <c r="AK18" s="593">
        <f t="shared" si="7"/>
        <v>0</v>
      </c>
      <c r="AL18" s="593">
        <f t="shared" si="7"/>
        <v>0</v>
      </c>
      <c r="AM18" s="593">
        <f t="shared" si="7"/>
        <v>0</v>
      </c>
    </row>
    <row r="19" spans="2:19" ht="12.75">
      <c r="B19" s="574">
        <f t="shared" si="4"/>
        <v>6</v>
      </c>
      <c r="C19" s="1" t="s">
        <v>635</v>
      </c>
      <c r="J19" s="608"/>
      <c r="S19" s="4"/>
    </row>
    <row r="20" spans="2:39" ht="12.75">
      <c r="B20" s="574">
        <f t="shared" si="4"/>
        <v>7</v>
      </c>
      <c r="D20" s="1" t="s">
        <v>636</v>
      </c>
      <c r="H20" s="585">
        <f aca="true" t="shared" si="8" ref="H20:H28">SUM(L20:AM20)</f>
        <v>3256055.964740483</v>
      </c>
      <c r="I20"/>
      <c r="J20" s="608"/>
      <c r="L20" s="594">
        <v>98047.34305517456</v>
      </c>
      <c r="M20" s="594">
        <v>100442.24133612022</v>
      </c>
      <c r="N20" s="594">
        <v>102527.04091506997</v>
      </c>
      <c r="O20" s="594">
        <v>110991.98527544137</v>
      </c>
      <c r="P20" s="594">
        <v>108210.2529938802</v>
      </c>
      <c r="Q20" s="594">
        <v>113932.66929786174</v>
      </c>
      <c r="R20" s="594">
        <v>116824.50765479873</v>
      </c>
      <c r="S20" s="594">
        <v>119736.99943535184</v>
      </c>
      <c r="T20" s="594">
        <v>119571.25780876262</v>
      </c>
      <c r="U20" s="594">
        <v>119383.5577527046</v>
      </c>
      <c r="V20" s="594">
        <v>122507.62299068196</v>
      </c>
      <c r="W20" s="594">
        <v>125745.77518250277</v>
      </c>
      <c r="X20" s="594">
        <v>132518.67135682353</v>
      </c>
      <c r="Y20" s="594">
        <v>136132.93995589495</v>
      </c>
      <c r="Z20" s="594">
        <v>139903.2161375478</v>
      </c>
      <c r="AA20" s="594">
        <v>143980.84745594734</v>
      </c>
      <c r="AB20" s="594">
        <v>144529.1788418793</v>
      </c>
      <c r="AC20" s="594">
        <v>153219.9458479729</v>
      </c>
      <c r="AD20" s="594">
        <v>158443.07139949207</v>
      </c>
      <c r="AE20" s="594">
        <v>164143.2639033722</v>
      </c>
      <c r="AF20" s="594">
        <v>170517.55579637692</v>
      </c>
      <c r="AG20" s="594">
        <v>177311.3413393886</v>
      </c>
      <c r="AH20" s="594">
        <v>184707.57061322336</v>
      </c>
      <c r="AI20" s="594">
        <v>192727.10839421404</v>
      </c>
      <c r="AJ20" s="594">
        <v>0</v>
      </c>
      <c r="AK20" s="594">
        <v>0</v>
      </c>
      <c r="AL20" s="594">
        <v>0</v>
      </c>
      <c r="AM20" s="594">
        <v>0</v>
      </c>
    </row>
    <row r="21" spans="2:39" ht="12.75">
      <c r="B21" s="574">
        <f>B20+1</f>
        <v>8</v>
      </c>
      <c r="D21" s="1" t="s">
        <v>637</v>
      </c>
      <c r="H21" s="585">
        <f t="shared" si="8"/>
        <v>396576.08287965256</v>
      </c>
      <c r="J21" s="608"/>
      <c r="L21" s="604">
        <v>5047</v>
      </c>
      <c r="M21" s="604">
        <v>5198.41</v>
      </c>
      <c r="N21" s="604">
        <v>12347.8151</v>
      </c>
      <c r="O21" s="604">
        <v>12380.596910000002</v>
      </c>
      <c r="P21" s="604">
        <v>12752.014817300002</v>
      </c>
      <c r="Q21" s="604">
        <v>14328.627558348002</v>
      </c>
      <c r="R21" s="604">
        <v>22137.729577647664</v>
      </c>
      <c r="S21" s="604">
        <v>24195.308554503474</v>
      </c>
      <c r="T21" s="604">
        <v>23877.349264075183</v>
      </c>
      <c r="U21" s="604">
        <v>24593.669741997437</v>
      </c>
      <c r="V21" s="604">
        <v>28930.487898140917</v>
      </c>
      <c r="W21" s="604">
        <v>32792.50039746212</v>
      </c>
      <c r="X21" s="604">
        <v>33923.128780731146</v>
      </c>
      <c r="Y21" s="604">
        <v>27377.874019877527</v>
      </c>
      <c r="Z21" s="604">
        <v>16358.657874308037</v>
      </c>
      <c r="AA21" s="604">
        <v>19577.418557005218</v>
      </c>
      <c r="AB21" s="604">
        <v>826.423816135876</v>
      </c>
      <c r="AC21" s="604">
        <v>11917.031428679331</v>
      </c>
      <c r="AD21" s="604">
        <v>175.3506053077102</v>
      </c>
      <c r="AE21" s="604">
        <v>180.61112346694154</v>
      </c>
      <c r="AF21" s="604">
        <v>5952.942629470393</v>
      </c>
      <c r="AG21" s="604">
        <v>191.6103408860783</v>
      </c>
      <c r="AH21" s="604">
        <v>18551.7132045901</v>
      </c>
      <c r="AI21" s="604">
        <v>25754.384240565945</v>
      </c>
      <c r="AJ21" s="604">
        <v>16540.845644268313</v>
      </c>
      <c r="AK21" s="604">
        <v>215.65912675438435</v>
      </c>
      <c r="AL21" s="604">
        <v>222.12890055701587</v>
      </c>
      <c r="AM21" s="604">
        <v>228.79276757372637</v>
      </c>
    </row>
    <row r="22" spans="2:39" ht="12.75">
      <c r="B22" s="574">
        <f t="shared" si="4"/>
        <v>9</v>
      </c>
      <c r="D22" s="1" t="s">
        <v>638</v>
      </c>
      <c r="H22" s="585">
        <f t="shared" si="8"/>
        <v>0</v>
      </c>
      <c r="J22" s="608"/>
      <c r="L22" s="604">
        <v>0</v>
      </c>
      <c r="M22" s="595">
        <v>0</v>
      </c>
      <c r="N22" s="595">
        <v>0</v>
      </c>
      <c r="O22" s="595">
        <v>0</v>
      </c>
      <c r="P22" s="595">
        <v>0</v>
      </c>
      <c r="Q22" s="595">
        <v>0</v>
      </c>
      <c r="R22" s="595">
        <v>0</v>
      </c>
      <c r="S22" s="595">
        <v>0</v>
      </c>
      <c r="T22" s="595">
        <v>0</v>
      </c>
      <c r="U22" s="595">
        <v>0</v>
      </c>
      <c r="V22" s="595">
        <v>0</v>
      </c>
      <c r="W22" s="595">
        <v>0</v>
      </c>
      <c r="X22" s="595">
        <v>0</v>
      </c>
      <c r="Y22" s="595">
        <v>0</v>
      </c>
      <c r="Z22" s="595">
        <v>0</v>
      </c>
      <c r="AA22" s="595">
        <v>0</v>
      </c>
      <c r="AB22" s="595">
        <v>0</v>
      </c>
      <c r="AC22" s="595">
        <v>0</v>
      </c>
      <c r="AD22" s="595">
        <v>0</v>
      </c>
      <c r="AE22" s="595">
        <v>0</v>
      </c>
      <c r="AF22" s="595">
        <v>0</v>
      </c>
      <c r="AG22" s="595">
        <v>0</v>
      </c>
      <c r="AH22" s="595">
        <v>0</v>
      </c>
      <c r="AI22" s="595">
        <v>0</v>
      </c>
      <c r="AJ22" s="595">
        <v>0</v>
      </c>
      <c r="AK22" s="595">
        <v>0</v>
      </c>
      <c r="AL22" s="595">
        <v>0</v>
      </c>
      <c r="AM22" s="595">
        <v>0</v>
      </c>
    </row>
    <row r="23" spans="2:39" ht="12.75">
      <c r="B23" s="574">
        <f t="shared" si="4"/>
        <v>10</v>
      </c>
      <c r="D23" s="1" t="s">
        <v>639</v>
      </c>
      <c r="H23" s="585">
        <f t="shared" si="8"/>
        <v>289691.5777593232</v>
      </c>
      <c r="J23" s="608"/>
      <c r="L23" s="605">
        <v>6033.893450692611</v>
      </c>
      <c r="M23" s="605">
        <v>8857.26026392103</v>
      </c>
      <c r="N23" s="605">
        <v>11370.983917576688</v>
      </c>
      <c r="O23" s="605">
        <v>12818.673124750927</v>
      </c>
      <c r="P23" s="605">
        <v>12901.729001901813</v>
      </c>
      <c r="Q23" s="605">
        <v>12812.387554201041</v>
      </c>
      <c r="R23" s="605">
        <v>12835.295243094679</v>
      </c>
      <c r="S23" s="605">
        <v>11540.179336813011</v>
      </c>
      <c r="T23" s="605">
        <v>11154.422384025202</v>
      </c>
      <c r="U23" s="605">
        <v>10732.650848966683</v>
      </c>
      <c r="V23" s="605">
        <v>10460.406128503051</v>
      </c>
      <c r="W23" s="605">
        <v>10586.208012758976</v>
      </c>
      <c r="X23" s="605">
        <v>10903.4681076236</v>
      </c>
      <c r="Y23" s="605">
        <v>11230.24600533416</v>
      </c>
      <c r="Z23" s="605">
        <v>11566.827239976039</v>
      </c>
      <c r="AA23" s="605">
        <v>11913.505911657176</v>
      </c>
      <c r="AB23" s="605">
        <v>12270.584943488742</v>
      </c>
      <c r="AC23" s="605">
        <v>12638.37634627526</v>
      </c>
      <c r="AD23" s="605">
        <v>13017.201491145372</v>
      </c>
      <c r="AE23" s="605">
        <v>13407.391390361585</v>
      </c>
      <c r="AF23" s="605">
        <v>13277.614797959714</v>
      </c>
      <c r="AG23" s="605">
        <v>12216.822460904636</v>
      </c>
      <c r="AH23" s="605">
        <v>10424.27851348965</v>
      </c>
      <c r="AI23" s="605">
        <v>24721.1712839015</v>
      </c>
      <c r="AJ23" s="605">
        <v>0</v>
      </c>
      <c r="AK23" s="605">
        <v>0</v>
      </c>
      <c r="AL23" s="605">
        <v>0</v>
      </c>
      <c r="AM23" s="605">
        <v>0</v>
      </c>
    </row>
    <row r="24" spans="2:39" ht="12.75">
      <c r="B24" s="574">
        <f t="shared" si="4"/>
        <v>11</v>
      </c>
      <c r="D24" s="1" t="s">
        <v>640</v>
      </c>
      <c r="H24" s="585">
        <f t="shared" si="8"/>
        <v>0</v>
      </c>
      <c r="J24" s="608"/>
      <c r="L24" s="605">
        <v>0</v>
      </c>
      <c r="M24" s="594">
        <v>0</v>
      </c>
      <c r="N24" s="594">
        <v>0</v>
      </c>
      <c r="O24" s="594">
        <v>0</v>
      </c>
      <c r="P24" s="594">
        <v>0</v>
      </c>
      <c r="Q24" s="594">
        <v>0</v>
      </c>
      <c r="R24" s="594">
        <v>0</v>
      </c>
      <c r="S24" s="594">
        <v>0</v>
      </c>
      <c r="T24" s="594">
        <v>0</v>
      </c>
      <c r="U24" s="594">
        <v>0</v>
      </c>
      <c r="V24" s="594">
        <v>0</v>
      </c>
      <c r="W24" s="594">
        <v>0</v>
      </c>
      <c r="X24" s="594">
        <v>0</v>
      </c>
      <c r="Y24" s="594">
        <v>0</v>
      </c>
      <c r="Z24" s="594">
        <v>0</v>
      </c>
      <c r="AA24" s="594">
        <v>0</v>
      </c>
      <c r="AB24" s="594">
        <v>0</v>
      </c>
      <c r="AC24" s="594">
        <v>0</v>
      </c>
      <c r="AD24" s="594">
        <v>0</v>
      </c>
      <c r="AE24" s="594">
        <v>0</v>
      </c>
      <c r="AF24" s="594">
        <v>0</v>
      </c>
      <c r="AG24" s="594">
        <v>0</v>
      </c>
      <c r="AH24" s="594">
        <v>0</v>
      </c>
      <c r="AI24" s="594">
        <v>0</v>
      </c>
      <c r="AJ24" s="594">
        <v>0</v>
      </c>
      <c r="AK24" s="594">
        <v>0</v>
      </c>
      <c r="AL24" s="594">
        <v>0</v>
      </c>
      <c r="AM24" s="594">
        <v>0</v>
      </c>
    </row>
    <row r="25" spans="2:39" ht="12.75">
      <c r="B25" s="574">
        <f t="shared" si="4"/>
        <v>12</v>
      </c>
      <c r="D25" s="1" t="s">
        <v>641</v>
      </c>
      <c r="H25" s="585">
        <f t="shared" si="8"/>
        <v>0</v>
      </c>
      <c r="J25" s="608"/>
      <c r="L25" s="604">
        <v>0</v>
      </c>
      <c r="M25" s="604">
        <v>0</v>
      </c>
      <c r="N25" s="604">
        <v>0</v>
      </c>
      <c r="O25" s="604">
        <v>0</v>
      </c>
      <c r="P25" s="604">
        <v>0</v>
      </c>
      <c r="Q25" s="604">
        <v>0</v>
      </c>
      <c r="R25" s="604">
        <v>0</v>
      </c>
      <c r="S25" s="604">
        <v>0</v>
      </c>
      <c r="T25" s="604">
        <v>0</v>
      </c>
      <c r="U25" s="604">
        <v>0</v>
      </c>
      <c r="V25" s="604">
        <v>0</v>
      </c>
      <c r="W25" s="604">
        <v>0</v>
      </c>
      <c r="X25" s="604">
        <v>0</v>
      </c>
      <c r="Y25" s="604">
        <v>0</v>
      </c>
      <c r="Z25" s="604">
        <v>0</v>
      </c>
      <c r="AA25" s="604">
        <v>0</v>
      </c>
      <c r="AB25" s="604">
        <v>0</v>
      </c>
      <c r="AC25" s="604">
        <v>0</v>
      </c>
      <c r="AD25" s="604">
        <v>0</v>
      </c>
      <c r="AE25" s="604">
        <v>0</v>
      </c>
      <c r="AF25" s="604">
        <v>0</v>
      </c>
      <c r="AG25" s="604">
        <v>0</v>
      </c>
      <c r="AH25" s="604">
        <v>0</v>
      </c>
      <c r="AI25" s="604">
        <v>0</v>
      </c>
      <c r="AJ25" s="604">
        <v>0</v>
      </c>
      <c r="AK25" s="604">
        <v>0</v>
      </c>
      <c r="AL25" s="604">
        <v>0</v>
      </c>
      <c r="AM25" s="604">
        <v>0</v>
      </c>
    </row>
    <row r="26" spans="2:39" ht="12.75">
      <c r="B26" s="574">
        <f t="shared" si="4"/>
        <v>13</v>
      </c>
      <c r="D26" s="1" t="s">
        <v>642</v>
      </c>
      <c r="H26" s="585">
        <f t="shared" si="8"/>
        <v>0</v>
      </c>
      <c r="J26" s="608"/>
      <c r="L26" s="604">
        <v>0</v>
      </c>
      <c r="M26" s="604">
        <v>0</v>
      </c>
      <c r="N26" s="604">
        <v>0</v>
      </c>
      <c r="O26" s="604">
        <v>0</v>
      </c>
      <c r="P26" s="604">
        <v>0</v>
      </c>
      <c r="Q26" s="604">
        <v>0</v>
      </c>
      <c r="R26" s="604">
        <v>0</v>
      </c>
      <c r="S26" s="604">
        <v>0</v>
      </c>
      <c r="T26" s="604">
        <v>0</v>
      </c>
      <c r="U26" s="604">
        <v>0</v>
      </c>
      <c r="V26" s="604">
        <v>0</v>
      </c>
      <c r="W26" s="604">
        <v>0</v>
      </c>
      <c r="X26" s="604">
        <v>0</v>
      </c>
      <c r="Y26" s="604">
        <v>0</v>
      </c>
      <c r="Z26" s="604">
        <v>0</v>
      </c>
      <c r="AA26" s="604">
        <v>0</v>
      </c>
      <c r="AB26" s="604">
        <v>0</v>
      </c>
      <c r="AC26" s="604">
        <v>0</v>
      </c>
      <c r="AD26" s="604">
        <v>0</v>
      </c>
      <c r="AE26" s="604">
        <v>0</v>
      </c>
      <c r="AF26" s="604">
        <v>0</v>
      </c>
      <c r="AG26" s="604">
        <v>0</v>
      </c>
      <c r="AH26" s="604">
        <v>0</v>
      </c>
      <c r="AI26" s="604">
        <v>0</v>
      </c>
      <c r="AJ26" s="604">
        <v>0</v>
      </c>
      <c r="AK26" s="604">
        <v>0</v>
      </c>
      <c r="AL26" s="604">
        <v>0</v>
      </c>
      <c r="AM26" s="604">
        <v>0</v>
      </c>
    </row>
    <row r="27" spans="2:39" ht="12.75">
      <c r="B27" s="574">
        <f t="shared" si="4"/>
        <v>14</v>
      </c>
      <c r="D27" s="1" t="s">
        <v>643</v>
      </c>
      <c r="H27" s="585">
        <f t="shared" si="8"/>
        <v>0</v>
      </c>
      <c r="J27" s="608"/>
      <c r="L27" s="604">
        <v>0</v>
      </c>
      <c r="M27" s="604">
        <v>0</v>
      </c>
      <c r="N27" s="604">
        <v>0</v>
      </c>
      <c r="O27" s="604">
        <v>0</v>
      </c>
      <c r="P27" s="604">
        <v>0</v>
      </c>
      <c r="Q27" s="604">
        <v>0</v>
      </c>
      <c r="R27" s="604">
        <v>0</v>
      </c>
      <c r="S27" s="604">
        <v>0</v>
      </c>
      <c r="T27" s="604">
        <v>0</v>
      </c>
      <c r="U27" s="604">
        <v>0</v>
      </c>
      <c r="V27" s="604">
        <v>0</v>
      </c>
      <c r="W27" s="604">
        <v>0</v>
      </c>
      <c r="X27" s="604">
        <v>0</v>
      </c>
      <c r="Y27" s="604">
        <v>0</v>
      </c>
      <c r="Z27" s="604">
        <v>0</v>
      </c>
      <c r="AA27" s="604">
        <v>0</v>
      </c>
      <c r="AB27" s="604">
        <v>0</v>
      </c>
      <c r="AC27" s="604">
        <v>0</v>
      </c>
      <c r="AD27" s="604">
        <v>0</v>
      </c>
      <c r="AE27" s="604">
        <v>0</v>
      </c>
      <c r="AF27" s="604">
        <v>0</v>
      </c>
      <c r="AG27" s="604">
        <v>0</v>
      </c>
      <c r="AH27" s="604">
        <v>0</v>
      </c>
      <c r="AI27" s="604">
        <v>0</v>
      </c>
      <c r="AJ27" s="604">
        <v>0</v>
      </c>
      <c r="AK27" s="604">
        <v>0</v>
      </c>
      <c r="AL27" s="604">
        <v>0</v>
      </c>
      <c r="AM27" s="604">
        <v>0</v>
      </c>
    </row>
    <row r="28" spans="2:39" ht="18">
      <c r="B28" s="574">
        <f t="shared" si="4"/>
        <v>15</v>
      </c>
      <c r="D28" s="1" t="s">
        <v>644</v>
      </c>
      <c r="F28" s="596" t="s">
        <v>235</v>
      </c>
      <c r="H28" s="585">
        <f t="shared" si="8"/>
        <v>0</v>
      </c>
      <c r="J28" s="608"/>
      <c r="L28" s="606">
        <v>0</v>
      </c>
      <c r="M28" s="606">
        <v>0</v>
      </c>
      <c r="N28" s="606">
        <v>0</v>
      </c>
      <c r="O28" s="606">
        <v>0</v>
      </c>
      <c r="P28" s="606">
        <v>0</v>
      </c>
      <c r="Q28" s="606">
        <v>0</v>
      </c>
      <c r="R28" s="606">
        <v>0</v>
      </c>
      <c r="S28" s="606">
        <v>0</v>
      </c>
      <c r="T28" s="606">
        <v>0</v>
      </c>
      <c r="U28" s="606">
        <v>0</v>
      </c>
      <c r="V28" s="606">
        <v>0</v>
      </c>
      <c r="W28" s="606">
        <v>0</v>
      </c>
      <c r="X28" s="606">
        <v>0</v>
      </c>
      <c r="Y28" s="606">
        <v>0</v>
      </c>
      <c r="Z28" s="606">
        <v>0</v>
      </c>
      <c r="AA28" s="606">
        <v>0</v>
      </c>
      <c r="AB28" s="606">
        <v>0</v>
      </c>
      <c r="AC28" s="606">
        <v>0</v>
      </c>
      <c r="AD28" s="606">
        <v>0</v>
      </c>
      <c r="AE28" s="606">
        <v>0</v>
      </c>
      <c r="AF28" s="606">
        <v>0</v>
      </c>
      <c r="AG28" s="606">
        <v>0</v>
      </c>
      <c r="AH28" s="606">
        <v>0</v>
      </c>
      <c r="AI28" s="606">
        <v>0</v>
      </c>
      <c r="AJ28" s="606">
        <v>0</v>
      </c>
      <c r="AK28" s="606">
        <v>0</v>
      </c>
      <c r="AL28" s="606">
        <v>0</v>
      </c>
      <c r="AM28" s="606">
        <v>0</v>
      </c>
    </row>
    <row r="29" spans="2:39" ht="15">
      <c r="B29" s="574">
        <f t="shared" si="4"/>
        <v>16</v>
      </c>
      <c r="D29" s="1" t="s">
        <v>645</v>
      </c>
      <c r="H29" s="588">
        <f>SUM(L29:AM29)</f>
        <v>21130.15443991144</v>
      </c>
      <c r="J29" s="608"/>
      <c r="L29" s="607">
        <v>-255</v>
      </c>
      <c r="M29" s="607">
        <v>-260.1</v>
      </c>
      <c r="N29" s="607">
        <v>-604.88856</v>
      </c>
      <c r="O29" s="607">
        <v>854.9361150614999</v>
      </c>
      <c r="P29" s="607">
        <v>833.3030694082497</v>
      </c>
      <c r="Q29" s="607">
        <v>903.385148241135</v>
      </c>
      <c r="R29" s="607">
        <v>811.5390739734261</v>
      </c>
      <c r="S29" s="607">
        <v>827.4404424880375</v>
      </c>
      <c r="T29" s="607">
        <v>843.6646912280162</v>
      </c>
      <c r="U29" s="607">
        <v>601.1778391312837</v>
      </c>
      <c r="V29" s="607">
        <v>480.75631346439263</v>
      </c>
      <c r="W29" s="607">
        <v>220.32319202405392</v>
      </c>
      <c r="X29" s="607">
        <v>353.5109679404186</v>
      </c>
      <c r="Y29" s="607">
        <v>880.3708835082361</v>
      </c>
      <c r="Z29" s="607">
        <v>1156.6357541593366</v>
      </c>
      <c r="AA29" s="607">
        <v>959.950710516884</v>
      </c>
      <c r="AB29" s="607">
        <v>1540.2749002759774</v>
      </c>
      <c r="AC29" s="607">
        <v>1230.1786792585401</v>
      </c>
      <c r="AD29" s="607">
        <v>1718.9604272668475</v>
      </c>
      <c r="AE29" s="607">
        <v>1739.5999177798774</v>
      </c>
      <c r="AF29" s="607">
        <v>1795.790294714585</v>
      </c>
      <c r="AG29" s="607">
        <v>1877.3529253352065</v>
      </c>
      <c r="AH29" s="607">
        <v>1220.9636956616312</v>
      </c>
      <c r="AI29" s="607">
        <v>1400.027958473805</v>
      </c>
      <c r="AJ29" s="607">
        <v>0</v>
      </c>
      <c r="AK29" s="607">
        <v>0</v>
      </c>
      <c r="AL29" s="607">
        <v>0</v>
      </c>
      <c r="AM29" s="607">
        <v>0</v>
      </c>
    </row>
    <row r="30" spans="2:39" ht="12.75">
      <c r="B30" s="574">
        <f t="shared" si="4"/>
        <v>17</v>
      </c>
      <c r="D30" t="s">
        <v>646</v>
      </c>
      <c r="H30" s="4">
        <f>SUM(L30:AM30)</f>
        <v>3963453.77981937</v>
      </c>
      <c r="J30" s="608"/>
      <c r="L30" s="4">
        <f aca="true" t="shared" si="9" ref="L30:AM30">SUM(L20:L29)</f>
        <v>108873.23650586717</v>
      </c>
      <c r="M30" s="4">
        <f t="shared" si="9"/>
        <v>114237.81160004126</v>
      </c>
      <c r="N30" s="4">
        <f t="shared" si="9"/>
        <v>125640.95137264664</v>
      </c>
      <c r="O30" s="4">
        <f t="shared" si="9"/>
        <v>137046.19142525378</v>
      </c>
      <c r="P30" s="4">
        <f t="shared" si="9"/>
        <v>134697.29988249028</v>
      </c>
      <c r="Q30" s="4">
        <f t="shared" si="9"/>
        <v>141977.0695586519</v>
      </c>
      <c r="R30" s="4">
        <f t="shared" si="9"/>
        <v>152609.07154951448</v>
      </c>
      <c r="S30" s="4">
        <f t="shared" si="9"/>
        <v>156299.92776915638</v>
      </c>
      <c r="T30" s="4">
        <f t="shared" si="9"/>
        <v>155446.69414809102</v>
      </c>
      <c r="U30" s="4">
        <f t="shared" si="9"/>
        <v>155311.05618279998</v>
      </c>
      <c r="V30" s="4">
        <f t="shared" si="9"/>
        <v>162379.27333079034</v>
      </c>
      <c r="W30" s="4">
        <f t="shared" si="9"/>
        <v>169344.80678474793</v>
      </c>
      <c r="X30" s="4">
        <f t="shared" si="9"/>
        <v>177698.7792131187</v>
      </c>
      <c r="Y30" s="4">
        <f t="shared" si="9"/>
        <v>175621.43086461487</v>
      </c>
      <c r="Z30" s="4">
        <f t="shared" si="9"/>
        <v>168985.3370059912</v>
      </c>
      <c r="AA30" s="4">
        <f t="shared" si="9"/>
        <v>176431.7226351266</v>
      </c>
      <c r="AB30" s="4">
        <f t="shared" si="9"/>
        <v>159166.4625017799</v>
      </c>
      <c r="AC30" s="4">
        <f t="shared" si="9"/>
        <v>179005.53230218604</v>
      </c>
      <c r="AD30" s="4">
        <f t="shared" si="9"/>
        <v>173354.58392321196</v>
      </c>
      <c r="AE30" s="4">
        <f t="shared" si="9"/>
        <v>179470.86633498062</v>
      </c>
      <c r="AF30" s="4">
        <f t="shared" si="9"/>
        <v>191543.90351852163</v>
      </c>
      <c r="AG30" s="4">
        <f t="shared" si="9"/>
        <v>191597.1270665145</v>
      </c>
      <c r="AH30" s="4">
        <f t="shared" si="9"/>
        <v>214904.52602696474</v>
      </c>
      <c r="AI30" s="4">
        <f t="shared" si="9"/>
        <v>244602.69187715527</v>
      </c>
      <c r="AJ30" s="4">
        <f t="shared" si="9"/>
        <v>16540.845644268313</v>
      </c>
      <c r="AK30" s="4">
        <f t="shared" si="9"/>
        <v>215.65912675438435</v>
      </c>
      <c r="AL30" s="4">
        <f t="shared" si="9"/>
        <v>222.12890055701587</v>
      </c>
      <c r="AM30" s="4">
        <f t="shared" si="9"/>
        <v>228.79276757372637</v>
      </c>
    </row>
    <row r="31" spans="2:39" ht="12.75">
      <c r="B31" s="574">
        <f>B30+1</f>
        <v>18</v>
      </c>
      <c r="D31" s="1" t="s">
        <v>647</v>
      </c>
      <c r="H31" s="4">
        <f>SUM(L31:AM31)</f>
        <v>-968861.651624915</v>
      </c>
      <c r="J31" s="608"/>
      <c r="L31" s="4">
        <f aca="true" t="shared" si="10" ref="L31:AM31">L16-L30</f>
        <v>6327.140895151664</v>
      </c>
      <c r="M31" s="4">
        <f t="shared" si="10"/>
        <v>4374.005480005639</v>
      </c>
      <c r="N31" s="4">
        <f t="shared" si="10"/>
        <v>-12459.192301359668</v>
      </c>
      <c r="O31" s="4">
        <f t="shared" si="10"/>
        <v>-21128.607822703605</v>
      </c>
      <c r="P31" s="4">
        <f t="shared" si="10"/>
        <v>-76888.88739456562</v>
      </c>
      <c r="Q31" s="4">
        <f t="shared" si="10"/>
        <v>-35813.555201137264</v>
      </c>
      <c r="R31" s="4">
        <f t="shared" si="10"/>
        <v>-37728.552670607634</v>
      </c>
      <c r="S31" s="4">
        <f t="shared" si="10"/>
        <v>-44703.285140296124</v>
      </c>
      <c r="T31" s="4">
        <f t="shared" si="10"/>
        <v>-53385.6721330764</v>
      </c>
      <c r="U31" s="4">
        <f t="shared" si="10"/>
        <v>-38613.26865878774</v>
      </c>
      <c r="V31" s="4">
        <f t="shared" si="10"/>
        <v>-47039.454396619025</v>
      </c>
      <c r="W31" s="4">
        <f t="shared" si="10"/>
        <v>-46600.76538331165</v>
      </c>
      <c r="X31" s="4">
        <f t="shared" si="10"/>
        <v>-47668.55778817498</v>
      </c>
      <c r="Y31" s="4">
        <f t="shared" si="10"/>
        <v>-51982.413993220965</v>
      </c>
      <c r="Z31" s="4">
        <f t="shared" si="10"/>
        <v>-37435.80439074742</v>
      </c>
      <c r="AA31" s="4">
        <f t="shared" si="10"/>
        <v>-42725.65919420347</v>
      </c>
      <c r="AB31" s="4">
        <f t="shared" si="10"/>
        <v>-20061.45913004334</v>
      </c>
      <c r="AC31" s="4">
        <f t="shared" si="10"/>
        <v>-35668.876086786186</v>
      </c>
      <c r="AD31" s="4">
        <f t="shared" si="10"/>
        <v>-28902.59013134963</v>
      </c>
      <c r="AE31" s="4">
        <f t="shared" si="10"/>
        <v>-34169.88475553674</v>
      </c>
      <c r="AF31" s="4">
        <f t="shared" si="10"/>
        <v>-45862.7867117853</v>
      </c>
      <c r="AG31" s="4">
        <f t="shared" si="10"/>
        <v>-37409.11066640337</v>
      </c>
      <c r="AH31" s="4">
        <f t="shared" si="10"/>
        <v>-63013.411565206276</v>
      </c>
      <c r="AI31" s="4">
        <f t="shared" si="10"/>
        <v>-103093.5760449967</v>
      </c>
      <c r="AJ31" s="4">
        <f t="shared" si="10"/>
        <v>-16540.845644268313</v>
      </c>
      <c r="AK31" s="4">
        <f t="shared" si="10"/>
        <v>-215.65912675438435</v>
      </c>
      <c r="AL31" s="4">
        <f t="shared" si="10"/>
        <v>-222.12890055701587</v>
      </c>
      <c r="AM31" s="4">
        <f t="shared" si="10"/>
        <v>-228.79276757372637</v>
      </c>
    </row>
    <row r="32" spans="2:39" ht="12.75">
      <c r="B32" s="574">
        <f>B31+1</f>
        <v>19</v>
      </c>
      <c r="D32" s="591">
        <v>0.5</v>
      </c>
      <c r="H32" s="592">
        <f>$D$32</f>
        <v>0.5</v>
      </c>
      <c r="J32" s="608"/>
      <c r="L32" s="592">
        <f aca="true" t="shared" si="11" ref="L32:AM32">$D$32</f>
        <v>0.5</v>
      </c>
      <c r="M32" s="592">
        <f t="shared" si="11"/>
        <v>0.5</v>
      </c>
      <c r="N32" s="592">
        <f t="shared" si="11"/>
        <v>0.5</v>
      </c>
      <c r="O32" s="592">
        <f t="shared" si="11"/>
        <v>0.5</v>
      </c>
      <c r="P32" s="592">
        <f t="shared" si="11"/>
        <v>0.5</v>
      </c>
      <c r="Q32" s="592">
        <f t="shared" si="11"/>
        <v>0.5</v>
      </c>
      <c r="R32" s="592">
        <f t="shared" si="11"/>
        <v>0.5</v>
      </c>
      <c r="S32" s="592">
        <f t="shared" si="11"/>
        <v>0.5</v>
      </c>
      <c r="T32" s="592">
        <f t="shared" si="11"/>
        <v>0.5</v>
      </c>
      <c r="U32" s="592">
        <f t="shared" si="11"/>
        <v>0.5</v>
      </c>
      <c r="V32" s="592">
        <f t="shared" si="11"/>
        <v>0.5</v>
      </c>
      <c r="W32" s="592">
        <f t="shared" si="11"/>
        <v>0.5</v>
      </c>
      <c r="X32" s="592">
        <f t="shared" si="11"/>
        <v>0.5</v>
      </c>
      <c r="Y32" s="592">
        <f t="shared" si="11"/>
        <v>0.5</v>
      </c>
      <c r="Z32" s="592">
        <f t="shared" si="11"/>
        <v>0.5</v>
      </c>
      <c r="AA32" s="592">
        <f t="shared" si="11"/>
        <v>0.5</v>
      </c>
      <c r="AB32" s="592">
        <f t="shared" si="11"/>
        <v>0.5</v>
      </c>
      <c r="AC32" s="592">
        <f t="shared" si="11"/>
        <v>0.5</v>
      </c>
      <c r="AD32" s="592">
        <f t="shared" si="11"/>
        <v>0.5</v>
      </c>
      <c r="AE32" s="592">
        <f t="shared" si="11"/>
        <v>0.5</v>
      </c>
      <c r="AF32" s="592">
        <f t="shared" si="11"/>
        <v>0.5</v>
      </c>
      <c r="AG32" s="592">
        <f t="shared" si="11"/>
        <v>0.5</v>
      </c>
      <c r="AH32" s="592">
        <f t="shared" si="11"/>
        <v>0.5</v>
      </c>
      <c r="AI32" s="592">
        <f t="shared" si="11"/>
        <v>0.5</v>
      </c>
      <c r="AJ32" s="592">
        <f t="shared" si="11"/>
        <v>0.5</v>
      </c>
      <c r="AK32" s="592">
        <f t="shared" si="11"/>
        <v>0.5</v>
      </c>
      <c r="AL32" s="592">
        <f t="shared" si="11"/>
        <v>0.5</v>
      </c>
      <c r="AM32" s="592">
        <f t="shared" si="11"/>
        <v>0.5</v>
      </c>
    </row>
    <row r="33" spans="2:39" ht="12.75">
      <c r="B33" s="574">
        <f>B32+1</f>
        <v>20</v>
      </c>
      <c r="D33" s="1" t="s">
        <v>634</v>
      </c>
      <c r="H33" s="593">
        <f>SUM(L33:AM33)</f>
        <v>-484430.8258124575</v>
      </c>
      <c r="J33" s="608"/>
      <c r="L33" s="593">
        <f aca="true" t="shared" si="12" ref="L33:AM33">L31*L32</f>
        <v>3163.570447575832</v>
      </c>
      <c r="M33" s="593">
        <f t="shared" si="12"/>
        <v>2187.0027400028193</v>
      </c>
      <c r="N33" s="593">
        <f t="shared" si="12"/>
        <v>-6229.596150679834</v>
      </c>
      <c r="O33" s="593">
        <f t="shared" si="12"/>
        <v>-10564.303911351803</v>
      </c>
      <c r="P33" s="593">
        <f t="shared" si="12"/>
        <v>-38444.44369728281</v>
      </c>
      <c r="Q33" s="593">
        <f t="shared" si="12"/>
        <v>-17906.777600568632</v>
      </c>
      <c r="R33" s="593">
        <f t="shared" si="12"/>
        <v>-18864.276335303817</v>
      </c>
      <c r="S33" s="593">
        <f t="shared" si="12"/>
        <v>-22351.642570148062</v>
      </c>
      <c r="T33" s="593">
        <f t="shared" si="12"/>
        <v>-26692.8360665382</v>
      </c>
      <c r="U33" s="593">
        <f t="shared" si="12"/>
        <v>-19306.63432939387</v>
      </c>
      <c r="V33" s="593">
        <f t="shared" si="12"/>
        <v>-23519.727198309512</v>
      </c>
      <c r="W33" s="593">
        <f t="shared" si="12"/>
        <v>-23300.382691655825</v>
      </c>
      <c r="X33" s="593">
        <f t="shared" si="12"/>
        <v>-23834.27889408749</v>
      </c>
      <c r="Y33" s="593">
        <f t="shared" si="12"/>
        <v>-25991.206996610483</v>
      </c>
      <c r="Z33" s="593">
        <f t="shared" si="12"/>
        <v>-18717.90219537371</v>
      </c>
      <c r="AA33" s="593">
        <f t="shared" si="12"/>
        <v>-21362.829597101736</v>
      </c>
      <c r="AB33" s="593">
        <f t="shared" si="12"/>
        <v>-10030.72956502167</v>
      </c>
      <c r="AC33" s="593">
        <f t="shared" si="12"/>
        <v>-17834.438043393093</v>
      </c>
      <c r="AD33" s="593">
        <f t="shared" si="12"/>
        <v>-14451.295065674814</v>
      </c>
      <c r="AE33" s="593">
        <f t="shared" si="12"/>
        <v>-17084.94237776837</v>
      </c>
      <c r="AF33" s="593">
        <f t="shared" si="12"/>
        <v>-22931.39335589265</v>
      </c>
      <c r="AG33" s="593">
        <f t="shared" si="12"/>
        <v>-18704.555333201686</v>
      </c>
      <c r="AH33" s="593">
        <f t="shared" si="12"/>
        <v>-31506.705782603138</v>
      </c>
      <c r="AI33" s="593">
        <f t="shared" si="12"/>
        <v>-51546.78802249835</v>
      </c>
      <c r="AJ33" s="593">
        <f t="shared" si="12"/>
        <v>-8270.422822134156</v>
      </c>
      <c r="AK33" s="593">
        <f t="shared" si="12"/>
        <v>-107.82956337719217</v>
      </c>
      <c r="AL33" s="593">
        <f t="shared" si="12"/>
        <v>-111.06445027850793</v>
      </c>
      <c r="AM33" s="593">
        <f t="shared" si="12"/>
        <v>-114.39638378686318</v>
      </c>
    </row>
    <row r="34" spans="2:39" ht="12.75">
      <c r="B34" s="574">
        <f>B33+1</f>
        <v>21</v>
      </c>
      <c r="D34" s="1" t="str">
        <f>"Lower of line "&amp;FIXED(B18,0)&amp;" &amp; line "&amp;FIXED(B33,0)&amp;""</f>
        <v>Lower of line 5 &amp; line 20</v>
      </c>
      <c r="H34" s="588">
        <f>SUM(L34:AM34)</f>
        <v>-484430.8258124575</v>
      </c>
      <c r="J34" s="608"/>
      <c r="L34" s="597">
        <f aca="true" t="shared" si="13" ref="L34:AM34">IF(L18&lt;L33,L18,IF(L33&lt;=L18,L33,0))</f>
        <v>3163.570447575832</v>
      </c>
      <c r="M34" s="597">
        <f t="shared" si="13"/>
        <v>2187.0027400028193</v>
      </c>
      <c r="N34" s="597">
        <f t="shared" si="13"/>
        <v>-6229.596150679834</v>
      </c>
      <c r="O34" s="597">
        <f t="shared" si="13"/>
        <v>-10564.303911351803</v>
      </c>
      <c r="P34" s="597">
        <f t="shared" si="13"/>
        <v>-38444.44369728281</v>
      </c>
      <c r="Q34" s="597">
        <f t="shared" si="13"/>
        <v>-17906.777600568632</v>
      </c>
      <c r="R34" s="597">
        <f t="shared" si="13"/>
        <v>-18864.276335303817</v>
      </c>
      <c r="S34" s="597">
        <f t="shared" si="13"/>
        <v>-22351.642570148062</v>
      </c>
      <c r="T34" s="597">
        <f t="shared" si="13"/>
        <v>-26692.8360665382</v>
      </c>
      <c r="U34" s="597">
        <f t="shared" si="13"/>
        <v>-19306.63432939387</v>
      </c>
      <c r="V34" s="597">
        <f t="shared" si="13"/>
        <v>-23519.727198309512</v>
      </c>
      <c r="W34" s="597">
        <f t="shared" si="13"/>
        <v>-23300.382691655825</v>
      </c>
      <c r="X34" s="597">
        <f t="shared" si="13"/>
        <v>-23834.27889408749</v>
      </c>
      <c r="Y34" s="597">
        <f t="shared" si="13"/>
        <v>-25991.206996610483</v>
      </c>
      <c r="Z34" s="597">
        <f t="shared" si="13"/>
        <v>-18717.90219537371</v>
      </c>
      <c r="AA34" s="597">
        <f t="shared" si="13"/>
        <v>-21362.829597101736</v>
      </c>
      <c r="AB34" s="597">
        <f t="shared" si="13"/>
        <v>-10030.72956502167</v>
      </c>
      <c r="AC34" s="597">
        <f t="shared" si="13"/>
        <v>-17834.438043393093</v>
      </c>
      <c r="AD34" s="597">
        <f t="shared" si="13"/>
        <v>-14451.295065674814</v>
      </c>
      <c r="AE34" s="597">
        <f t="shared" si="13"/>
        <v>-17084.94237776837</v>
      </c>
      <c r="AF34" s="597">
        <f t="shared" si="13"/>
        <v>-22931.39335589265</v>
      </c>
      <c r="AG34" s="597">
        <f t="shared" si="13"/>
        <v>-18704.555333201686</v>
      </c>
      <c r="AH34" s="597">
        <f t="shared" si="13"/>
        <v>-31506.705782603138</v>
      </c>
      <c r="AI34" s="597">
        <f t="shared" si="13"/>
        <v>-51546.78802249835</v>
      </c>
      <c r="AJ34" s="597">
        <f t="shared" si="13"/>
        <v>-8270.422822134156</v>
      </c>
      <c r="AK34" s="597">
        <f t="shared" si="13"/>
        <v>-107.82956337719217</v>
      </c>
      <c r="AL34" s="597">
        <f t="shared" si="13"/>
        <v>-111.06445027850793</v>
      </c>
      <c r="AM34" s="597">
        <f t="shared" si="13"/>
        <v>-114.39638378686318</v>
      </c>
    </row>
    <row r="35" spans="2:39" ht="13.5" thickBot="1">
      <c r="B35" s="574">
        <f>B34+1</f>
        <v>22</v>
      </c>
      <c r="D35" s="1" t="str">
        <f>"Tax Depletion (80% line "&amp;FIXED(B34,0)&amp;" )"</f>
        <v>Tax Depletion (80% line 21 )</v>
      </c>
      <c r="G35" s="598">
        <f>NPV(Disc_,Depletion!L35:AM35)</f>
        <v>3852.5335049110436</v>
      </c>
      <c r="H35" s="599">
        <f>SUM(L35:AM35)</f>
        <v>4280.458550062922</v>
      </c>
      <c r="J35" s="608"/>
      <c r="L35" s="599">
        <f aca="true" t="shared" si="14" ref="L35:AM35">IF(L34&lt;=0,0,L34*0.8)</f>
        <v>2530.856358060666</v>
      </c>
      <c r="M35" s="599">
        <f t="shared" si="14"/>
        <v>1749.6021920022556</v>
      </c>
      <c r="N35" s="599">
        <f t="shared" si="14"/>
        <v>0</v>
      </c>
      <c r="O35" s="599">
        <f t="shared" si="14"/>
        <v>0</v>
      </c>
      <c r="P35" s="599">
        <f t="shared" si="14"/>
        <v>0</v>
      </c>
      <c r="Q35" s="599">
        <f t="shared" si="14"/>
        <v>0</v>
      </c>
      <c r="R35" s="599">
        <f t="shared" si="14"/>
        <v>0</v>
      </c>
      <c r="S35" s="599">
        <f t="shared" si="14"/>
        <v>0</v>
      </c>
      <c r="T35" s="599">
        <f t="shared" si="14"/>
        <v>0</v>
      </c>
      <c r="U35" s="599">
        <f t="shared" si="14"/>
        <v>0</v>
      </c>
      <c r="V35" s="599">
        <f t="shared" si="14"/>
        <v>0</v>
      </c>
      <c r="W35" s="599">
        <f t="shared" si="14"/>
        <v>0</v>
      </c>
      <c r="X35" s="599">
        <f t="shared" si="14"/>
        <v>0</v>
      </c>
      <c r="Y35" s="599">
        <f t="shared" si="14"/>
        <v>0</v>
      </c>
      <c r="Z35" s="599">
        <f t="shared" si="14"/>
        <v>0</v>
      </c>
      <c r="AA35" s="599">
        <f t="shared" si="14"/>
        <v>0</v>
      </c>
      <c r="AB35" s="599">
        <f t="shared" si="14"/>
        <v>0</v>
      </c>
      <c r="AC35" s="599">
        <f t="shared" si="14"/>
        <v>0</v>
      </c>
      <c r="AD35" s="599">
        <f t="shared" si="14"/>
        <v>0</v>
      </c>
      <c r="AE35" s="599">
        <f t="shared" si="14"/>
        <v>0</v>
      </c>
      <c r="AF35" s="599">
        <f t="shared" si="14"/>
        <v>0</v>
      </c>
      <c r="AG35" s="599">
        <f t="shared" si="14"/>
        <v>0</v>
      </c>
      <c r="AH35" s="599">
        <f t="shared" si="14"/>
        <v>0</v>
      </c>
      <c r="AI35" s="599">
        <f t="shared" si="14"/>
        <v>0</v>
      </c>
      <c r="AJ35" s="599">
        <f t="shared" si="14"/>
        <v>0</v>
      </c>
      <c r="AK35" s="599">
        <f t="shared" si="14"/>
        <v>0</v>
      </c>
      <c r="AL35" s="599">
        <f t="shared" si="14"/>
        <v>0</v>
      </c>
      <c r="AM35" s="599">
        <f t="shared" si="14"/>
        <v>0</v>
      </c>
    </row>
    <row r="36" spans="10:36" ht="13.5" thickTop="1">
      <c r="J36" s="576"/>
      <c r="K36" s="576"/>
      <c r="L36" s="609"/>
      <c r="M36" s="609"/>
      <c r="N36" s="609"/>
      <c r="O36" s="609"/>
      <c r="P36" s="609"/>
      <c r="Q36" s="609"/>
      <c r="R36" s="609"/>
      <c r="S36" s="609"/>
      <c r="T36" s="609"/>
      <c r="U36" s="609"/>
      <c r="V36" s="609"/>
      <c r="W36" s="609"/>
      <c r="X36" s="609"/>
      <c r="Y36" s="609"/>
      <c r="Z36" s="609"/>
      <c r="AA36" s="609"/>
      <c r="AB36" s="609"/>
      <c r="AC36" s="609"/>
      <c r="AD36" s="609"/>
      <c r="AE36" s="609"/>
      <c r="AF36" s="609"/>
      <c r="AG36" s="609"/>
      <c r="AH36" s="609"/>
      <c r="AI36" s="609"/>
      <c r="AJ36" s="609"/>
    </row>
    <row r="37" spans="12:36" ht="12.75">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row>
    <row r="38" ht="12.75">
      <c r="C38" s="1" t="s">
        <v>648</v>
      </c>
    </row>
    <row r="40" spans="3:4" ht="18">
      <c r="C40" s="596" t="s">
        <v>235</v>
      </c>
      <c r="D40" s="1" t="s">
        <v>649</v>
      </c>
    </row>
  </sheetData>
  <printOptions/>
  <pageMargins left="0.75" right="0.75" top="1" bottom="1" header="0.5" footer="0.5"/>
  <pageSetup horizontalDpi="600" verticalDpi="600" orientation="landscape" scale="70" r:id="rId1"/>
  <headerFooter alignWithMargins="0">
    <oddHeader>&amp;C&amp;A</oddHeader>
  </headerFooter>
</worksheet>
</file>

<file path=xl/worksheets/sheet15.xml><?xml version="1.0" encoding="utf-8"?>
<worksheet xmlns="http://schemas.openxmlformats.org/spreadsheetml/2006/main" xmlns:r="http://schemas.openxmlformats.org/officeDocument/2006/relationships">
  <dimension ref="A2:AY9"/>
  <sheetViews>
    <sheetView workbookViewId="0" topLeftCell="A1">
      <selection activeCell="A1" sqref="A1"/>
    </sheetView>
  </sheetViews>
  <sheetFormatPr defaultColWidth="9.140625" defaultRowHeight="12.75"/>
  <cols>
    <col min="6" max="6" width="11.28125" style="0" customWidth="1"/>
    <col min="7" max="7" width="12.00390625" style="0" customWidth="1"/>
  </cols>
  <sheetData>
    <row r="2" spans="1:14" ht="18">
      <c r="A2" s="466" t="s">
        <v>478</v>
      </c>
      <c r="B2" s="227"/>
      <c r="C2" s="227"/>
      <c r="D2" s="227"/>
      <c r="E2" s="227"/>
      <c r="F2" s="227"/>
      <c r="G2" s="227"/>
      <c r="H2" s="227"/>
      <c r="I2" s="227"/>
      <c r="J2" s="227"/>
      <c r="K2" s="227"/>
      <c r="L2" s="227"/>
      <c r="M2" s="227"/>
      <c r="N2" s="227"/>
    </row>
    <row r="4" spans="5:45" ht="12.75">
      <c r="E4" s="2" t="s">
        <v>479</v>
      </c>
      <c r="F4" s="2" t="s">
        <v>3</v>
      </c>
      <c r="G4" s="2" t="s">
        <v>480</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S4" s="467">
        <v>3.7002800388266452</v>
      </c>
    </row>
    <row r="5" spans="1:51" ht="12.75">
      <c r="A5" s="468" t="s">
        <v>481</v>
      </c>
      <c r="E5" s="469">
        <v>36161</v>
      </c>
      <c r="F5" s="171" t="s">
        <v>482</v>
      </c>
      <c r="G5" s="171" t="s">
        <v>483</v>
      </c>
      <c r="H5" s="8"/>
      <c r="I5" s="171">
        <v>1999</v>
      </c>
      <c r="J5" s="171">
        <v>2000</v>
      </c>
      <c r="K5" s="171">
        <v>2001</v>
      </c>
      <c r="L5" s="171">
        <v>2002</v>
      </c>
      <c r="M5" s="171">
        <v>2003</v>
      </c>
      <c r="N5" s="171">
        <v>2004</v>
      </c>
      <c r="O5" s="171">
        <v>2005</v>
      </c>
      <c r="P5" s="171">
        <v>2006</v>
      </c>
      <c r="Q5" s="171">
        <v>2007</v>
      </c>
      <c r="R5" s="171">
        <v>2008</v>
      </c>
      <c r="S5" s="171">
        <v>2009</v>
      </c>
      <c r="T5" s="171">
        <v>2010</v>
      </c>
      <c r="U5" s="171">
        <v>2011</v>
      </c>
      <c r="V5" s="171">
        <v>2012</v>
      </c>
      <c r="W5" s="171">
        <v>2013</v>
      </c>
      <c r="X5" s="171">
        <v>2014</v>
      </c>
      <c r="Y5" s="171">
        <v>2015</v>
      </c>
      <c r="Z5" s="171">
        <v>2016</v>
      </c>
      <c r="AA5" s="171">
        <v>2017</v>
      </c>
      <c r="AB5" s="171">
        <v>2018</v>
      </c>
      <c r="AC5" s="171">
        <v>2019</v>
      </c>
      <c r="AD5" s="171">
        <v>2020</v>
      </c>
      <c r="AE5" s="171">
        <v>2021</v>
      </c>
      <c r="AF5" s="171">
        <v>2022</v>
      </c>
      <c r="AG5" s="171">
        <v>2023</v>
      </c>
      <c r="AH5" s="171">
        <v>2024</v>
      </c>
      <c r="AI5" s="171">
        <v>2025</v>
      </c>
      <c r="AJ5" s="171">
        <v>2026</v>
      </c>
      <c r="AK5" s="171">
        <v>2027</v>
      </c>
      <c r="AL5" s="171">
        <v>2028</v>
      </c>
      <c r="AM5" s="171">
        <v>2029</v>
      </c>
      <c r="AN5" s="171">
        <v>2030</v>
      </c>
      <c r="AO5" s="171">
        <v>2031</v>
      </c>
      <c r="AP5" s="171">
        <v>2032</v>
      </c>
      <c r="AQ5" s="171">
        <v>2033</v>
      </c>
      <c r="AR5" s="171">
        <v>2034</v>
      </c>
      <c r="AS5" s="171">
        <v>2035</v>
      </c>
      <c r="AT5" s="171">
        <v>2036</v>
      </c>
      <c r="AU5" s="171">
        <v>2037</v>
      </c>
      <c r="AV5" s="171">
        <v>2038</v>
      </c>
      <c r="AW5" s="171">
        <v>2039</v>
      </c>
      <c r="AX5" s="171">
        <v>2040</v>
      </c>
      <c r="AY5" s="171">
        <v>2041</v>
      </c>
    </row>
    <row r="6" spans="1:51" s="57" customFormat="1" ht="12.75">
      <c r="A6" s="57" t="s">
        <v>484</v>
      </c>
      <c r="D6" s="57" t="s">
        <v>485</v>
      </c>
      <c r="E6" s="470">
        <f>NPV(Disc_,$I6:$AY6)*(1+Disc_/2)</f>
        <v>174.1173413551397</v>
      </c>
      <c r="F6" s="471">
        <f>NPV(Disc_,$J6:$AY6)+I6</f>
        <v>180.66556072101497</v>
      </c>
      <c r="G6" s="471">
        <f>SUM(I6:AY6)</f>
        <v>510.091918056249</v>
      </c>
      <c r="I6" s="472">
        <v>0</v>
      </c>
      <c r="J6" s="473">
        <v>5.047000000000001</v>
      </c>
      <c r="K6" s="473">
        <v>5.19841</v>
      </c>
      <c r="L6" s="473">
        <v>12.3478151</v>
      </c>
      <c r="M6" s="473">
        <v>12.380596910000001</v>
      </c>
      <c r="N6" s="473">
        <v>12.752014817300001</v>
      </c>
      <c r="O6" s="473">
        <v>14.328627558348002</v>
      </c>
      <c r="P6" s="473">
        <v>22.137729577647665</v>
      </c>
      <c r="Q6" s="473">
        <v>24.195308554503473</v>
      </c>
      <c r="R6" s="473">
        <v>23.877349264075182</v>
      </c>
      <c r="S6" s="473">
        <v>24.593669741997438</v>
      </c>
      <c r="T6" s="473">
        <v>28.930487898140917</v>
      </c>
      <c r="U6" s="473">
        <v>32.79250039746212</v>
      </c>
      <c r="V6" s="473">
        <v>33.92312878073115</v>
      </c>
      <c r="W6" s="473">
        <v>27.377874019877527</v>
      </c>
      <c r="X6" s="473">
        <v>16.358657874308037</v>
      </c>
      <c r="Y6" s="473">
        <v>19.577418557005217</v>
      </c>
      <c r="Z6" s="473">
        <v>0.826423816135876</v>
      </c>
      <c r="AA6" s="473">
        <v>11.917031428679332</v>
      </c>
      <c r="AB6" s="473">
        <v>0.17535060530771018</v>
      </c>
      <c r="AC6" s="473">
        <v>0.18061112346694153</v>
      </c>
      <c r="AD6" s="473">
        <v>5.952942629470392</v>
      </c>
      <c r="AE6" s="473">
        <v>0.19161034088607828</v>
      </c>
      <c r="AF6" s="473">
        <v>18.5517132045901</v>
      </c>
      <c r="AG6" s="473">
        <v>15.855794030391154</v>
      </c>
      <c r="AH6" s="473">
        <v>16.540845644268312</v>
      </c>
      <c r="AI6" s="473">
        <v>0.21565912675438434</v>
      </c>
      <c r="AJ6" s="473">
        <v>0.22212890055701587</v>
      </c>
      <c r="AK6" s="473">
        <v>0.22879276757372635</v>
      </c>
      <c r="AL6" s="473">
        <v>32.28494743232852</v>
      </c>
      <c r="AM6" s="473">
        <v>33.981674596655274</v>
      </c>
      <c r="AN6" s="473">
        <v>13.750441899289438</v>
      </c>
      <c r="AO6" s="473">
        <v>13.905446880699612</v>
      </c>
      <c r="AP6" s="473">
        <v>13.792143239449468</v>
      </c>
      <c r="AQ6" s="473">
        <v>9.288478004721544</v>
      </c>
      <c r="AR6" s="473">
        <v>1.9697037180600685</v>
      </c>
      <c r="AS6" s="473">
        <v>0.5796556656005345</v>
      </c>
      <c r="AT6" s="473">
        <v>0.5970453355685506</v>
      </c>
      <c r="AU6" s="473">
        <v>0.6149566956356071</v>
      </c>
      <c r="AV6" s="473">
        <v>0.6334053965046753</v>
      </c>
      <c r="AW6" s="473">
        <v>0.6524075583998156</v>
      </c>
      <c r="AX6" s="473">
        <v>0.6719797851518101</v>
      </c>
      <c r="AY6" s="473">
        <v>0.6921391787063644</v>
      </c>
    </row>
    <row r="7" ht="12.75">
      <c r="AM7" s="278">
        <f>+NPV(Disc_,AN6:AY6)+AM6</f>
        <v>80.19082368611114</v>
      </c>
    </row>
    <row r="9" spans="1:33" ht="15.75">
      <c r="A9" s="474" t="s">
        <v>486</v>
      </c>
      <c r="H9" s="53">
        <v>1864</v>
      </c>
      <c r="I9" s="53">
        <v>1864</v>
      </c>
      <c r="J9" s="53">
        <v>8833.444211529928</v>
      </c>
      <c r="K9" s="53">
        <v>8833.444211529928</v>
      </c>
      <c r="L9" s="53">
        <v>8833.444211529928</v>
      </c>
      <c r="M9" s="53">
        <v>8833.444211529928</v>
      </c>
      <c r="N9" s="53">
        <v>8833.444211529928</v>
      </c>
      <c r="O9" s="53">
        <v>8833.444211529928</v>
      </c>
      <c r="P9" s="53">
        <v>8833.444211529928</v>
      </c>
      <c r="Q9" s="53">
        <v>8833.444211529928</v>
      </c>
      <c r="R9" s="53">
        <v>8833.444211529928</v>
      </c>
      <c r="S9" s="53">
        <v>8833.444211529928</v>
      </c>
      <c r="T9" s="53">
        <v>8833.444211529928</v>
      </c>
      <c r="U9" s="53">
        <v>8833.444211529928</v>
      </c>
      <c r="V9" s="53">
        <v>8833.444211529928</v>
      </c>
      <c r="W9" s="53">
        <v>8833.444211529928</v>
      </c>
      <c r="X9" s="53">
        <v>8833.444211529928</v>
      </c>
      <c r="Y9" s="53">
        <v>8833.444211529928</v>
      </c>
      <c r="Z9" s="53">
        <v>8833.444211529928</v>
      </c>
      <c r="AA9" s="53">
        <v>8833.444211529928</v>
      </c>
      <c r="AB9" s="53">
        <v>8833.444211529928</v>
      </c>
      <c r="AC9" s="53">
        <v>8833.444211529928</v>
      </c>
      <c r="AD9" s="53">
        <v>8833.444211529928</v>
      </c>
      <c r="AE9" s="53">
        <v>8833.444211529928</v>
      </c>
      <c r="AF9" s="53">
        <v>8833.444211529928</v>
      </c>
      <c r="AG9" s="53">
        <v>8833.444211529928</v>
      </c>
    </row>
  </sheetData>
  <printOptions/>
  <pageMargins left="0.75" right="0.75" top="1" bottom="1" header="0.5" footer="0.5"/>
  <pageSetup horizontalDpi="600" verticalDpi="600" orientation="landscape" scale="70" r:id="rId1"/>
  <headerFooter alignWithMargins="0">
    <oddHeader>&amp;C&amp;A</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CS46"/>
  <sheetViews>
    <sheetView zoomScale="75" zoomScaleNormal="75" workbookViewId="0" topLeftCell="A1">
      <selection activeCell="A1" sqref="A1"/>
    </sheetView>
  </sheetViews>
  <sheetFormatPr defaultColWidth="9.140625" defaultRowHeight="12.75"/>
  <cols>
    <col min="1" max="1" width="11.140625" style="0" customWidth="1"/>
    <col min="2" max="2" width="32.00390625" style="0" customWidth="1"/>
    <col min="3" max="3" width="15.8515625" style="0" customWidth="1"/>
    <col min="5" max="5" width="16.7109375" style="0" customWidth="1"/>
    <col min="6" max="6" width="14.8515625" style="0" customWidth="1"/>
    <col min="7" max="7" width="16.00390625" style="0" customWidth="1"/>
    <col min="8" max="8" width="15.140625" style="0" customWidth="1"/>
    <col min="9" max="9" width="17.140625" style="0" customWidth="1"/>
    <col min="10" max="10" width="16.421875" style="0" customWidth="1"/>
    <col min="11" max="11" width="17.28125" style="0" customWidth="1"/>
  </cols>
  <sheetData>
    <row r="1" ht="12.75">
      <c r="A1" s="554"/>
    </row>
    <row r="2" spans="1:11" ht="18">
      <c r="A2" s="466" t="s">
        <v>578</v>
      </c>
      <c r="B2" s="466"/>
      <c r="C2" s="466"/>
      <c r="D2" s="466"/>
      <c r="E2" s="466"/>
      <c r="F2" s="466"/>
      <c r="G2" s="466"/>
      <c r="H2" s="466"/>
      <c r="I2" s="466"/>
      <c r="J2" s="466"/>
      <c r="K2" s="466"/>
    </row>
    <row r="3" spans="1:11" ht="18">
      <c r="A3" s="466" t="s">
        <v>677</v>
      </c>
      <c r="B3" s="466"/>
      <c r="C3" s="466"/>
      <c r="D3" s="466"/>
      <c r="E3" s="466"/>
      <c r="F3" s="466"/>
      <c r="G3" s="466"/>
      <c r="H3" s="466"/>
      <c r="I3" s="466"/>
      <c r="J3" s="466"/>
      <c r="K3" s="466"/>
    </row>
    <row r="4" spans="1:2" ht="12.75">
      <c r="A4" s="227"/>
      <c r="B4" s="227"/>
    </row>
    <row r="5" spans="6:10" ht="12.75">
      <c r="F5" s="2" t="s">
        <v>678</v>
      </c>
      <c r="H5" s="2" t="s">
        <v>678</v>
      </c>
      <c r="J5" s="2" t="s">
        <v>679</v>
      </c>
    </row>
    <row r="6" spans="1:11" ht="12.75">
      <c r="A6" s="2" t="s">
        <v>579</v>
      </c>
      <c r="B6" s="2"/>
      <c r="C6" s="2" t="s">
        <v>580</v>
      </c>
      <c r="D6" s="2" t="s">
        <v>581</v>
      </c>
      <c r="E6" s="2" t="s">
        <v>680</v>
      </c>
      <c r="F6" s="2" t="s">
        <v>311</v>
      </c>
      <c r="G6" s="2" t="s">
        <v>137</v>
      </c>
      <c r="H6" s="2" t="s">
        <v>311</v>
      </c>
      <c r="I6" s="2" t="s">
        <v>137</v>
      </c>
      <c r="J6" s="2" t="s">
        <v>311</v>
      </c>
      <c r="K6" s="2" t="s">
        <v>582</v>
      </c>
    </row>
    <row r="7" spans="1:11" ht="12.75">
      <c r="A7" s="171" t="s">
        <v>169</v>
      </c>
      <c r="B7" s="171" t="s">
        <v>381</v>
      </c>
      <c r="C7" s="171" t="s">
        <v>169</v>
      </c>
      <c r="D7" s="171" t="s">
        <v>583</v>
      </c>
      <c r="E7" s="469">
        <v>36160</v>
      </c>
      <c r="F7" s="469">
        <v>36160</v>
      </c>
      <c r="G7" s="469">
        <v>36160</v>
      </c>
      <c r="H7" s="469">
        <v>36280</v>
      </c>
      <c r="I7" s="469">
        <v>36280</v>
      </c>
      <c r="J7" s="469">
        <v>36525</v>
      </c>
      <c r="K7" s="469">
        <v>36525</v>
      </c>
    </row>
    <row r="8" spans="1:4" ht="7.5" customHeight="1">
      <c r="A8" s="412"/>
      <c r="B8" s="412"/>
      <c r="C8" s="412"/>
      <c r="D8" s="412"/>
    </row>
    <row r="9" spans="1:4" ht="12.75">
      <c r="A9" s="122" t="s">
        <v>584</v>
      </c>
      <c r="B9" t="s">
        <v>585</v>
      </c>
      <c r="C9" s="143" t="s">
        <v>586</v>
      </c>
      <c r="D9" s="122">
        <v>1978</v>
      </c>
    </row>
    <row r="10" spans="1:11" ht="24.75" customHeight="1">
      <c r="A10" s="663"/>
      <c r="B10" s="664"/>
      <c r="C10" s="665"/>
      <c r="D10" s="663"/>
      <c r="E10" s="666">
        <v>13482</v>
      </c>
      <c r="F10" s="666">
        <v>-7937.01</v>
      </c>
      <c r="G10" s="666">
        <f>E10+F10</f>
        <v>5544.99</v>
      </c>
      <c r="H10" s="666">
        <v>-8030.96</v>
      </c>
      <c r="I10" s="666">
        <f>E10+H10</f>
        <v>5451.04</v>
      </c>
      <c r="J10" s="666">
        <v>-8218.86</v>
      </c>
      <c r="K10" s="666">
        <f>E10+J10</f>
        <v>5263.139999999999</v>
      </c>
    </row>
    <row r="11" spans="1:11" ht="12.75">
      <c r="A11" s="122" t="s">
        <v>587</v>
      </c>
      <c r="B11" t="s">
        <v>588</v>
      </c>
      <c r="C11" s="143" t="s">
        <v>589</v>
      </c>
      <c r="D11" s="122">
        <v>1982</v>
      </c>
      <c r="E11" s="542"/>
      <c r="F11" s="542"/>
      <c r="G11" s="542"/>
      <c r="H11" s="542"/>
      <c r="I11" s="542"/>
      <c r="J11" s="542"/>
      <c r="K11" s="542"/>
    </row>
    <row r="12" spans="1:11" ht="24.75" customHeight="1">
      <c r="A12" s="202"/>
      <c r="B12" s="177"/>
      <c r="C12" s="667"/>
      <c r="D12" s="202"/>
      <c r="E12" s="668">
        <v>19620</v>
      </c>
      <c r="F12" s="668">
        <v>-9296.76</v>
      </c>
      <c r="G12" s="666">
        <f>E12+F12</f>
        <v>10323.24</v>
      </c>
      <c r="H12" s="668">
        <v>-9433.48</v>
      </c>
      <c r="I12" s="666">
        <f>E12+H12</f>
        <v>10186.52</v>
      </c>
      <c r="J12" s="668">
        <v>-9706.93</v>
      </c>
      <c r="K12" s="666">
        <f>E12+J12</f>
        <v>9913.07</v>
      </c>
    </row>
    <row r="13" spans="1:11" ht="12.75">
      <c r="A13" s="122" t="s">
        <v>590</v>
      </c>
      <c r="B13" t="s">
        <v>591</v>
      </c>
      <c r="C13" s="143" t="s">
        <v>592</v>
      </c>
      <c r="D13" s="122">
        <v>1986</v>
      </c>
      <c r="E13" s="542"/>
      <c r="F13" s="542"/>
      <c r="G13" s="542"/>
      <c r="H13" s="542"/>
      <c r="I13" s="542"/>
      <c r="J13" s="542"/>
      <c r="K13" s="542"/>
    </row>
    <row r="14" spans="1:11" ht="24.75" customHeight="1">
      <c r="A14" s="202"/>
      <c r="B14" s="177"/>
      <c r="C14" s="667"/>
      <c r="D14" s="202"/>
      <c r="E14" s="668">
        <v>29971</v>
      </c>
      <c r="F14" s="668">
        <v>-10758.7</v>
      </c>
      <c r="G14" s="666">
        <f>E14+F14</f>
        <v>19212.3</v>
      </c>
      <c r="H14" s="668">
        <v>-10967.56</v>
      </c>
      <c r="I14" s="666">
        <f>E14+H14</f>
        <v>19003.440000000002</v>
      </c>
      <c r="J14" s="668">
        <v>-11385.27</v>
      </c>
      <c r="K14" s="666">
        <f>E14+J14</f>
        <v>18585.73</v>
      </c>
    </row>
    <row r="15" spans="1:11" ht="12.75">
      <c r="A15" s="122" t="s">
        <v>593</v>
      </c>
      <c r="B15" t="s">
        <v>594</v>
      </c>
      <c r="C15" s="143" t="s">
        <v>595</v>
      </c>
      <c r="D15" s="122">
        <v>1990</v>
      </c>
      <c r="E15" s="542"/>
      <c r="F15" s="542"/>
      <c r="G15" s="542"/>
      <c r="H15" s="542"/>
      <c r="I15" s="542"/>
      <c r="J15" s="542"/>
      <c r="K15" s="542"/>
    </row>
    <row r="16" spans="1:11" ht="24.75" customHeight="1">
      <c r="A16" s="202"/>
      <c r="B16" s="177"/>
      <c r="C16" s="667"/>
      <c r="D16" s="202"/>
      <c r="E16" s="668">
        <v>14250</v>
      </c>
      <c r="F16" s="668">
        <v>-3478.43</v>
      </c>
      <c r="G16" s="666">
        <f>E16+F16</f>
        <v>10771.57</v>
      </c>
      <c r="H16" s="668">
        <v>-3577.73</v>
      </c>
      <c r="I16" s="666">
        <f>E16+H16</f>
        <v>10672.27</v>
      </c>
      <c r="J16" s="668">
        <v>-3776.34</v>
      </c>
      <c r="K16" s="666">
        <f>E16+J16</f>
        <v>10473.66</v>
      </c>
    </row>
    <row r="17" spans="1:11" ht="12.75">
      <c r="A17" s="122" t="s">
        <v>596</v>
      </c>
      <c r="B17" t="s">
        <v>597</v>
      </c>
      <c r="C17" s="143" t="s">
        <v>598</v>
      </c>
      <c r="D17" s="122">
        <v>1994</v>
      </c>
      <c r="E17" s="542"/>
      <c r="F17" s="542"/>
      <c r="G17" s="542"/>
      <c r="H17" s="542"/>
      <c r="I17" s="542"/>
      <c r="J17" s="542"/>
      <c r="K17" s="542"/>
    </row>
    <row r="18" spans="1:11" ht="12.75">
      <c r="A18" s="122" t="s">
        <v>599</v>
      </c>
      <c r="B18" t="s">
        <v>600</v>
      </c>
      <c r="C18" s="143" t="s">
        <v>598</v>
      </c>
      <c r="D18" s="122">
        <v>1994</v>
      </c>
      <c r="E18" s="542"/>
      <c r="F18" s="542"/>
      <c r="G18" s="542"/>
      <c r="H18" s="542"/>
      <c r="I18" s="542"/>
      <c r="J18" s="542"/>
      <c r="K18" s="542"/>
    </row>
    <row r="19" spans="1:11" ht="12.75">
      <c r="A19" s="122" t="s">
        <v>601</v>
      </c>
      <c r="B19" t="s">
        <v>602</v>
      </c>
      <c r="C19" s="143" t="s">
        <v>598</v>
      </c>
      <c r="D19" s="122">
        <v>1994</v>
      </c>
      <c r="E19" s="542"/>
      <c r="F19" s="542"/>
      <c r="G19" s="542"/>
      <c r="H19" s="542"/>
      <c r="I19" s="542"/>
      <c r="J19" s="542"/>
      <c r="K19" s="542"/>
    </row>
    <row r="20" spans="1:11" ht="12.75">
      <c r="A20" s="122" t="s">
        <v>603</v>
      </c>
      <c r="B20" t="s">
        <v>604</v>
      </c>
      <c r="C20" s="143" t="s">
        <v>598</v>
      </c>
      <c r="D20" s="122">
        <v>1994</v>
      </c>
      <c r="E20" s="542"/>
      <c r="F20" s="542"/>
      <c r="G20" s="542"/>
      <c r="H20" s="542"/>
      <c r="I20" s="542"/>
      <c r="J20" s="542"/>
      <c r="K20" s="542"/>
    </row>
    <row r="21" spans="1:11" ht="12.75">
      <c r="A21" s="122" t="s">
        <v>605</v>
      </c>
      <c r="B21" t="s">
        <v>606</v>
      </c>
      <c r="C21" s="143" t="s">
        <v>598</v>
      </c>
      <c r="D21" s="122">
        <v>1994</v>
      </c>
      <c r="E21" s="542"/>
      <c r="F21" s="542"/>
      <c r="G21" s="542"/>
      <c r="H21" s="542"/>
      <c r="I21" s="542"/>
      <c r="J21" s="542"/>
      <c r="K21" s="542"/>
    </row>
    <row r="22" spans="1:11" ht="12.75">
      <c r="A22" s="122" t="s">
        <v>607</v>
      </c>
      <c r="B22" t="s">
        <v>608</v>
      </c>
      <c r="C22" s="143" t="s">
        <v>598</v>
      </c>
      <c r="D22" s="122">
        <v>1994</v>
      </c>
      <c r="E22" s="542"/>
      <c r="F22" s="542"/>
      <c r="G22" s="542"/>
      <c r="H22" s="542"/>
      <c r="I22" s="542"/>
      <c r="J22" s="542"/>
      <c r="K22" s="542"/>
    </row>
    <row r="23" spans="1:11" ht="24.75" customHeight="1">
      <c r="A23" s="202"/>
      <c r="B23" s="177"/>
      <c r="C23" s="667"/>
      <c r="D23" s="202"/>
      <c r="E23" s="668">
        <v>68685</v>
      </c>
      <c r="F23" s="668">
        <v>-8876.12</v>
      </c>
      <c r="G23" s="666">
        <f>E23+F23</f>
        <v>59808.88</v>
      </c>
      <c r="H23" s="668">
        <v>-9354.76</v>
      </c>
      <c r="I23" s="666">
        <f>E23+H23</f>
        <v>59330.24</v>
      </c>
      <c r="J23" s="668">
        <v>-10312.04</v>
      </c>
      <c r="K23" s="666">
        <f>E23+J23</f>
        <v>58372.96</v>
      </c>
    </row>
    <row r="24" spans="1:11" ht="12.75">
      <c r="A24" s="122" t="s">
        <v>609</v>
      </c>
      <c r="B24" t="s">
        <v>610</v>
      </c>
      <c r="C24" s="143" t="s">
        <v>611</v>
      </c>
      <c r="D24" s="122">
        <v>1995</v>
      </c>
      <c r="E24" s="542"/>
      <c r="F24" s="542"/>
      <c r="G24" s="542"/>
      <c r="H24" s="542"/>
      <c r="I24" s="542"/>
      <c r="J24" s="542"/>
      <c r="K24" s="542"/>
    </row>
    <row r="25" spans="1:11" ht="24.75" customHeight="1">
      <c r="A25" s="202"/>
      <c r="B25" s="177"/>
      <c r="C25" s="667"/>
      <c r="D25" s="202"/>
      <c r="E25" s="668">
        <v>44502.35</v>
      </c>
      <c r="F25" s="668">
        <v>-4473.01</v>
      </c>
      <c r="G25" s="666">
        <f>E25+F25</f>
        <v>40029.34</v>
      </c>
      <c r="H25" s="668">
        <v>-4783.13</v>
      </c>
      <c r="I25" s="666">
        <f>E25+H25</f>
        <v>39719.22</v>
      </c>
      <c r="J25" s="668">
        <v>-5403.37</v>
      </c>
      <c r="K25" s="666">
        <f>E25+J25</f>
        <v>39098.979999999996</v>
      </c>
    </row>
    <row r="26" spans="1:11" s="57" customFormat="1" ht="24.75" customHeight="1" thickBot="1">
      <c r="A26" s="669"/>
      <c r="B26" s="670" t="s">
        <v>681</v>
      </c>
      <c r="C26" s="557"/>
      <c r="D26" s="555"/>
      <c r="E26" s="671">
        <f aca="true" t="shared" si="0" ref="E26:K26">SUM(E10:E25)</f>
        <v>190510.35</v>
      </c>
      <c r="F26" s="671">
        <f t="shared" si="0"/>
        <v>-44820.030000000006</v>
      </c>
      <c r="G26" s="671">
        <f t="shared" si="0"/>
        <v>145690.32</v>
      </c>
      <c r="H26" s="671">
        <f t="shared" si="0"/>
        <v>-46147.619999999995</v>
      </c>
      <c r="I26" s="671">
        <f t="shared" si="0"/>
        <v>144362.73</v>
      </c>
      <c r="J26" s="671">
        <f t="shared" si="0"/>
        <v>-48802.810000000005</v>
      </c>
      <c r="K26" s="671">
        <f t="shared" si="0"/>
        <v>141707.53999999998</v>
      </c>
    </row>
    <row r="27" spans="1:11" s="57" customFormat="1" ht="13.5" customHeight="1">
      <c r="A27" s="669"/>
      <c r="B27" s="670"/>
      <c r="C27" s="672"/>
      <c r="D27" s="669"/>
      <c r="E27" s="673"/>
      <c r="F27" s="673"/>
      <c r="G27" s="673"/>
      <c r="H27" s="673"/>
      <c r="I27" s="673"/>
      <c r="J27" s="673"/>
      <c r="K27" s="673"/>
    </row>
    <row r="28" spans="1:11" ht="13.5" customHeight="1">
      <c r="A28" s="122" t="s">
        <v>612</v>
      </c>
      <c r="B28" t="s">
        <v>613</v>
      </c>
      <c r="C28" s="143" t="s">
        <v>614</v>
      </c>
      <c r="D28" s="122">
        <v>1997</v>
      </c>
      <c r="E28" s="542"/>
      <c r="F28" s="542"/>
      <c r="G28" s="542"/>
      <c r="H28" s="542"/>
      <c r="I28" s="542"/>
      <c r="J28" s="542"/>
      <c r="K28" s="542"/>
    </row>
    <row r="29" spans="1:11" ht="13.5" customHeight="1">
      <c r="A29" s="202" t="s">
        <v>615</v>
      </c>
      <c r="B29" s="177" t="s">
        <v>616</v>
      </c>
      <c r="C29" s="667" t="s">
        <v>614</v>
      </c>
      <c r="D29" s="202">
        <v>1997</v>
      </c>
      <c r="E29" s="668"/>
      <c r="F29" s="668"/>
      <c r="G29" s="668"/>
      <c r="H29" s="668"/>
      <c r="I29" s="668"/>
      <c r="J29" s="668"/>
      <c r="K29" s="668"/>
    </row>
    <row r="30" spans="1:11" s="29" customFormat="1" ht="24.75" customHeight="1" thickBot="1">
      <c r="A30" s="146"/>
      <c r="B30" s="670" t="s">
        <v>681</v>
      </c>
      <c r="C30" s="674"/>
      <c r="D30" s="675"/>
      <c r="E30" s="671">
        <v>33082.7</v>
      </c>
      <c r="F30" s="671">
        <v>-1562.39</v>
      </c>
      <c r="G30" s="671">
        <f>E30+F30</f>
        <v>31520.309999999998</v>
      </c>
      <c r="H30" s="671">
        <v>-1824.95</v>
      </c>
      <c r="I30" s="671">
        <f>E30+H30</f>
        <v>31257.749999999996</v>
      </c>
      <c r="J30" s="671">
        <v>-2350.07</v>
      </c>
      <c r="K30" s="671">
        <f>E30+J30</f>
        <v>30732.629999999997</v>
      </c>
    </row>
    <row r="31" spans="1:11" s="29" customFormat="1" ht="24.75" customHeight="1" thickBot="1">
      <c r="A31" s="900" t="s">
        <v>863</v>
      </c>
      <c r="B31" s="901"/>
      <c r="C31" s="902"/>
      <c r="D31" s="903"/>
      <c r="E31" s="904">
        <f aca="true" t="shared" si="1" ref="E31:K31">E26+E30</f>
        <v>223593.05</v>
      </c>
      <c r="F31" s="904">
        <f t="shared" si="1"/>
        <v>-46382.420000000006</v>
      </c>
      <c r="G31" s="904">
        <f t="shared" si="1"/>
        <v>177210.63</v>
      </c>
      <c r="H31" s="904">
        <f t="shared" si="1"/>
        <v>-47972.56999999999</v>
      </c>
      <c r="I31" s="904">
        <f t="shared" si="1"/>
        <v>175620.48</v>
      </c>
      <c r="J31" s="904">
        <f t="shared" si="1"/>
        <v>-51152.880000000005</v>
      </c>
      <c r="K31" s="904">
        <f t="shared" si="1"/>
        <v>172440.16999999998</v>
      </c>
    </row>
    <row r="32" spans="1:11" s="29" customFormat="1" ht="24.75" customHeight="1" thickBot="1" thickTop="1">
      <c r="A32" s="900" t="s">
        <v>864</v>
      </c>
      <c r="B32" s="901"/>
      <c r="C32" s="902"/>
      <c r="D32" s="903"/>
      <c r="E32" s="905">
        <f aca="true" t="shared" si="2" ref="E32:K32">E31/0.475</f>
        <v>470722.2105263158</v>
      </c>
      <c r="F32" s="906">
        <f t="shared" si="2"/>
        <v>-97647.20000000001</v>
      </c>
      <c r="G32" s="906">
        <f t="shared" si="2"/>
        <v>373075.01052631583</v>
      </c>
      <c r="H32" s="906">
        <f t="shared" si="2"/>
        <v>-100994.8842105263</v>
      </c>
      <c r="I32" s="906">
        <f t="shared" si="2"/>
        <v>369727.32631578954</v>
      </c>
      <c r="J32" s="906">
        <f t="shared" si="2"/>
        <v>-107690.27368421054</v>
      </c>
      <c r="K32" s="906">
        <f t="shared" si="2"/>
        <v>363031.93684210523</v>
      </c>
    </row>
    <row r="33" spans="1:97" ht="13.5" customHeight="1" thickTop="1">
      <c r="A33" s="669"/>
      <c r="B33" s="415"/>
      <c r="C33" s="676"/>
      <c r="D33" s="200"/>
      <c r="E33" s="522"/>
      <c r="F33" s="522"/>
      <c r="G33" s="522"/>
      <c r="H33" s="522"/>
      <c r="I33" s="522"/>
      <c r="J33" s="522"/>
      <c r="K33" s="522"/>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row>
    <row r="34" spans="1:11" s="29" customFormat="1" ht="24.75" customHeight="1" thickBot="1">
      <c r="A34" s="555" t="s">
        <v>618</v>
      </c>
      <c r="B34" s="556" t="s">
        <v>617</v>
      </c>
      <c r="C34" s="560" t="s">
        <v>682</v>
      </c>
      <c r="D34" s="558">
        <v>1998</v>
      </c>
      <c r="E34" s="671">
        <v>1041221.72</v>
      </c>
      <c r="F34" s="671">
        <v>-49173.82</v>
      </c>
      <c r="G34" s="671">
        <f>E34+F34</f>
        <v>992047.9</v>
      </c>
      <c r="H34" s="671">
        <v>-57437.48</v>
      </c>
      <c r="I34" s="671">
        <f>E34+H34</f>
        <v>983784.24</v>
      </c>
      <c r="J34" s="671">
        <v>-73964.81</v>
      </c>
      <c r="K34" s="671">
        <f>E34+J34</f>
        <v>967256.9099999999</v>
      </c>
    </row>
    <row r="35" spans="3:97" ht="13.5" customHeight="1">
      <c r="C35" s="321"/>
      <c r="D35" s="321"/>
      <c r="E35" s="522"/>
      <c r="F35" s="522"/>
      <c r="G35" s="522"/>
      <c r="H35" s="522"/>
      <c r="I35" s="522"/>
      <c r="J35" s="522"/>
      <c r="K35" s="522"/>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c r="AV35" s="415"/>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row>
    <row r="36" spans="1:11" s="29" customFormat="1" ht="24.75" customHeight="1" thickBot="1">
      <c r="A36" s="558" t="s">
        <v>618</v>
      </c>
      <c r="B36" s="559" t="s">
        <v>619</v>
      </c>
      <c r="C36" s="560" t="s">
        <v>620</v>
      </c>
      <c r="D36" s="558">
        <v>1997</v>
      </c>
      <c r="E36" s="671">
        <v>2606648.77</v>
      </c>
      <c r="F36" s="671">
        <v>-123104.28</v>
      </c>
      <c r="G36" s="671">
        <f>E36+F36</f>
        <v>2483544.49</v>
      </c>
      <c r="H36" s="671">
        <v>-143791.97</v>
      </c>
      <c r="I36" s="671">
        <f>E36+H36</f>
        <v>2462856.8</v>
      </c>
      <c r="J36" s="671">
        <v>-185167.35</v>
      </c>
      <c r="K36" s="671">
        <f>E36+J36</f>
        <v>2421481.42</v>
      </c>
    </row>
    <row r="37" spans="1:11" ht="36.75" customHeight="1" thickBot="1">
      <c r="A37" s="907" t="s">
        <v>865</v>
      </c>
      <c r="B37" s="908"/>
      <c r="C37" s="909"/>
      <c r="D37" s="909"/>
      <c r="E37" s="910">
        <f aca="true" t="shared" si="3" ref="E37:K37">E36+E34</f>
        <v>3647870.49</v>
      </c>
      <c r="F37" s="910">
        <f t="shared" si="3"/>
        <v>-172278.1</v>
      </c>
      <c r="G37" s="910">
        <f t="shared" si="3"/>
        <v>3475592.39</v>
      </c>
      <c r="H37" s="910">
        <f t="shared" si="3"/>
        <v>-201229.45</v>
      </c>
      <c r="I37" s="910">
        <f t="shared" si="3"/>
        <v>3446641.04</v>
      </c>
      <c r="J37" s="910">
        <f t="shared" si="3"/>
        <v>-259132.16</v>
      </c>
      <c r="K37" s="910">
        <f t="shared" si="3"/>
        <v>3388738.33</v>
      </c>
    </row>
    <row r="38" spans="2:31" ht="27" customHeight="1" thickTop="1">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42" spans="1:2" ht="12.75">
      <c r="A42" s="122" t="s">
        <v>621</v>
      </c>
      <c r="B42" t="s">
        <v>622</v>
      </c>
    </row>
    <row r="44" ht="12.75">
      <c r="B44" t="s">
        <v>623</v>
      </c>
    </row>
    <row r="46" ht="12.75">
      <c r="B46" t="s">
        <v>624</v>
      </c>
    </row>
  </sheetData>
  <printOptions/>
  <pageMargins left="0.75" right="0.75" top="1" bottom="1" header="0.5" footer="0.5"/>
  <pageSetup fitToHeight="1" fitToWidth="1" horizontalDpi="600" verticalDpi="600" orientation="landscape" scale="64" r:id="rId1"/>
  <headerFooter alignWithMargins="0">
    <oddHeader>&amp;C&amp;A</oddHeader>
  </headerFooter>
</worksheet>
</file>

<file path=xl/worksheets/sheet17.xml><?xml version="1.0" encoding="utf-8"?>
<worksheet xmlns="http://schemas.openxmlformats.org/spreadsheetml/2006/main" xmlns:r="http://schemas.openxmlformats.org/officeDocument/2006/relationships">
  <dimension ref="B3:AC13"/>
  <sheetViews>
    <sheetView workbookViewId="0" topLeftCell="A1">
      <selection activeCell="A1" sqref="A1"/>
    </sheetView>
  </sheetViews>
  <sheetFormatPr defaultColWidth="9.140625" defaultRowHeight="12.75"/>
  <cols>
    <col min="4" max="4" width="4.7109375" style="0" customWidth="1"/>
    <col min="5" max="16" width="9.7109375" style="0" bestFit="1" customWidth="1"/>
    <col min="17" max="29" width="11.28125" style="0" bestFit="1" customWidth="1"/>
  </cols>
  <sheetData>
    <row r="3" spans="5:29" ht="12.75">
      <c r="E3" s="120"/>
      <c r="F3" s="120">
        <v>2000</v>
      </c>
      <c r="G3" s="120">
        <f aca="true" t="shared" si="0" ref="G3:AC3">F3+1</f>
        <v>2001</v>
      </c>
      <c r="H3" s="120">
        <f t="shared" si="0"/>
        <v>2002</v>
      </c>
      <c r="I3" s="120">
        <f t="shared" si="0"/>
        <v>2003</v>
      </c>
      <c r="J3" s="120">
        <f t="shared" si="0"/>
        <v>2004</v>
      </c>
      <c r="K3" s="120">
        <f t="shared" si="0"/>
        <v>2005</v>
      </c>
      <c r="L3" s="120">
        <f t="shared" si="0"/>
        <v>2006</v>
      </c>
      <c r="M3" s="120">
        <f t="shared" si="0"/>
        <v>2007</v>
      </c>
      <c r="N3" s="120">
        <f t="shared" si="0"/>
        <v>2008</v>
      </c>
      <c r="O3" s="120">
        <f t="shared" si="0"/>
        <v>2009</v>
      </c>
      <c r="P3" s="120">
        <f t="shared" si="0"/>
        <v>2010</v>
      </c>
      <c r="Q3" s="120">
        <f t="shared" si="0"/>
        <v>2011</v>
      </c>
      <c r="R3" s="120">
        <f t="shared" si="0"/>
        <v>2012</v>
      </c>
      <c r="S3" s="120">
        <f t="shared" si="0"/>
        <v>2013</v>
      </c>
      <c r="T3" s="120">
        <f t="shared" si="0"/>
        <v>2014</v>
      </c>
      <c r="U3" s="120">
        <f t="shared" si="0"/>
        <v>2015</v>
      </c>
      <c r="V3" s="120">
        <f t="shared" si="0"/>
        <v>2016</v>
      </c>
      <c r="W3" s="120">
        <f t="shared" si="0"/>
        <v>2017</v>
      </c>
      <c r="X3" s="120">
        <f t="shared" si="0"/>
        <v>2018</v>
      </c>
      <c r="Y3" s="120">
        <f t="shared" si="0"/>
        <v>2019</v>
      </c>
      <c r="Z3" s="120">
        <f t="shared" si="0"/>
        <v>2020</v>
      </c>
      <c r="AA3" s="120">
        <f t="shared" si="0"/>
        <v>2021</v>
      </c>
      <c r="AB3" s="120">
        <f t="shared" si="0"/>
        <v>2022</v>
      </c>
      <c r="AC3" s="120">
        <f t="shared" si="0"/>
        <v>2023</v>
      </c>
    </row>
    <row r="5" spans="2:29" ht="12.75">
      <c r="B5" t="s">
        <v>337</v>
      </c>
      <c r="E5" s="53"/>
      <c r="F5" s="53">
        <v>876.1</v>
      </c>
      <c r="G5" s="53">
        <v>893.6220000000001</v>
      </c>
      <c r="H5" s="53">
        <v>911.49444</v>
      </c>
      <c r="I5" s="53">
        <v>929.7243288</v>
      </c>
      <c r="J5" s="53">
        <v>900.9082867679999</v>
      </c>
      <c r="K5" s="53">
        <v>943.1058220934401</v>
      </c>
      <c r="L5" s="53">
        <v>961.9679385353089</v>
      </c>
      <c r="M5" s="53">
        <v>981.2072973060149</v>
      </c>
      <c r="N5" s="53">
        <v>975.1721028081855</v>
      </c>
      <c r="O5" s="53">
        <v>968.5030176115207</v>
      </c>
      <c r="P5" s="53">
        <v>987.8730779637511</v>
      </c>
      <c r="Q5" s="53">
        <v>1007.630539523026</v>
      </c>
      <c r="R5" s="53">
        <v>1055.5576456144063</v>
      </c>
      <c r="S5" s="53">
        <v>1076.6687985266944</v>
      </c>
      <c r="T5" s="53">
        <v>1098.2021744972285</v>
      </c>
      <c r="U5" s="53">
        <v>1120.1662179871728</v>
      </c>
      <c r="V5" s="53">
        <v>1112.505535405432</v>
      </c>
      <c r="W5" s="53">
        <v>1165.4209331938548</v>
      </c>
      <c r="X5" s="53">
        <v>1188.7293518577317</v>
      </c>
      <c r="Y5" s="53">
        <v>1212.5039388948862</v>
      </c>
      <c r="Z5" s="53">
        <v>1236.7540176727841</v>
      </c>
      <c r="AA5" s="53">
        <v>1261.4890980262398</v>
      </c>
      <c r="AB5" s="53">
        <v>1286.7188799867647</v>
      </c>
      <c r="AC5" s="53">
        <v>1312.4532575864996</v>
      </c>
    </row>
    <row r="6" spans="2:29" ht="12.75">
      <c r="B6" t="s">
        <v>338</v>
      </c>
      <c r="E6" s="333"/>
      <c r="F6" s="333">
        <v>50</v>
      </c>
      <c r="G6" s="333">
        <v>50</v>
      </c>
      <c r="H6" s="333">
        <v>50</v>
      </c>
      <c r="I6" s="333">
        <v>50</v>
      </c>
      <c r="J6" s="333">
        <v>50</v>
      </c>
      <c r="K6" s="333">
        <v>50</v>
      </c>
      <c r="L6" s="333">
        <v>50</v>
      </c>
      <c r="M6" s="333">
        <v>50</v>
      </c>
      <c r="N6" s="333">
        <v>50</v>
      </c>
      <c r="O6" s="333">
        <v>50</v>
      </c>
      <c r="P6" s="333">
        <v>50</v>
      </c>
      <c r="Q6" s="333">
        <v>50</v>
      </c>
      <c r="R6" s="333">
        <v>50</v>
      </c>
      <c r="S6" s="333">
        <v>50</v>
      </c>
      <c r="T6" s="333">
        <v>50</v>
      </c>
      <c r="U6" s="333">
        <v>50</v>
      </c>
      <c r="V6" s="333">
        <v>50</v>
      </c>
      <c r="W6" s="333">
        <v>50</v>
      </c>
      <c r="X6" s="333">
        <v>50</v>
      </c>
      <c r="Y6" s="333">
        <v>50</v>
      </c>
      <c r="Z6" s="333">
        <v>50</v>
      </c>
      <c r="AA6" s="333">
        <v>50</v>
      </c>
      <c r="AB6" s="333">
        <v>50</v>
      </c>
      <c r="AC6" s="333">
        <v>50</v>
      </c>
    </row>
    <row r="7" spans="2:29" ht="12.75">
      <c r="B7" t="s">
        <v>339</v>
      </c>
      <c r="E7" s="334"/>
      <c r="F7" s="334">
        <v>242</v>
      </c>
      <c r="G7" s="334">
        <v>242</v>
      </c>
      <c r="H7" s="334">
        <v>221</v>
      </c>
      <c r="I7" s="334">
        <v>100</v>
      </c>
      <c r="J7" s="334">
        <v>100</v>
      </c>
      <c r="K7" s="334">
        <v>100</v>
      </c>
      <c r="L7" s="334">
        <v>100</v>
      </c>
      <c r="M7" s="334">
        <v>100</v>
      </c>
      <c r="N7" s="334">
        <v>100</v>
      </c>
      <c r="O7" s="334">
        <v>100</v>
      </c>
      <c r="P7" s="334">
        <v>100</v>
      </c>
      <c r="Q7" s="334">
        <v>100</v>
      </c>
      <c r="R7" s="334">
        <v>100</v>
      </c>
      <c r="S7" s="334">
        <v>100</v>
      </c>
      <c r="T7" s="334">
        <v>100</v>
      </c>
      <c r="U7" s="334">
        <v>100</v>
      </c>
      <c r="V7" s="334">
        <v>100</v>
      </c>
      <c r="W7" s="334">
        <v>100</v>
      </c>
      <c r="X7" s="334">
        <v>100</v>
      </c>
      <c r="Y7" s="334">
        <v>100</v>
      </c>
      <c r="Z7" s="334">
        <v>100</v>
      </c>
      <c r="AA7" s="334">
        <v>100</v>
      </c>
      <c r="AB7" s="334">
        <v>100</v>
      </c>
      <c r="AC7" s="334">
        <v>100</v>
      </c>
    </row>
    <row r="8" spans="3:29" ht="12.75">
      <c r="C8" t="s">
        <v>3</v>
      </c>
      <c r="E8" s="53"/>
      <c r="F8" s="53">
        <f aca="true" t="shared" si="1" ref="F8:AC8">SUM(F5:F7)</f>
        <v>1168.1</v>
      </c>
      <c r="G8" s="53">
        <f t="shared" si="1"/>
        <v>1185.622</v>
      </c>
      <c r="H8" s="53">
        <f t="shared" si="1"/>
        <v>1182.49444</v>
      </c>
      <c r="I8" s="53">
        <f t="shared" si="1"/>
        <v>1079.7243288</v>
      </c>
      <c r="J8" s="53">
        <f t="shared" si="1"/>
        <v>1050.908286768</v>
      </c>
      <c r="K8" s="53">
        <f t="shared" si="1"/>
        <v>1093.10582209344</v>
      </c>
      <c r="L8" s="53">
        <f t="shared" si="1"/>
        <v>1111.9679385353088</v>
      </c>
      <c r="M8" s="53">
        <f t="shared" si="1"/>
        <v>1131.2072973060149</v>
      </c>
      <c r="N8" s="53">
        <f t="shared" si="1"/>
        <v>1125.1721028081856</v>
      </c>
      <c r="O8" s="53">
        <f t="shared" si="1"/>
        <v>1118.5030176115206</v>
      </c>
      <c r="P8" s="53">
        <f t="shared" si="1"/>
        <v>1137.8730779637513</v>
      </c>
      <c r="Q8" s="53">
        <f t="shared" si="1"/>
        <v>1157.630539523026</v>
      </c>
      <c r="R8" s="53">
        <f t="shared" si="1"/>
        <v>1205.5576456144063</v>
      </c>
      <c r="S8" s="53">
        <f t="shared" si="1"/>
        <v>1226.6687985266944</v>
      </c>
      <c r="T8" s="53">
        <f t="shared" si="1"/>
        <v>1248.2021744972285</v>
      </c>
      <c r="U8" s="53">
        <f t="shared" si="1"/>
        <v>1270.1662179871728</v>
      </c>
      <c r="V8" s="53">
        <f t="shared" si="1"/>
        <v>1262.505535405432</v>
      </c>
      <c r="W8" s="53">
        <f t="shared" si="1"/>
        <v>1315.4209331938548</v>
      </c>
      <c r="X8" s="53">
        <f t="shared" si="1"/>
        <v>1338.7293518577317</v>
      </c>
      <c r="Y8" s="53">
        <f t="shared" si="1"/>
        <v>1362.5039388948862</v>
      </c>
      <c r="Z8" s="53">
        <f t="shared" si="1"/>
        <v>1386.7540176727841</v>
      </c>
      <c r="AA8" s="53">
        <f t="shared" si="1"/>
        <v>1411.4890980262398</v>
      </c>
      <c r="AB8" s="53">
        <f t="shared" si="1"/>
        <v>1436.7188799867647</v>
      </c>
      <c r="AC8" s="53">
        <f t="shared" si="1"/>
        <v>1462.4532575864996</v>
      </c>
    </row>
    <row r="9" spans="2:29" ht="15">
      <c r="B9" t="s">
        <v>340</v>
      </c>
      <c r="E9" s="174"/>
      <c r="F9" s="174">
        <f aca="true" t="shared" si="2" ref="F9:AC9">-F5/2</f>
        <v>-438.05</v>
      </c>
      <c r="G9" s="174">
        <f t="shared" si="2"/>
        <v>-446.81100000000004</v>
      </c>
      <c r="H9" s="174">
        <f t="shared" si="2"/>
        <v>-455.74722</v>
      </c>
      <c r="I9" s="174">
        <f t="shared" si="2"/>
        <v>-464.8621644</v>
      </c>
      <c r="J9" s="174">
        <f t="shared" si="2"/>
        <v>-450.45414338399996</v>
      </c>
      <c r="K9" s="174">
        <f t="shared" si="2"/>
        <v>-471.55291104672006</v>
      </c>
      <c r="L9" s="174">
        <f t="shared" si="2"/>
        <v>-480.98396926765446</v>
      </c>
      <c r="M9" s="174">
        <f t="shared" si="2"/>
        <v>-490.60364865300744</v>
      </c>
      <c r="N9" s="174">
        <f t="shared" si="2"/>
        <v>-487.58605140409276</v>
      </c>
      <c r="O9" s="174">
        <f t="shared" si="2"/>
        <v>-484.25150880576035</v>
      </c>
      <c r="P9" s="174">
        <f t="shared" si="2"/>
        <v>-493.9365389818756</v>
      </c>
      <c r="Q9" s="174">
        <f t="shared" si="2"/>
        <v>-503.815269761513</v>
      </c>
      <c r="R9" s="174">
        <f t="shared" si="2"/>
        <v>-527.7788228072031</v>
      </c>
      <c r="S9" s="174">
        <f t="shared" si="2"/>
        <v>-538.3343992633472</v>
      </c>
      <c r="T9" s="174">
        <f t="shared" si="2"/>
        <v>-549.1010872486142</v>
      </c>
      <c r="U9" s="174">
        <f t="shared" si="2"/>
        <v>-560.0831089935864</v>
      </c>
      <c r="V9" s="174">
        <f t="shared" si="2"/>
        <v>-556.252767702716</v>
      </c>
      <c r="W9" s="174">
        <f t="shared" si="2"/>
        <v>-582.7104665969274</v>
      </c>
      <c r="X9" s="174">
        <f t="shared" si="2"/>
        <v>-594.3646759288658</v>
      </c>
      <c r="Y9" s="174">
        <f t="shared" si="2"/>
        <v>-606.2519694474431</v>
      </c>
      <c r="Z9" s="174">
        <f t="shared" si="2"/>
        <v>-618.3770088363921</v>
      </c>
      <c r="AA9" s="174">
        <f t="shared" si="2"/>
        <v>-630.7445490131199</v>
      </c>
      <c r="AB9" s="174">
        <f t="shared" si="2"/>
        <v>-643.3594399933824</v>
      </c>
      <c r="AC9" s="174">
        <f t="shared" si="2"/>
        <v>-656.2266287932498</v>
      </c>
    </row>
    <row r="10" spans="5:29" ht="12.75">
      <c r="E10" s="53"/>
      <c r="F10" s="53">
        <f aca="true" t="shared" si="3" ref="F10:AC10">F8+F9</f>
        <v>730.05</v>
      </c>
      <c r="G10" s="53">
        <f t="shared" si="3"/>
        <v>738.811</v>
      </c>
      <c r="H10" s="53">
        <f t="shared" si="3"/>
        <v>726.74722</v>
      </c>
      <c r="I10" s="53">
        <f t="shared" si="3"/>
        <v>614.8621644</v>
      </c>
      <c r="J10" s="53">
        <f t="shared" si="3"/>
        <v>600.454143384</v>
      </c>
      <c r="K10" s="53">
        <f t="shared" si="3"/>
        <v>621.55291104672</v>
      </c>
      <c r="L10" s="53">
        <f t="shared" si="3"/>
        <v>630.9839692676544</v>
      </c>
      <c r="M10" s="53">
        <f t="shared" si="3"/>
        <v>640.6036486530074</v>
      </c>
      <c r="N10" s="53">
        <f t="shared" si="3"/>
        <v>637.5860514040928</v>
      </c>
      <c r="O10" s="53">
        <f t="shared" si="3"/>
        <v>634.2515088057603</v>
      </c>
      <c r="P10" s="53">
        <f t="shared" si="3"/>
        <v>643.9365389818756</v>
      </c>
      <c r="Q10" s="53">
        <f t="shared" si="3"/>
        <v>653.815269761513</v>
      </c>
      <c r="R10" s="53">
        <f t="shared" si="3"/>
        <v>677.7788228072031</v>
      </c>
      <c r="S10" s="53">
        <f t="shared" si="3"/>
        <v>688.3343992633472</v>
      </c>
      <c r="T10" s="53">
        <f t="shared" si="3"/>
        <v>699.1010872486142</v>
      </c>
      <c r="U10" s="53">
        <f t="shared" si="3"/>
        <v>710.0831089935864</v>
      </c>
      <c r="V10" s="53">
        <f t="shared" si="3"/>
        <v>706.252767702716</v>
      </c>
      <c r="W10" s="53">
        <f t="shared" si="3"/>
        <v>732.7104665969274</v>
      </c>
      <c r="X10" s="53">
        <f t="shared" si="3"/>
        <v>744.3646759288658</v>
      </c>
      <c r="Y10" s="53">
        <f t="shared" si="3"/>
        <v>756.2519694474431</v>
      </c>
      <c r="Z10" s="53">
        <f t="shared" si="3"/>
        <v>768.3770088363921</v>
      </c>
      <c r="AA10" s="53">
        <f t="shared" si="3"/>
        <v>780.7445490131199</v>
      </c>
      <c r="AB10" s="53">
        <f t="shared" si="3"/>
        <v>793.3594399933824</v>
      </c>
      <c r="AC10" s="53">
        <f t="shared" si="3"/>
        <v>806.2266287932498</v>
      </c>
    </row>
    <row r="11" spans="5:29" ht="12.75">
      <c r="E11" s="53"/>
      <c r="F11" s="53"/>
      <c r="G11" s="53"/>
      <c r="H11" s="53"/>
      <c r="I11" s="53"/>
      <c r="J11" s="53"/>
      <c r="K11" s="53"/>
      <c r="L11" s="53"/>
      <c r="M11" s="53"/>
      <c r="N11" s="53"/>
      <c r="O11" s="53"/>
      <c r="P11" s="53"/>
      <c r="Q11" s="53"/>
      <c r="R11" s="53"/>
      <c r="S11" s="53"/>
      <c r="T11" s="53"/>
      <c r="U11" s="53"/>
      <c r="V11" s="53"/>
      <c r="W11" s="53"/>
      <c r="X11" s="53"/>
      <c r="Y11" s="53"/>
      <c r="Z11" s="53"/>
      <c r="AA11" s="53"/>
      <c r="AB11" s="53"/>
      <c r="AC11" s="53"/>
    </row>
    <row r="12" spans="5:29" ht="12.75">
      <c r="E12" s="53"/>
      <c r="F12" s="53"/>
      <c r="G12" s="53"/>
      <c r="H12" s="53"/>
      <c r="I12" s="53"/>
      <c r="J12" s="53"/>
      <c r="K12" s="53"/>
      <c r="L12" s="53"/>
      <c r="M12" s="53"/>
      <c r="N12" s="53"/>
      <c r="O12" s="53"/>
      <c r="P12" s="53"/>
      <c r="Q12" s="53"/>
      <c r="R12" s="53"/>
      <c r="S12" s="53"/>
      <c r="T12" s="53"/>
      <c r="U12" s="53"/>
      <c r="V12" s="53"/>
      <c r="W12" s="53"/>
      <c r="X12" s="53"/>
      <c r="Y12" s="53"/>
      <c r="Z12" s="53"/>
      <c r="AA12" s="53"/>
      <c r="AB12" s="53"/>
      <c r="AC12" s="53"/>
    </row>
    <row r="13" spans="5:29" ht="12.75">
      <c r="E13" s="53"/>
      <c r="F13" s="53"/>
      <c r="G13" s="53"/>
      <c r="H13" s="53"/>
      <c r="I13" s="53"/>
      <c r="J13" s="53"/>
      <c r="K13" s="53"/>
      <c r="L13" s="53"/>
      <c r="M13" s="53"/>
      <c r="N13" s="53"/>
      <c r="O13" s="53"/>
      <c r="P13" s="53"/>
      <c r="Q13" s="53"/>
      <c r="R13" s="53"/>
      <c r="S13" s="53"/>
      <c r="T13" s="53"/>
      <c r="U13" s="53"/>
      <c r="V13" s="53"/>
      <c r="W13" s="53"/>
      <c r="X13" s="53"/>
      <c r="Y13" s="53"/>
      <c r="Z13" s="53"/>
      <c r="AA13" s="53"/>
      <c r="AB13" s="53"/>
      <c r="AC13" s="53"/>
    </row>
  </sheetData>
  <printOptions/>
  <pageMargins left="0.75" right="0.75" top="1" bottom="1" header="0.5" footer="0.5"/>
  <pageSetup horizontalDpi="600" verticalDpi="600" orientation="landscape" scale="70" r:id="rId1"/>
  <headerFooter alignWithMargins="0">
    <oddHeader>&amp;C&amp;A</oddHeader>
  </headerFooter>
</worksheet>
</file>

<file path=xl/worksheets/sheet18.xml><?xml version="1.0" encoding="utf-8"?>
<worksheet xmlns="http://schemas.openxmlformats.org/spreadsheetml/2006/main" xmlns:r="http://schemas.openxmlformats.org/officeDocument/2006/relationships">
  <dimension ref="A3:AF58"/>
  <sheetViews>
    <sheetView workbookViewId="0" topLeftCell="A1">
      <selection activeCell="A1" sqref="A1"/>
    </sheetView>
  </sheetViews>
  <sheetFormatPr defaultColWidth="9.140625" defaultRowHeight="12.75"/>
  <cols>
    <col min="4" max="4" width="21.57421875" style="0" customWidth="1"/>
    <col min="5" max="5" width="11.00390625" style="0" customWidth="1"/>
    <col min="6" max="6" width="10.28125" style="0" customWidth="1"/>
    <col min="7" max="7" width="10.7109375" style="0" customWidth="1"/>
    <col min="8" max="8" width="11.28125" style="0" customWidth="1"/>
    <col min="9" max="9" width="12.28125" style="0" customWidth="1"/>
    <col min="10" max="11" width="11.28125" style="0" bestFit="1" customWidth="1"/>
    <col min="12" max="12" width="10.7109375" style="0" customWidth="1"/>
    <col min="13" max="13" width="10.140625" style="0" customWidth="1"/>
    <col min="14" max="14" width="10.7109375" style="0" customWidth="1"/>
    <col min="15" max="15" width="10.28125" style="0" customWidth="1"/>
    <col min="16" max="16" width="10.7109375" style="0" customWidth="1"/>
    <col min="17" max="17" width="9.28125" style="0" bestFit="1" customWidth="1"/>
    <col min="18" max="18" width="12.28125" style="0" bestFit="1" customWidth="1"/>
    <col min="19" max="32" width="9.28125" style="0" bestFit="1" customWidth="1"/>
  </cols>
  <sheetData>
    <row r="3" spans="1:32" ht="12.75">
      <c r="A3" s="104" t="s">
        <v>314</v>
      </c>
      <c r="B3" s="105"/>
      <c r="C3" s="105"/>
      <c r="D3" s="105"/>
      <c r="E3" s="106"/>
      <c r="F3" s="106"/>
      <c r="H3">
        <v>1999</v>
      </c>
      <c r="I3">
        <v>2000</v>
      </c>
      <c r="J3">
        <f aca="true" t="shared" si="0" ref="J3:AB3">I3+1</f>
        <v>2001</v>
      </c>
      <c r="K3">
        <f t="shared" si="0"/>
        <v>2002</v>
      </c>
      <c r="L3">
        <f t="shared" si="0"/>
        <v>2003</v>
      </c>
      <c r="M3">
        <f t="shared" si="0"/>
        <v>2004</v>
      </c>
      <c r="N3">
        <f t="shared" si="0"/>
        <v>2005</v>
      </c>
      <c r="O3">
        <f t="shared" si="0"/>
        <v>2006</v>
      </c>
      <c r="P3">
        <f t="shared" si="0"/>
        <v>2007</v>
      </c>
      <c r="Q3">
        <f t="shared" si="0"/>
        <v>2008</v>
      </c>
      <c r="R3">
        <f t="shared" si="0"/>
        <v>2009</v>
      </c>
      <c r="S3">
        <f t="shared" si="0"/>
        <v>2010</v>
      </c>
      <c r="T3">
        <f t="shared" si="0"/>
        <v>2011</v>
      </c>
      <c r="U3">
        <f t="shared" si="0"/>
        <v>2012</v>
      </c>
      <c r="V3">
        <f t="shared" si="0"/>
        <v>2013</v>
      </c>
      <c r="W3">
        <f t="shared" si="0"/>
        <v>2014</v>
      </c>
      <c r="X3">
        <f t="shared" si="0"/>
        <v>2015</v>
      </c>
      <c r="Y3">
        <f t="shared" si="0"/>
        <v>2016</v>
      </c>
      <c r="Z3">
        <f t="shared" si="0"/>
        <v>2017</v>
      </c>
      <c r="AA3">
        <f t="shared" si="0"/>
        <v>2018</v>
      </c>
      <c r="AB3">
        <f t="shared" si="0"/>
        <v>2019</v>
      </c>
      <c r="AC3">
        <f>AB3+1</f>
        <v>2020</v>
      </c>
      <c r="AD3">
        <f>AC3+1</f>
        <v>2021</v>
      </c>
      <c r="AE3">
        <f>AD3+1</f>
        <v>2022</v>
      </c>
      <c r="AF3">
        <f>AE3+1</f>
        <v>2023</v>
      </c>
    </row>
    <row r="4" spans="1:10" ht="12.75">
      <c r="A4" s="110"/>
      <c r="B4" s="105"/>
      <c r="C4" s="105"/>
      <c r="D4" s="105"/>
      <c r="E4" s="287"/>
      <c r="F4" s="288"/>
      <c r="G4" s="288"/>
      <c r="H4" s="289"/>
      <c r="I4" s="289"/>
      <c r="J4" s="289"/>
    </row>
    <row r="5" spans="1:32" ht="12.75">
      <c r="A5" s="110"/>
      <c r="B5" s="105" t="s">
        <v>315</v>
      </c>
      <c r="C5" s="105"/>
      <c r="D5" s="105"/>
      <c r="E5" s="287"/>
      <c r="F5" s="288"/>
      <c r="G5" s="288"/>
      <c r="H5" s="289"/>
      <c r="I5" s="289">
        <f>I11/'Keep RevReq'!K15</f>
        <v>0.7221626220882992</v>
      </c>
      <c r="J5" s="289">
        <f>J11/'Keep RevReq'!L15</f>
        <v>0.7173255541324902</v>
      </c>
      <c r="K5" s="289">
        <f>K11/'Keep RevReq'!M15</f>
        <v>0.7258243603527972</v>
      </c>
      <c r="L5" s="289">
        <f>L11/'Keep RevReq'!N15</f>
        <v>0.7647696311177341</v>
      </c>
      <c r="M5" s="289">
        <f>M11/'Keep RevReq'!O15</f>
        <v>0.6868427731824203</v>
      </c>
      <c r="N5" s="289">
        <f>N11/'Keep RevReq'!P15</f>
        <v>0.7183962265247293</v>
      </c>
      <c r="O5" s="289">
        <f>O11/'Keep RevReq'!Q15</f>
        <v>0.70034221241303</v>
      </c>
      <c r="P5" s="289">
        <f>P11/'Keep RevReq'!R15</f>
        <v>0.704260908642179</v>
      </c>
      <c r="Q5" s="289">
        <f>Q11/'Keep RevReq'!S15</f>
        <v>0.6645925572673209</v>
      </c>
      <c r="R5" s="289">
        <f>R11/'Keep RevReq'!T15</f>
        <v>0.6565869673968637</v>
      </c>
      <c r="S5" s="289">
        <f>S11/'Keep RevReq'!U15</f>
        <v>0.6490574171263509</v>
      </c>
      <c r="T5" s="289">
        <f>T11/'Keep RevReq'!V15</f>
        <v>0.6423506233500739</v>
      </c>
      <c r="U5" s="289">
        <f>U11/'Keep RevReq'!W15</f>
        <v>0.6588652172058005</v>
      </c>
      <c r="V5" s="289">
        <f>V11/'Keep RevReq'!X15</f>
        <v>0.6585785091239417</v>
      </c>
      <c r="W5" s="289">
        <f>W11/'Keep RevReq'!Y15</f>
        <v>0.6546506708266825</v>
      </c>
      <c r="X5" s="289">
        <f>X11/'Keep RevReq'!Z15</f>
        <v>0.6501017129388965</v>
      </c>
      <c r="Y5" s="289">
        <f>Y11/'Keep RevReq'!AA15</f>
        <v>0.6323684730898922</v>
      </c>
      <c r="Z5" s="289">
        <f>Z11/'Keep RevReq'!AB15</f>
        <v>0.6474881430966617</v>
      </c>
      <c r="AA5" s="289">
        <f>AA11/'Keep RevReq'!AC15</f>
        <v>0.6464653634083599</v>
      </c>
      <c r="AB5" s="289">
        <f>AB11/'Keep RevReq'!AD15</f>
        <v>0.6699919286326781</v>
      </c>
      <c r="AC5" s="289">
        <f>AC11/'Keep RevReq'!AE15</f>
        <v>0.6699919286326781</v>
      </c>
      <c r="AD5" s="289">
        <f>AD11/'Keep RevReq'!AF15</f>
        <v>0.6736840538321147</v>
      </c>
      <c r="AE5" s="289">
        <f>AE11/'Keep RevReq'!AG15</f>
        <v>0.674027507339039</v>
      </c>
      <c r="AF5" s="289">
        <f>AF11/'Keep RevReq'!AH15</f>
        <v>0.674027507339039</v>
      </c>
    </row>
    <row r="6" spans="1:32" ht="12.75">
      <c r="A6" s="110"/>
      <c r="B6" s="105" t="s">
        <v>316</v>
      </c>
      <c r="C6" s="105"/>
      <c r="D6" s="105"/>
      <c r="E6" s="290"/>
      <c r="F6" s="288"/>
      <c r="G6" s="288"/>
      <c r="H6" s="291"/>
      <c r="I6" s="291">
        <f aca="true" t="shared" si="1" ref="I6:AF6">(1-I5)</f>
        <v>0.2778373779117008</v>
      </c>
      <c r="J6" s="291">
        <f t="shared" si="1"/>
        <v>0.2826744458675098</v>
      </c>
      <c r="K6" s="291">
        <f t="shared" si="1"/>
        <v>0.2741756396472028</v>
      </c>
      <c r="L6" s="291">
        <f t="shared" si="1"/>
        <v>0.2352303688822659</v>
      </c>
      <c r="M6" s="291">
        <f t="shared" si="1"/>
        <v>0.31315722681757974</v>
      </c>
      <c r="N6" s="291">
        <f t="shared" si="1"/>
        <v>0.28160377347527066</v>
      </c>
      <c r="O6" s="291">
        <f t="shared" si="1"/>
        <v>0.29965778758697004</v>
      </c>
      <c r="P6" s="291">
        <f t="shared" si="1"/>
        <v>0.29573909135782095</v>
      </c>
      <c r="Q6" s="291">
        <f t="shared" si="1"/>
        <v>0.3354074427326791</v>
      </c>
      <c r="R6" s="291">
        <f t="shared" si="1"/>
        <v>0.34341303260313627</v>
      </c>
      <c r="S6" s="291">
        <f t="shared" si="1"/>
        <v>0.3509425828736491</v>
      </c>
      <c r="T6" s="291">
        <f t="shared" si="1"/>
        <v>0.35764937664992613</v>
      </c>
      <c r="U6" s="291">
        <f t="shared" si="1"/>
        <v>0.3411347827941995</v>
      </c>
      <c r="V6" s="291">
        <f t="shared" si="1"/>
        <v>0.34142149087605833</v>
      </c>
      <c r="W6" s="291">
        <f t="shared" si="1"/>
        <v>0.3453493291733175</v>
      </c>
      <c r="X6" s="291">
        <f t="shared" si="1"/>
        <v>0.3498982870611035</v>
      </c>
      <c r="Y6" s="291">
        <f t="shared" si="1"/>
        <v>0.3676315269101078</v>
      </c>
      <c r="Z6" s="291">
        <f t="shared" si="1"/>
        <v>0.3525118569033383</v>
      </c>
      <c r="AA6" s="291">
        <f t="shared" si="1"/>
        <v>0.3535346365916401</v>
      </c>
      <c r="AB6" s="291">
        <f t="shared" si="1"/>
        <v>0.3300080713673219</v>
      </c>
      <c r="AC6" s="291">
        <f t="shared" si="1"/>
        <v>0.3300080713673219</v>
      </c>
      <c r="AD6" s="291">
        <f t="shared" si="1"/>
        <v>0.3263159461678853</v>
      </c>
      <c r="AE6" s="291">
        <f t="shared" si="1"/>
        <v>0.32597249266096096</v>
      </c>
      <c r="AF6" s="291">
        <f t="shared" si="1"/>
        <v>0.32597249266096096</v>
      </c>
    </row>
    <row r="7" spans="1:32" ht="12.75">
      <c r="A7" s="110"/>
      <c r="B7" s="105"/>
      <c r="C7" s="105" t="s">
        <v>3</v>
      </c>
      <c r="D7" s="105"/>
      <c r="E7" s="290"/>
      <c r="F7" s="292"/>
      <c r="G7" s="292"/>
      <c r="H7" s="292"/>
      <c r="I7" s="292">
        <f aca="true" t="shared" si="2" ref="I7:AF7">SUM(I5:I6)</f>
        <v>1</v>
      </c>
      <c r="J7" s="292">
        <f t="shared" si="2"/>
        <v>1</v>
      </c>
      <c r="K7" s="292">
        <f t="shared" si="2"/>
        <v>1</v>
      </c>
      <c r="L7" s="292">
        <f t="shared" si="2"/>
        <v>1</v>
      </c>
      <c r="M7" s="292">
        <f t="shared" si="2"/>
        <v>1</v>
      </c>
      <c r="N7" s="292">
        <f t="shared" si="2"/>
        <v>1</v>
      </c>
      <c r="O7" s="292">
        <f t="shared" si="2"/>
        <v>1</v>
      </c>
      <c r="P7" s="292">
        <f t="shared" si="2"/>
        <v>1</v>
      </c>
      <c r="Q7" s="292">
        <f t="shared" si="2"/>
        <v>1</v>
      </c>
      <c r="R7" s="292">
        <f t="shared" si="2"/>
        <v>1</v>
      </c>
      <c r="S7" s="292">
        <f t="shared" si="2"/>
        <v>1</v>
      </c>
      <c r="T7" s="292">
        <f t="shared" si="2"/>
        <v>1</v>
      </c>
      <c r="U7" s="292">
        <f t="shared" si="2"/>
        <v>1</v>
      </c>
      <c r="V7" s="292">
        <f t="shared" si="2"/>
        <v>1</v>
      </c>
      <c r="W7" s="292">
        <f t="shared" si="2"/>
        <v>1</v>
      </c>
      <c r="X7" s="292">
        <f t="shared" si="2"/>
        <v>1</v>
      </c>
      <c r="Y7" s="292">
        <f t="shared" si="2"/>
        <v>1</v>
      </c>
      <c r="Z7" s="292">
        <f t="shared" si="2"/>
        <v>1</v>
      </c>
      <c r="AA7" s="292">
        <f t="shared" si="2"/>
        <v>1</v>
      </c>
      <c r="AB7" s="292">
        <f t="shared" si="2"/>
        <v>1</v>
      </c>
      <c r="AC7" s="292">
        <f t="shared" si="2"/>
        <v>1</v>
      </c>
      <c r="AD7" s="292">
        <f t="shared" si="2"/>
        <v>1</v>
      </c>
      <c r="AE7" s="292">
        <f t="shared" si="2"/>
        <v>1</v>
      </c>
      <c r="AF7" s="292">
        <f t="shared" si="2"/>
        <v>1</v>
      </c>
    </row>
    <row r="8" spans="1:10" ht="12.75">
      <c r="A8" s="110"/>
      <c r="B8" s="105"/>
      <c r="C8" s="105"/>
      <c r="D8" s="105"/>
      <c r="E8" s="287"/>
      <c r="F8" s="288"/>
      <c r="G8" s="288"/>
      <c r="H8" s="289"/>
      <c r="I8" s="289"/>
      <c r="J8" s="289"/>
    </row>
    <row r="9" spans="1:10" ht="12.75">
      <c r="A9" s="110"/>
      <c r="B9" s="105" t="s">
        <v>317</v>
      </c>
      <c r="C9" s="105"/>
      <c r="D9" s="105"/>
      <c r="E9" s="290"/>
      <c r="F9" s="106"/>
      <c r="G9" s="106"/>
      <c r="H9" s="293"/>
      <c r="I9" s="105"/>
      <c r="J9" s="105"/>
    </row>
    <row r="10" spans="1:10" ht="12.75">
      <c r="A10" s="110"/>
      <c r="B10" s="105"/>
      <c r="C10" s="105" t="s">
        <v>318</v>
      </c>
      <c r="D10" s="105"/>
      <c r="E10" s="290"/>
      <c r="F10" s="106"/>
      <c r="G10" s="106"/>
      <c r="H10" s="293"/>
      <c r="I10" s="105"/>
      <c r="J10" s="105"/>
    </row>
    <row r="11" spans="1:32" ht="12.75">
      <c r="A11" s="110"/>
      <c r="B11" s="105"/>
      <c r="C11" s="105"/>
      <c r="D11" s="105" t="s">
        <v>319</v>
      </c>
      <c r="E11" s="290"/>
      <c r="F11" s="294"/>
      <c r="G11" s="295"/>
      <c r="H11" s="296"/>
      <c r="I11" s="622">
        <f>I13*I12*2000/1000000</f>
        <v>28971200</v>
      </c>
      <c r="J11" s="622">
        <f>J13*J12*2000/1000000</f>
        <v>28807800</v>
      </c>
      <c r="K11" s="622">
        <f aca="true" t="shared" si="3" ref="K11:AB11">K13*K12*2000/1000000</f>
        <v>29256200</v>
      </c>
      <c r="L11" s="622">
        <f t="shared" si="3"/>
        <v>31224132.307692308</v>
      </c>
      <c r="M11" s="622">
        <f t="shared" si="3"/>
        <v>27870949.461538456</v>
      </c>
      <c r="N11" s="622">
        <f t="shared" si="3"/>
        <v>28964396.1</v>
      </c>
      <c r="O11" s="622">
        <f t="shared" si="3"/>
        <v>29210918.25</v>
      </c>
      <c r="P11" s="622">
        <f t="shared" si="3"/>
        <v>29261787.9</v>
      </c>
      <c r="Q11" s="622">
        <f t="shared" si="3"/>
        <v>27989143.63846153</v>
      </c>
      <c r="R11" s="622">
        <f t="shared" si="3"/>
        <v>27720347.203846157</v>
      </c>
      <c r="S11" s="622">
        <f t="shared" si="3"/>
        <v>27746333.86923077</v>
      </c>
      <c r="T11" s="622">
        <f t="shared" si="3"/>
        <v>27828006.246153846</v>
      </c>
      <c r="U11" s="622">
        <f t="shared" si="3"/>
        <v>29045265.799999997</v>
      </c>
      <c r="V11" s="622">
        <f t="shared" si="3"/>
        <v>29113894.676923074</v>
      </c>
      <c r="W11" s="622">
        <f t="shared" si="3"/>
        <v>28942322.484615378</v>
      </c>
      <c r="X11" s="622">
        <f t="shared" si="3"/>
        <v>28744061.28461538</v>
      </c>
      <c r="Y11" s="622">
        <f t="shared" si="3"/>
        <v>27957939.573076922</v>
      </c>
      <c r="Z11" s="622">
        <f t="shared" si="3"/>
        <v>28717372.276923075</v>
      </c>
      <c r="AA11" s="622">
        <f t="shared" si="3"/>
        <v>28705934.130769227</v>
      </c>
      <c r="AB11" s="622">
        <f t="shared" si="3"/>
        <v>29750618.146153845</v>
      </c>
      <c r="AC11" s="622">
        <f>AC13*AC12*2000/1000000</f>
        <v>29750618.146153845</v>
      </c>
      <c r="AD11" s="622">
        <f>AD13*AD12*2000/1000000</f>
        <v>29914564.907692302</v>
      </c>
      <c r="AE11" s="622">
        <f>AE13*AE12*2000/1000000</f>
        <v>29929815.769230764</v>
      </c>
      <c r="AF11" s="622">
        <f>AF13*AF12*2000/1000000</f>
        <v>29929815.769230764</v>
      </c>
    </row>
    <row r="12" spans="1:32" ht="12.75">
      <c r="A12" s="105"/>
      <c r="B12" s="294"/>
      <c r="C12" s="105"/>
      <c r="D12" s="294" t="s">
        <v>320</v>
      </c>
      <c r="E12" s="297"/>
      <c r="F12" s="294"/>
      <c r="G12" s="304"/>
      <c r="H12" s="296"/>
      <c r="I12" s="296">
        <f>Inputs!J37</f>
        <v>7624</v>
      </c>
      <c r="J12" s="296">
        <f>Inputs!K37</f>
        <v>7581</v>
      </c>
      <c r="K12" s="296">
        <f>Inputs!L37</f>
        <v>7699</v>
      </c>
      <c r="L12" s="296">
        <f>Inputs!M37</f>
        <v>7780</v>
      </c>
      <c r="M12" s="296">
        <f>Inputs!N37</f>
        <v>7310</v>
      </c>
      <c r="N12" s="296">
        <f>Inputs!O37</f>
        <v>7402</v>
      </c>
      <c r="O12" s="296">
        <f>Inputs!P37</f>
        <v>7465</v>
      </c>
      <c r="P12" s="296">
        <f>Inputs!Q37</f>
        <v>7478</v>
      </c>
      <c r="Q12" s="296">
        <f>Inputs!R37</f>
        <v>7341</v>
      </c>
      <c r="R12" s="296">
        <f>Inputs!S37</f>
        <v>7467</v>
      </c>
      <c r="S12" s="296">
        <f>Inputs!T37</f>
        <v>7474</v>
      </c>
      <c r="T12" s="296">
        <f>Inputs!U37</f>
        <v>7496</v>
      </c>
      <c r="U12" s="296">
        <f>Inputs!V37</f>
        <v>7618</v>
      </c>
      <c r="V12" s="296">
        <f>Inputs!W37</f>
        <v>7636</v>
      </c>
      <c r="W12" s="296">
        <f>Inputs!X37</f>
        <v>7591</v>
      </c>
      <c r="X12" s="296">
        <f>Inputs!Y37</f>
        <v>7539</v>
      </c>
      <c r="Y12" s="296">
        <f>Inputs!Z37</f>
        <v>7531</v>
      </c>
      <c r="Z12" s="296">
        <f>Inputs!AA37</f>
        <v>7532</v>
      </c>
      <c r="AA12" s="296">
        <f>Inputs!AB37</f>
        <v>7529</v>
      </c>
      <c r="AB12" s="296">
        <f>Inputs!AC37</f>
        <v>7803</v>
      </c>
      <c r="AC12" s="296">
        <f>Inputs!AD37</f>
        <v>7803</v>
      </c>
      <c r="AD12" s="296">
        <f>Inputs!AE37</f>
        <v>7846</v>
      </c>
      <c r="AE12" s="296">
        <f>Inputs!AF37</f>
        <v>7850</v>
      </c>
      <c r="AF12" s="296">
        <f>Inputs!AG37</f>
        <v>7850</v>
      </c>
    </row>
    <row r="13" spans="1:32" ht="12.75">
      <c r="A13" s="105"/>
      <c r="B13" s="294"/>
      <c r="C13" s="105"/>
      <c r="D13" s="105" t="s">
        <v>321</v>
      </c>
      <c r="E13" s="297"/>
      <c r="F13" s="294"/>
      <c r="G13" s="304"/>
      <c r="H13" s="296"/>
      <c r="I13" s="296">
        <f>Inputs!J38*Inputs!$G$7</f>
        <v>1900000</v>
      </c>
      <c r="J13" s="296">
        <f>Inputs!K38*Inputs!$G$7</f>
        <v>1900000</v>
      </c>
      <c r="K13" s="296">
        <f>Inputs!L38*Inputs!$G$7</f>
        <v>1900000</v>
      </c>
      <c r="L13" s="296">
        <f>Inputs!M38*Inputs!$G$7</f>
        <v>2006692.3076923077</v>
      </c>
      <c r="M13" s="296">
        <f>Inputs!N38*Inputs!$G$7</f>
        <v>1906357.692307692</v>
      </c>
      <c r="N13" s="296">
        <f>Inputs!O38*Inputs!$G$7</f>
        <v>1956525</v>
      </c>
      <c r="O13" s="296">
        <f>Inputs!P38*Inputs!$G$7</f>
        <v>1956525</v>
      </c>
      <c r="P13" s="296">
        <f>Inputs!Q38*Inputs!$G$7</f>
        <v>1956525</v>
      </c>
      <c r="Q13" s="296">
        <f>Inputs!R38*Inputs!$G$7</f>
        <v>1906357.692307692</v>
      </c>
      <c r="R13" s="296">
        <f>Inputs!S38*Inputs!$G$7</f>
        <v>1856190.3846153847</v>
      </c>
      <c r="S13" s="296">
        <f>Inputs!T38*Inputs!$G$7</f>
        <v>1856190.3846153847</v>
      </c>
      <c r="T13" s="296">
        <f>Inputs!U38*Inputs!$G$7</f>
        <v>1856190.3846153847</v>
      </c>
      <c r="U13" s="296">
        <f>Inputs!V38*Inputs!$G$7</f>
        <v>1906357.692307692</v>
      </c>
      <c r="V13" s="296">
        <f>Inputs!W38*Inputs!$G$7</f>
        <v>1906357.692307692</v>
      </c>
      <c r="W13" s="296">
        <f>Inputs!X38*Inputs!$G$7</f>
        <v>1906357.692307692</v>
      </c>
      <c r="X13" s="296">
        <f>Inputs!Y38*Inputs!$G$7</f>
        <v>1906357.692307692</v>
      </c>
      <c r="Y13" s="296">
        <f>Inputs!Z38*Inputs!$G$7</f>
        <v>1856190.3846153847</v>
      </c>
      <c r="Z13" s="296">
        <f>Inputs!AA38*Inputs!$G$7</f>
        <v>1906357.692307692</v>
      </c>
      <c r="AA13" s="296">
        <f>Inputs!AB38*Inputs!$G$7</f>
        <v>1906357.692307692</v>
      </c>
      <c r="AB13" s="296">
        <f>Inputs!AC38*Inputs!$G$7</f>
        <v>1906357.692307692</v>
      </c>
      <c r="AC13" s="296">
        <f>Inputs!AD38*Inputs!$G$7</f>
        <v>1906357.692307692</v>
      </c>
      <c r="AD13" s="296">
        <f>Inputs!AE38*Inputs!$G$7</f>
        <v>1906357.692307692</v>
      </c>
      <c r="AE13" s="296">
        <f>Inputs!AF38*Inputs!$G$7</f>
        <v>1906357.692307692</v>
      </c>
      <c r="AF13" s="296">
        <f>Inputs!AG38*Inputs!$G$7</f>
        <v>1906357.692307692</v>
      </c>
    </row>
    <row r="14" spans="1:32" ht="12.75">
      <c r="A14" s="105"/>
      <c r="B14" s="105"/>
      <c r="C14" s="105"/>
      <c r="D14" s="105" t="s">
        <v>322</v>
      </c>
      <c r="E14" s="106"/>
      <c r="F14" s="298"/>
      <c r="G14" s="298"/>
      <c r="H14" s="305"/>
      <c r="I14" s="851">
        <f>I15*1000/I13</f>
        <v>24.511835763793638</v>
      </c>
      <c r="J14" s="851">
        <f>J15*1000/J13</f>
        <v>25.110560334030055</v>
      </c>
      <c r="K14" s="851">
        <f>K15*1000/K13</f>
        <v>25.631760228767494</v>
      </c>
      <c r="L14" s="851">
        <f>L15*1000/L13</f>
        <v>26.2726840601008</v>
      </c>
      <c r="M14" s="851">
        <f aca="true" t="shared" si="4" ref="M14:AF14">M15*1000/M13</f>
        <v>26.962343100403356</v>
      </c>
      <c r="N14" s="851">
        <f t="shared" si="4"/>
        <v>27.66027416796837</v>
      </c>
      <c r="O14" s="851">
        <f t="shared" si="4"/>
        <v>28.362347087836543</v>
      </c>
      <c r="P14" s="851">
        <f t="shared" si="4"/>
        <v>29.069434191636763</v>
      </c>
      <c r="Q14" s="851">
        <f t="shared" si="4"/>
        <v>29.793122082146592</v>
      </c>
      <c r="R14" s="851">
        <f t="shared" si="4"/>
        <v>30.55030906449005</v>
      </c>
      <c r="S14" s="851">
        <f t="shared" si="4"/>
        <v>31.349758840945352</v>
      </c>
      <c r="T14" s="851">
        <f t="shared" si="4"/>
        <v>32.17840352301205</v>
      </c>
      <c r="U14" s="851">
        <f t="shared" si="4"/>
        <v>33.019180581107605</v>
      </c>
      <c r="V14" s="851">
        <f t="shared" si="4"/>
        <v>33.91973433945331</v>
      </c>
      <c r="W14" s="851">
        <f t="shared" si="4"/>
        <v>34.859159922339174</v>
      </c>
      <c r="X14" s="851">
        <f t="shared" si="4"/>
        <v>35.87516803249354</v>
      </c>
      <c r="Y14" s="851">
        <f t="shared" si="4"/>
        <v>36.98508543029527</v>
      </c>
      <c r="Z14" s="851">
        <f t="shared" si="4"/>
        <v>38.177239545054064</v>
      </c>
      <c r="AA14" s="851">
        <f t="shared" si="4"/>
        <v>39.478666159263234</v>
      </c>
      <c r="AB14" s="851">
        <f t="shared" si="4"/>
        <v>40.89896175765403</v>
      </c>
      <c r="AC14" s="851">
        <f t="shared" si="4"/>
        <v>42.48722017389702</v>
      </c>
      <c r="AD14" s="851">
        <f t="shared" si="4"/>
        <v>44.180002250393976</v>
      </c>
      <c r="AE14" s="851">
        <f t="shared" si="4"/>
        <v>46.022892972973274</v>
      </c>
      <c r="AF14" s="851">
        <f t="shared" si="4"/>
        <v>48.02109113973983</v>
      </c>
    </row>
    <row r="15" spans="1:32" ht="12.75">
      <c r="A15" s="294"/>
      <c r="B15" s="105"/>
      <c r="C15" s="105" t="s">
        <v>323</v>
      </c>
      <c r="D15" s="105"/>
      <c r="E15" s="106"/>
      <c r="F15" s="299">
        <f>SUM(H15:AF15)</f>
        <v>1546626.5832517308</v>
      </c>
      <c r="G15" s="299"/>
      <c r="H15" s="300"/>
      <c r="I15" s="770">
        <f>I57</f>
        <v>46572.48795120791</v>
      </c>
      <c r="J15" s="770">
        <f aca="true" t="shared" si="5" ref="J15:AF15">J57</f>
        <v>47710.06463465711</v>
      </c>
      <c r="K15" s="770">
        <f t="shared" si="5"/>
        <v>48700.34443465824</v>
      </c>
      <c r="L15" s="770">
        <f t="shared" si="5"/>
        <v>52721.19300583459</v>
      </c>
      <c r="M15" s="770">
        <f t="shared" si="5"/>
        <v>51399.870172093164</v>
      </c>
      <c r="N15" s="770">
        <f t="shared" si="5"/>
        <v>54118.01791648432</v>
      </c>
      <c r="O15" s="770">
        <f t="shared" si="5"/>
        <v>55491.64113602939</v>
      </c>
      <c r="P15" s="770">
        <f t="shared" si="5"/>
        <v>56875.07473179211</v>
      </c>
      <c r="Q15" s="770">
        <f t="shared" si="5"/>
        <v>56796.347459162316</v>
      </c>
      <c r="R15" s="770">
        <f t="shared" si="5"/>
        <v>56707.18993253467</v>
      </c>
      <c r="S15" s="770">
        <f t="shared" si="5"/>
        <v>58191.120920573914</v>
      </c>
      <c r="T15" s="770">
        <f t="shared" si="5"/>
        <v>59729.24321168879</v>
      </c>
      <c r="U15" s="770">
        <f t="shared" si="5"/>
        <v>62946.36889449126</v>
      </c>
      <c r="V15" s="770">
        <f t="shared" si="5"/>
        <v>64663.14647905019</v>
      </c>
      <c r="W15" s="770">
        <f t="shared" si="5"/>
        <v>66454.02766533529</v>
      </c>
      <c r="X15" s="770">
        <f t="shared" si="5"/>
        <v>68390.90254157508</v>
      </c>
      <c r="Y15" s="770">
        <f t="shared" si="5"/>
        <v>68651.35994989263</v>
      </c>
      <c r="Z15" s="770">
        <f t="shared" si="5"/>
        <v>72779.47427778723</v>
      </c>
      <c r="AA15" s="770">
        <f t="shared" si="5"/>
        <v>75260.45891475883</v>
      </c>
      <c r="AB15" s="770">
        <f t="shared" si="5"/>
        <v>77968.05035410188</v>
      </c>
      <c r="AC15" s="770">
        <f t="shared" si="5"/>
        <v>80995.83900327915</v>
      </c>
      <c r="AD15" s="770">
        <f t="shared" si="5"/>
        <v>84222.8871362097</v>
      </c>
      <c r="AE15" s="770">
        <f t="shared" si="5"/>
        <v>87736.09604128123</v>
      </c>
      <c r="AF15" s="770">
        <f t="shared" si="5"/>
        <v>91545.37648725178</v>
      </c>
    </row>
    <row r="16" spans="1:32" ht="12.75">
      <c r="A16" s="294"/>
      <c r="H16" s="205"/>
      <c r="I16" s="769"/>
      <c r="J16" s="407"/>
      <c r="K16" s="407"/>
      <c r="L16" s="407"/>
      <c r="M16" s="407"/>
      <c r="N16" s="407"/>
      <c r="O16" s="407"/>
      <c r="P16" s="407"/>
      <c r="Q16" s="407"/>
      <c r="R16" s="407"/>
      <c r="S16" s="407"/>
      <c r="T16" s="407"/>
      <c r="U16" s="407"/>
      <c r="V16" s="407"/>
      <c r="W16" s="407"/>
      <c r="X16" s="407"/>
      <c r="Y16" s="407"/>
      <c r="Z16" s="407"/>
      <c r="AA16" s="407"/>
      <c r="AB16" s="407"/>
      <c r="AC16" s="407"/>
      <c r="AD16" s="769"/>
      <c r="AE16" s="769"/>
      <c r="AF16" s="769"/>
    </row>
    <row r="17" spans="1:32" ht="12.75">
      <c r="A17" s="105"/>
      <c r="C17" t="s">
        <v>324</v>
      </c>
      <c r="H17" s="53"/>
      <c r="I17" s="53">
        <f>Inputs!$G$7*Inputs!J39</f>
        <v>0</v>
      </c>
      <c r="J17" s="53">
        <f>Inputs!$G$7*Inputs!K39</f>
        <v>0</v>
      </c>
      <c r="K17" s="53">
        <f>Inputs!$G$7*Inputs!L39</f>
        <v>0</v>
      </c>
      <c r="L17" s="53">
        <f>Inputs!$G$7*Inputs!M39</f>
        <v>0</v>
      </c>
      <c r="M17" s="53">
        <f>Inputs!$G$7*Inputs!N39</f>
        <v>1485.2455949380308</v>
      </c>
      <c r="N17" s="53">
        <f>Inputs!$G$7*Inputs!O39</f>
        <v>262.79425147964525</v>
      </c>
      <c r="O17" s="53">
        <f>Inputs!$G$7*Inputs!P39</f>
        <v>280.62457414400046</v>
      </c>
      <c r="P17" s="53">
        <f>Inputs!$G$7*Inputs!Q39</f>
        <v>251.18771504031</v>
      </c>
      <c r="Q17" s="53">
        <f>Inputs!$G$7*Inputs!R39</f>
        <v>211.654645720989</v>
      </c>
      <c r="R17" s="53">
        <f>Inputs!$G$7*Inputs!S39</f>
        <v>262.6802490509266</v>
      </c>
      <c r="S17" s="53">
        <f>Inputs!$G$7*Inputs!T39</f>
        <v>268.59830962286964</v>
      </c>
      <c r="T17" s="53">
        <f>Inputs!$G$7*Inputs!U39</f>
        <v>248.26401369564076</v>
      </c>
      <c r="U17" s="53">
        <f>Inputs!$G$7*Inputs!V39</f>
        <v>277.3804741238823</v>
      </c>
      <c r="V17" s="53">
        <f>Inputs!$G$7*Inputs!W39</f>
        <v>276.37750770119965</v>
      </c>
      <c r="W17" s="53">
        <f>Inputs!$G$7*Inputs!X39</f>
        <v>284.01475663213273</v>
      </c>
      <c r="X17" s="53">
        <f>Inputs!$G$7*Inputs!Y39</f>
        <v>279.88793671543294</v>
      </c>
      <c r="Y17" s="53">
        <f>Inputs!$G$7*Inputs!Z39</f>
        <v>287.00830878897665</v>
      </c>
      <c r="Z17" s="53">
        <f>Inputs!$G$7*Inputs!AA39</f>
        <v>294.4865981002584</v>
      </c>
      <c r="AA17" s="53">
        <f>Inputs!$G$7*Inputs!AB39</f>
        <v>270.4429893932459</v>
      </c>
      <c r="AB17" s="53">
        <f>Inputs!$G$7*Inputs!AC39</f>
        <v>386.54048505273613</v>
      </c>
      <c r="AC17" s="53">
        <f>Inputs!$G$7*Inputs!AD39</f>
        <v>388.51310556672723</v>
      </c>
      <c r="AD17" s="53">
        <f>Inputs!$G$7*Inputs!AE39</f>
        <v>405.5185904287719</v>
      </c>
      <c r="AE17" s="53">
        <f>Inputs!$G$7*Inputs!AF39</f>
        <v>408.07323903697625</v>
      </c>
      <c r="AF17" s="53">
        <f>Inputs!$G$7*Inputs!AG39</f>
        <v>386.26111784165204</v>
      </c>
    </row>
    <row r="18" spans="1:32" ht="12.75">
      <c r="A18" s="105"/>
      <c r="F18" s="299">
        <f>SUM(H18:AF18)</f>
        <v>1539411.0287886562</v>
      </c>
      <c r="H18" s="205"/>
      <c r="I18" s="205">
        <f aca="true" t="shared" si="6" ref="I18:AF18">I15-I17</f>
        <v>46572.48795120791</v>
      </c>
      <c r="J18" s="205">
        <f t="shared" si="6"/>
        <v>47710.06463465711</v>
      </c>
      <c r="K18" s="205">
        <f t="shared" si="6"/>
        <v>48700.34443465824</v>
      </c>
      <c r="L18" s="205">
        <f t="shared" si="6"/>
        <v>52721.19300583459</v>
      </c>
      <c r="M18" s="205">
        <f t="shared" si="6"/>
        <v>49914.62457715513</v>
      </c>
      <c r="N18" s="205">
        <f t="shared" si="6"/>
        <v>53855.223665004676</v>
      </c>
      <c r="O18" s="205">
        <f t="shared" si="6"/>
        <v>55211.01656188539</v>
      </c>
      <c r="P18" s="205">
        <f t="shared" si="6"/>
        <v>56623.8870167518</v>
      </c>
      <c r="Q18" s="205">
        <f t="shared" si="6"/>
        <v>56584.692813441325</v>
      </c>
      <c r="R18" s="205">
        <f t="shared" si="6"/>
        <v>56444.50968348374</v>
      </c>
      <c r="S18" s="205">
        <f t="shared" si="6"/>
        <v>57922.52261095105</v>
      </c>
      <c r="T18" s="205">
        <f t="shared" si="6"/>
        <v>59480.97919799315</v>
      </c>
      <c r="U18" s="205">
        <f t="shared" si="6"/>
        <v>62668.98842036737</v>
      </c>
      <c r="V18" s="205">
        <f t="shared" si="6"/>
        <v>64386.768971348996</v>
      </c>
      <c r="W18" s="205">
        <f t="shared" si="6"/>
        <v>66170.01290870315</v>
      </c>
      <c r="X18" s="205">
        <f t="shared" si="6"/>
        <v>68111.01460485965</v>
      </c>
      <c r="Y18" s="205">
        <f t="shared" si="6"/>
        <v>68364.35164110365</v>
      </c>
      <c r="Z18" s="205">
        <f t="shared" si="6"/>
        <v>72484.98767968698</v>
      </c>
      <c r="AA18" s="205">
        <f t="shared" si="6"/>
        <v>74990.01592536559</v>
      </c>
      <c r="AB18" s="205">
        <f t="shared" si="6"/>
        <v>77581.50986904914</v>
      </c>
      <c r="AC18" s="205">
        <f t="shared" si="6"/>
        <v>80607.32589771242</v>
      </c>
      <c r="AD18" s="205">
        <f t="shared" si="6"/>
        <v>83817.36854578092</v>
      </c>
      <c r="AE18" s="205">
        <f t="shared" si="6"/>
        <v>87328.02280224425</v>
      </c>
      <c r="AF18" s="205">
        <f t="shared" si="6"/>
        <v>91159.11536941012</v>
      </c>
    </row>
    <row r="19" spans="1:10" ht="12.75">
      <c r="A19" s="105"/>
      <c r="B19" s="105"/>
      <c r="C19" s="105"/>
      <c r="D19" s="105"/>
      <c r="E19" s="106"/>
      <c r="F19" s="295"/>
      <c r="G19" s="295"/>
      <c r="H19" s="301"/>
      <c r="I19" s="301"/>
      <c r="J19" s="301"/>
    </row>
    <row r="20" spans="1:10" ht="12.75">
      <c r="A20" s="105"/>
      <c r="B20" s="105"/>
      <c r="C20" s="105"/>
      <c r="D20" s="105"/>
      <c r="E20" s="105"/>
      <c r="F20" s="105"/>
      <c r="G20" s="105"/>
      <c r="H20" s="105"/>
      <c r="I20" s="105"/>
      <c r="J20" s="105"/>
    </row>
    <row r="21" spans="1:10" ht="12.75">
      <c r="A21" s="105"/>
      <c r="B21" s="104" t="s">
        <v>316</v>
      </c>
      <c r="C21" s="105"/>
      <c r="D21" s="105"/>
      <c r="E21" s="106"/>
      <c r="F21" s="327"/>
      <c r="G21" s="327"/>
      <c r="H21" s="327"/>
      <c r="I21" s="109"/>
      <c r="J21" s="105"/>
    </row>
    <row r="22" spans="1:32" ht="12.75">
      <c r="A22" s="105"/>
      <c r="B22" s="294"/>
      <c r="C22" s="294" t="s">
        <v>329</v>
      </c>
      <c r="D22" s="294"/>
      <c r="E22" s="297"/>
      <c r="F22" s="294"/>
      <c r="G22" s="295"/>
      <c r="H22" s="296"/>
      <c r="I22" s="296">
        <f>I6*'Keep RevReq'!K15</f>
        <v>11146079.8395784</v>
      </c>
      <c r="J22" s="296">
        <f>J6*'Keep RevReq'!L15</f>
        <v>11352208.010364555</v>
      </c>
      <c r="K22" s="296">
        <f>K6*'Keep RevReq'!M15</f>
        <v>11051347.663155878</v>
      </c>
      <c r="L22" s="296">
        <f>L6*'Keep RevReq'!N15</f>
        <v>9604021.73662727</v>
      </c>
      <c r="M22" s="296">
        <f>M6*'Keep RevReq'!O15</f>
        <v>12707404.930109402</v>
      </c>
      <c r="N22" s="296">
        <f>N6*'Keep RevReq'!P15</f>
        <v>11353738.97723507</v>
      </c>
      <c r="O22" s="296">
        <f>O6*'Keep RevReq'!Q15</f>
        <v>12498574.241326125</v>
      </c>
      <c r="P22" s="296">
        <f>P6*'Keep RevReq'!R15</f>
        <v>12287853.06533055</v>
      </c>
      <c r="Q22" s="296">
        <f>Q6*'Keep RevReq'!S15</f>
        <v>14125597.690492863</v>
      </c>
      <c r="R22" s="296">
        <f>R6*'Keep RevReq'!T15</f>
        <v>14498503.581065975</v>
      </c>
      <c r="S22" s="296">
        <f>S6*'Keep RevReq'!U15</f>
        <v>15002324.627078252</v>
      </c>
      <c r="T22" s="296">
        <f>T6*'Keep RevReq'!V15</f>
        <v>15494137.82061994</v>
      </c>
      <c r="U22" s="296">
        <f>U6*'Keep RevReq'!W15</f>
        <v>15038508.910674304</v>
      </c>
      <c r="V22" s="296">
        <f>V6*'Keep RevReq'!X15</f>
        <v>15093279.218944157</v>
      </c>
      <c r="W22" s="296">
        <f>W6*'Keep RevReq'!Y15</f>
        <v>15268007.962411389</v>
      </c>
      <c r="X22" s="296">
        <f>X6*'Keep RevReq'!Z15</f>
        <v>15470652.678639555</v>
      </c>
      <c r="Y22" s="296">
        <f>Y6*'Keep RevReq'!AA15</f>
        <v>16253530.104511915</v>
      </c>
      <c r="Z22" s="296">
        <f>Z6*'Keep RevReq'!AB15</f>
        <v>15634593.983926183</v>
      </c>
      <c r="AA22" s="296">
        <f>AA6*'Keep RevReq'!AC15</f>
        <v>15698508.482247043</v>
      </c>
      <c r="AB22" s="296">
        <f>AB6*'Keep RevReq'!AD15</f>
        <v>14653824.466862423</v>
      </c>
      <c r="AC22" s="296">
        <f>AC6*'Keep RevReq'!AE15</f>
        <v>14653824.466862423</v>
      </c>
      <c r="AD22" s="296">
        <f>AD6*'Keep RevReq'!AF15</f>
        <v>14489877.705323968</v>
      </c>
      <c r="AE22" s="296">
        <f>AE6*'Keep RevReq'!AG15</f>
        <v>14474626.843785508</v>
      </c>
      <c r="AF22" s="296">
        <f>AF6*'Keep RevReq'!AH15</f>
        <v>14474626.843785508</v>
      </c>
    </row>
    <row r="23" spans="1:32" ht="12.75">
      <c r="A23" s="105"/>
      <c r="B23" s="105"/>
      <c r="C23" s="105" t="s">
        <v>330</v>
      </c>
      <c r="D23" s="105"/>
      <c r="E23" s="328"/>
      <c r="F23" s="298"/>
      <c r="G23" s="298"/>
      <c r="H23" s="329"/>
      <c r="I23" s="329">
        <f>Inputs!J41</f>
        <v>1.173</v>
      </c>
      <c r="J23" s="329">
        <f>Inputs!K41</f>
        <v>1.203</v>
      </c>
      <c r="K23" s="329">
        <f>Inputs!L41</f>
        <v>1.227</v>
      </c>
      <c r="L23" s="329">
        <f>Inputs!M41</f>
        <v>1.257</v>
      </c>
      <c r="M23" s="329">
        <f>Inputs!N41</f>
        <v>1.287</v>
      </c>
      <c r="N23" s="329">
        <f>Inputs!O41</f>
        <v>1.318</v>
      </c>
      <c r="O23" s="329">
        <f>Inputs!P41</f>
        <v>1.35</v>
      </c>
      <c r="P23" s="329">
        <f>Inputs!Q41</f>
        <v>1.383</v>
      </c>
      <c r="Q23" s="329">
        <f>Inputs!R41</f>
        <v>1.416</v>
      </c>
      <c r="R23" s="329">
        <f>Inputs!S41</f>
        <v>1.45</v>
      </c>
      <c r="S23" s="329">
        <f>Inputs!T41</f>
        <v>1.485</v>
      </c>
      <c r="T23" s="329">
        <f>Inputs!U41</f>
        <v>1.521</v>
      </c>
      <c r="U23" s="329">
        <f>Inputs!V41</f>
        <v>1.558</v>
      </c>
      <c r="V23" s="329">
        <f>Inputs!W41</f>
        <v>1.60474</v>
      </c>
      <c r="W23" s="329">
        <f>Inputs!X41</f>
        <v>1.6528822</v>
      </c>
      <c r="X23" s="329">
        <f>Inputs!Y41</f>
        <v>1.7024686660000001</v>
      </c>
      <c r="Y23" s="329">
        <f>Inputs!Z41</f>
        <v>1.7535427259800003</v>
      </c>
      <c r="Z23" s="329">
        <f>Inputs!AA41</f>
        <v>1.8061490077594002</v>
      </c>
      <c r="AA23" s="329">
        <f>Inputs!AB41</f>
        <v>1.8603334779921823</v>
      </c>
      <c r="AB23" s="329">
        <f>Inputs!AC41</f>
        <v>1.9161434823319479</v>
      </c>
      <c r="AC23" s="329">
        <f>Inputs!AD41</f>
        <v>1.9736277868019063</v>
      </c>
      <c r="AD23" s="329">
        <f>Inputs!AE41</f>
        <v>2.0328366204059636</v>
      </c>
      <c r="AE23" s="329">
        <f>Inputs!AF41</f>
        <v>2.0938217190181425</v>
      </c>
      <c r="AF23" s="329">
        <f>Inputs!AG41</f>
        <v>2.1566363705886866</v>
      </c>
    </row>
    <row r="24" spans="1:32" ht="12.75">
      <c r="A24" s="105"/>
      <c r="B24" s="294"/>
      <c r="C24" s="294" t="s">
        <v>320</v>
      </c>
      <c r="D24" s="294"/>
      <c r="E24" s="297"/>
      <c r="F24" s="330"/>
      <c r="G24" s="330"/>
      <c r="H24" s="296"/>
      <c r="I24" s="296">
        <f>Inputs!J43</f>
        <v>9350</v>
      </c>
      <c r="J24" s="296">
        <f>Inputs!K43</f>
        <v>9350</v>
      </c>
      <c r="K24" s="296">
        <f>Inputs!L43</f>
        <v>9350</v>
      </c>
      <c r="L24" s="296">
        <f>Inputs!M43</f>
        <v>9350</v>
      </c>
      <c r="M24" s="296">
        <f>Inputs!N43</f>
        <v>9350</v>
      </c>
      <c r="N24" s="296">
        <f>Inputs!O43</f>
        <v>9350</v>
      </c>
      <c r="O24" s="296">
        <f>Inputs!P43</f>
        <v>9350</v>
      </c>
      <c r="P24" s="296">
        <f>Inputs!Q43</f>
        <v>9350</v>
      </c>
      <c r="Q24" s="296">
        <f>Inputs!R43</f>
        <v>9350</v>
      </c>
      <c r="R24" s="296">
        <f>Inputs!S43</f>
        <v>9350</v>
      </c>
      <c r="S24" s="296">
        <f>Inputs!T43</f>
        <v>9350</v>
      </c>
      <c r="T24" s="296">
        <f>Inputs!U43</f>
        <v>9350</v>
      </c>
      <c r="U24" s="296">
        <f>Inputs!V43</f>
        <v>9350</v>
      </c>
      <c r="V24" s="296">
        <f>Inputs!W43</f>
        <v>9350</v>
      </c>
      <c r="W24" s="296">
        <f>Inputs!X43</f>
        <v>9350</v>
      </c>
      <c r="X24" s="296">
        <f>Inputs!Y43</f>
        <v>9350</v>
      </c>
      <c r="Y24" s="296">
        <f>Inputs!Z43</f>
        <v>9350</v>
      </c>
      <c r="Z24" s="296">
        <f>Inputs!AA43</f>
        <v>9350</v>
      </c>
      <c r="AA24" s="296">
        <f>Inputs!AB43</f>
        <v>9350</v>
      </c>
      <c r="AB24" s="296">
        <f>Inputs!AC43</f>
        <v>9350</v>
      </c>
      <c r="AC24" s="296">
        <f>Inputs!AD43</f>
        <v>9350</v>
      </c>
      <c r="AD24" s="296">
        <f>Inputs!AE43</f>
        <v>9350</v>
      </c>
      <c r="AE24" s="296">
        <f>Inputs!AF43</f>
        <v>9350</v>
      </c>
      <c r="AF24" s="296">
        <f>Inputs!AG43</f>
        <v>9350</v>
      </c>
    </row>
    <row r="25" spans="2:32" ht="12.75">
      <c r="B25" s="294"/>
      <c r="C25" s="294" t="s">
        <v>185</v>
      </c>
      <c r="D25" s="294"/>
      <c r="E25" s="297"/>
      <c r="F25" s="294"/>
      <c r="G25" s="294"/>
      <c r="H25" s="296"/>
      <c r="I25" s="296">
        <f>I22/I24/2000*1000000</f>
        <v>596047.0502448342</v>
      </c>
      <c r="J25" s="296">
        <f aca="true" t="shared" si="7" ref="J25:AF25">J22/J24/2000*1000000</f>
        <v>607069.9470783186</v>
      </c>
      <c r="K25" s="296">
        <f t="shared" si="7"/>
        <v>590981.1584575336</v>
      </c>
      <c r="L25" s="296">
        <f t="shared" si="7"/>
        <v>513584.0500870197</v>
      </c>
      <c r="M25" s="296">
        <f t="shared" si="7"/>
        <v>679540.3705940857</v>
      </c>
      <c r="N25" s="296">
        <f t="shared" si="7"/>
        <v>607151.8169644423</v>
      </c>
      <c r="O25" s="296">
        <f t="shared" si="7"/>
        <v>668372.9540816109</v>
      </c>
      <c r="P25" s="296">
        <f t="shared" si="7"/>
        <v>657104.4419962862</v>
      </c>
      <c r="Q25" s="296">
        <f t="shared" si="7"/>
        <v>755379.5556413296</v>
      </c>
      <c r="R25" s="296">
        <f t="shared" si="7"/>
        <v>775321.0471158276</v>
      </c>
      <c r="S25" s="296">
        <f t="shared" si="7"/>
        <v>802263.3490416178</v>
      </c>
      <c r="T25" s="296">
        <f t="shared" si="7"/>
        <v>828563.5198192482</v>
      </c>
      <c r="U25" s="296">
        <f t="shared" si="7"/>
        <v>804198.3374692141</v>
      </c>
      <c r="V25" s="296">
        <f t="shared" si="7"/>
        <v>807127.2309595805</v>
      </c>
      <c r="W25" s="296">
        <f t="shared" si="7"/>
        <v>816471.0140326946</v>
      </c>
      <c r="X25" s="296">
        <f t="shared" si="7"/>
        <v>827307.6298737731</v>
      </c>
      <c r="Y25" s="296">
        <f t="shared" si="7"/>
        <v>869172.7328615997</v>
      </c>
      <c r="Z25" s="296">
        <f t="shared" si="7"/>
        <v>836074.5445949831</v>
      </c>
      <c r="AA25" s="296">
        <f t="shared" si="7"/>
        <v>839492.4322057243</v>
      </c>
      <c r="AB25" s="296">
        <f t="shared" si="7"/>
        <v>783626.9768375627</v>
      </c>
      <c r="AC25" s="296">
        <f t="shared" si="7"/>
        <v>783626.9768375627</v>
      </c>
      <c r="AD25" s="296">
        <f t="shared" si="7"/>
        <v>774859.7703381801</v>
      </c>
      <c r="AE25" s="296">
        <f t="shared" si="7"/>
        <v>774044.2162452143</v>
      </c>
      <c r="AF25" s="296">
        <f t="shared" si="7"/>
        <v>774044.2162452143</v>
      </c>
    </row>
    <row r="26" spans="2:32" ht="12.75">
      <c r="B26" s="105"/>
      <c r="C26" s="105" t="s">
        <v>322</v>
      </c>
      <c r="D26" s="105"/>
      <c r="E26" s="302"/>
      <c r="F26" s="331"/>
      <c r="G26" s="331"/>
      <c r="H26" s="331"/>
      <c r="I26" s="331">
        <f aca="true" t="shared" si="8" ref="I26:AF26">I24*I23*2/1000</f>
        <v>21.935100000000002</v>
      </c>
      <c r="J26" s="331">
        <f t="shared" si="8"/>
        <v>22.496100000000002</v>
      </c>
      <c r="K26" s="331">
        <f t="shared" si="8"/>
        <v>22.9449</v>
      </c>
      <c r="L26" s="331">
        <f t="shared" si="8"/>
        <v>23.505899999999997</v>
      </c>
      <c r="M26" s="331">
        <f t="shared" si="8"/>
        <v>24.066899999999997</v>
      </c>
      <c r="N26" s="331">
        <f t="shared" si="8"/>
        <v>24.646600000000003</v>
      </c>
      <c r="O26" s="331">
        <f t="shared" si="8"/>
        <v>25.245</v>
      </c>
      <c r="P26" s="331">
        <f t="shared" si="8"/>
        <v>25.862099999999998</v>
      </c>
      <c r="Q26" s="331">
        <f t="shared" si="8"/>
        <v>26.4792</v>
      </c>
      <c r="R26" s="331">
        <f t="shared" si="8"/>
        <v>27.115</v>
      </c>
      <c r="S26" s="331">
        <f t="shared" si="8"/>
        <v>27.769500000000004</v>
      </c>
      <c r="T26" s="331">
        <f t="shared" si="8"/>
        <v>28.4427</v>
      </c>
      <c r="U26" s="331">
        <f t="shared" si="8"/>
        <v>29.134600000000002</v>
      </c>
      <c r="V26" s="331">
        <f t="shared" si="8"/>
        <v>30.008638</v>
      </c>
      <c r="W26" s="331">
        <f t="shared" si="8"/>
        <v>30.90889714</v>
      </c>
      <c r="X26" s="331">
        <f t="shared" si="8"/>
        <v>31.8361640542</v>
      </c>
      <c r="Y26" s="331">
        <f t="shared" si="8"/>
        <v>32.79124897582601</v>
      </c>
      <c r="Z26" s="331">
        <f t="shared" si="8"/>
        <v>33.77498644510078</v>
      </c>
      <c r="AA26" s="331">
        <f t="shared" si="8"/>
        <v>34.78823603845381</v>
      </c>
      <c r="AB26" s="331">
        <f t="shared" si="8"/>
        <v>35.831883119607426</v>
      </c>
      <c r="AC26" s="331">
        <f t="shared" si="8"/>
        <v>36.90683961319565</v>
      </c>
      <c r="AD26" s="331">
        <f t="shared" si="8"/>
        <v>38.01404480159152</v>
      </c>
      <c r="AE26" s="331">
        <f t="shared" si="8"/>
        <v>39.15446614563926</v>
      </c>
      <c r="AF26" s="331">
        <f t="shared" si="8"/>
        <v>40.32910013000844</v>
      </c>
    </row>
    <row r="27" spans="2:32" ht="12.75">
      <c r="B27" s="105"/>
      <c r="C27" s="105" t="s">
        <v>331</v>
      </c>
      <c r="D27" s="105"/>
      <c r="E27" s="106" t="s">
        <v>332</v>
      </c>
      <c r="F27" s="299"/>
      <c r="G27" s="299"/>
      <c r="H27" s="299"/>
      <c r="I27" s="299">
        <f>I23*I22/1000</f>
        <v>13074.351651825464</v>
      </c>
      <c r="J27" s="299">
        <f aca="true" t="shared" si="9" ref="J27:AF27">J23*J22/1000</f>
        <v>13656.70623646856</v>
      </c>
      <c r="K27" s="299">
        <f t="shared" si="9"/>
        <v>13560.003582692263</v>
      </c>
      <c r="L27" s="299">
        <f t="shared" si="9"/>
        <v>12072.255322940477</v>
      </c>
      <c r="M27" s="299">
        <f t="shared" si="9"/>
        <v>16354.4301450508</v>
      </c>
      <c r="N27" s="299">
        <f t="shared" si="9"/>
        <v>14964.227971995822</v>
      </c>
      <c r="O27" s="299">
        <f t="shared" si="9"/>
        <v>16873.07522579027</v>
      </c>
      <c r="P27" s="299">
        <f t="shared" si="9"/>
        <v>16994.100789352153</v>
      </c>
      <c r="Q27" s="299">
        <f t="shared" si="9"/>
        <v>20001.846329737895</v>
      </c>
      <c r="R27" s="299">
        <f t="shared" si="9"/>
        <v>21022.830192545665</v>
      </c>
      <c r="S27" s="299">
        <f t="shared" si="9"/>
        <v>22278.452071211203</v>
      </c>
      <c r="T27" s="299">
        <f t="shared" si="9"/>
        <v>23566.58362516293</v>
      </c>
      <c r="U27" s="299">
        <f t="shared" si="9"/>
        <v>23429.99688283057</v>
      </c>
      <c r="V27" s="299">
        <f t="shared" si="9"/>
        <v>24220.788893808447</v>
      </c>
      <c r="W27" s="299">
        <f t="shared" si="9"/>
        <v>25236.218590528057</v>
      </c>
      <c r="X27" s="299">
        <f t="shared" si="9"/>
        <v>26338.30142795281</v>
      </c>
      <c r="Y27" s="299">
        <f t="shared" si="9"/>
        <v>28501.25948626382</v>
      </c>
      <c r="Z27" s="299">
        <f t="shared" si="9"/>
        <v>28238.406410789365</v>
      </c>
      <c r="AA27" s="299">
        <f t="shared" si="9"/>
        <v>29204.46088406842</v>
      </c>
      <c r="AB27" s="299">
        <f t="shared" si="9"/>
        <v>28078.830243414865</v>
      </c>
      <c r="AC27" s="299">
        <f t="shared" si="9"/>
        <v>28921.19515071731</v>
      </c>
      <c r="AD27" s="299">
        <f t="shared" si="9"/>
        <v>29455.554024586494</v>
      </c>
      <c r="AE27" s="299">
        <f t="shared" si="9"/>
        <v>30307.288060201125</v>
      </c>
      <c r="AF27" s="299">
        <f t="shared" si="9"/>
        <v>31216.50670200715</v>
      </c>
    </row>
    <row r="28" spans="8:32" ht="12.7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row>
    <row r="29" spans="1:16" ht="12.75">
      <c r="A29" s="840"/>
      <c r="B29" s="840"/>
      <c r="C29" s="840"/>
      <c r="D29" s="840"/>
      <c r="E29" s="840"/>
      <c r="F29" s="840"/>
      <c r="G29" s="840"/>
      <c r="H29" s="840"/>
      <c r="I29" s="840"/>
      <c r="J29" s="840"/>
      <c r="K29" s="840"/>
      <c r="L29" s="840"/>
      <c r="M29" s="840"/>
      <c r="N29" s="840"/>
      <c r="O29" s="840"/>
      <c r="P29" s="840"/>
    </row>
    <row r="30" spans="8:16" ht="12.75">
      <c r="H30" s="840"/>
      <c r="I30" s="840"/>
      <c r="J30" s="840"/>
      <c r="K30" s="840"/>
      <c r="L30" s="840"/>
      <c r="M30" s="840"/>
      <c r="N30" s="840"/>
      <c r="O30" s="840"/>
      <c r="P30" s="840"/>
    </row>
    <row r="31" spans="8:16" ht="12.75">
      <c r="H31" s="840"/>
      <c r="I31" s="840"/>
      <c r="J31" s="840"/>
      <c r="K31" s="840"/>
      <c r="L31" s="840"/>
      <c r="M31" s="840"/>
      <c r="N31" s="840"/>
      <c r="O31" s="840"/>
      <c r="P31" s="840"/>
    </row>
    <row r="32" spans="1:16" ht="12.75">
      <c r="A32" s="840"/>
      <c r="B32" s="840"/>
      <c r="C32" s="840"/>
      <c r="D32" s="840"/>
      <c r="E32" s="840"/>
      <c r="F32" s="840"/>
      <c r="G32" s="840"/>
      <c r="H32" s="844"/>
      <c r="I32" s="845"/>
      <c r="J32" s="845"/>
      <c r="K32" s="845"/>
      <c r="L32" s="845"/>
      <c r="M32" s="845"/>
      <c r="N32" s="845"/>
      <c r="O32" s="845"/>
      <c r="P32" s="845"/>
    </row>
    <row r="33" spans="1:16" ht="12.75">
      <c r="A33" s="840"/>
      <c r="B33" s="840"/>
      <c r="C33" s="840"/>
      <c r="D33" s="840"/>
      <c r="E33" s="840"/>
      <c r="F33" s="840"/>
      <c r="G33" s="840"/>
      <c r="H33" s="844"/>
      <c r="I33" s="845"/>
      <c r="J33" s="845"/>
      <c r="K33" s="850"/>
      <c r="L33" s="845"/>
      <c r="M33" s="845"/>
      <c r="N33" s="845"/>
      <c r="O33" s="845"/>
      <c r="P33" s="845"/>
    </row>
    <row r="34" spans="1:16" ht="12.75">
      <c r="A34" s="840"/>
      <c r="B34" s="841" t="s">
        <v>803</v>
      </c>
      <c r="C34" s="840"/>
      <c r="D34" s="840"/>
      <c r="E34" s="840"/>
      <c r="F34" s="840"/>
      <c r="G34" s="840"/>
      <c r="H34" s="840"/>
      <c r="I34" s="848"/>
      <c r="J34" s="840"/>
      <c r="K34" s="842"/>
      <c r="L34" s="840"/>
      <c r="M34" s="840"/>
      <c r="N34" s="840"/>
      <c r="O34" s="840"/>
      <c r="P34" s="840"/>
    </row>
    <row r="35" spans="1:16" ht="12.75">
      <c r="A35" s="840"/>
      <c r="B35" s="841" t="s">
        <v>802</v>
      </c>
      <c r="C35" s="840"/>
      <c r="D35" s="840"/>
      <c r="E35" s="840"/>
      <c r="F35" s="840"/>
      <c r="G35" s="846">
        <v>1998</v>
      </c>
      <c r="H35" s="846">
        <f>G35+1</f>
        <v>1999</v>
      </c>
      <c r="I35" s="846">
        <f aca="true" t="shared" si="10" ref="I35:P35">H35+1</f>
        <v>2000</v>
      </c>
      <c r="J35" s="846">
        <f t="shared" si="10"/>
        <v>2001</v>
      </c>
      <c r="K35" s="846">
        <f t="shared" si="10"/>
        <v>2002</v>
      </c>
      <c r="L35" s="846">
        <f t="shared" si="10"/>
        <v>2003</v>
      </c>
      <c r="M35" s="846">
        <f t="shared" si="10"/>
        <v>2004</v>
      </c>
      <c r="N35" s="846">
        <f t="shared" si="10"/>
        <v>2005</v>
      </c>
      <c r="O35" s="846">
        <f t="shared" si="10"/>
        <v>2006</v>
      </c>
      <c r="P35" s="846">
        <f t="shared" si="10"/>
        <v>2007</v>
      </c>
    </row>
    <row r="36" spans="1:16" ht="12.75">
      <c r="A36" s="840"/>
      <c r="B36" s="840"/>
      <c r="C36" s="840"/>
      <c r="D36" s="840"/>
      <c r="E36" s="840" t="s">
        <v>804</v>
      </c>
      <c r="F36" s="840"/>
      <c r="G36" s="845"/>
      <c r="H36" s="844">
        <f>Inputs!I44</f>
        <v>1.021870690308439</v>
      </c>
      <c r="I36" s="844">
        <f>Inputs!J44</f>
        <v>1.0229091143520261</v>
      </c>
      <c r="J36" s="844">
        <f>Inputs!K44</f>
        <v>1.0244259375758706</v>
      </c>
      <c r="K36" s="844">
        <f>Inputs!L44</f>
        <v>1.0207562032787896</v>
      </c>
      <c r="L36" s="844">
        <f>Inputs!M44</f>
        <v>1.0250050650292055</v>
      </c>
      <c r="M36" s="844">
        <f>Inputs!N44</f>
        <v>1.0262500412491102</v>
      </c>
      <c r="N36" s="844">
        <f>Inputs!O44</f>
        <v>1.025885401167327</v>
      </c>
      <c r="O36" s="844">
        <f>Inputs!P44</f>
        <v>1.025381994249399</v>
      </c>
      <c r="P36" s="844">
        <f>Inputs!Q44</f>
        <v>1.0249304862397464</v>
      </c>
    </row>
    <row r="37" spans="1:16" ht="12.75">
      <c r="A37" s="840"/>
      <c r="B37" s="840"/>
      <c r="C37" s="840"/>
      <c r="D37" s="840"/>
      <c r="E37" s="840" t="s">
        <v>806</v>
      </c>
      <c r="F37" s="840"/>
      <c r="G37" s="847"/>
      <c r="H37" s="848">
        <f>3950000*0.475</f>
        <v>1876250</v>
      </c>
      <c r="I37" s="848">
        <f>4000000*0.475</f>
        <v>1900000</v>
      </c>
      <c r="J37" s="848">
        <f>4000000*0.475</f>
        <v>1900000</v>
      </c>
      <c r="K37" s="848">
        <f>4000000*0.475</f>
        <v>1900000</v>
      </c>
      <c r="L37" s="848">
        <f>4224615.38461538*0.475</f>
        <v>2006692.3076923057</v>
      </c>
      <c r="M37" s="848">
        <f>4013384.61538462*0.475</f>
        <v>1906357.6923076946</v>
      </c>
      <c r="N37" s="848">
        <f>4119000*0.475</f>
        <v>1956525</v>
      </c>
      <c r="O37" s="848">
        <f>4119000*0.475</f>
        <v>1956525</v>
      </c>
      <c r="P37" s="848">
        <f>4119000*0.475</f>
        <v>1956525</v>
      </c>
    </row>
    <row r="38" spans="1:16" ht="12.75">
      <c r="A38" s="840"/>
      <c r="B38" s="840"/>
      <c r="C38" s="840"/>
      <c r="D38" s="840"/>
      <c r="E38" s="840" t="s">
        <v>203</v>
      </c>
      <c r="F38" s="840"/>
      <c r="G38" s="854"/>
      <c r="H38" s="855">
        <v>0</v>
      </c>
      <c r="I38" s="855">
        <f>I25</f>
        <v>596047.0502448342</v>
      </c>
      <c r="J38" s="855">
        <f aca="true" t="shared" si="11" ref="J38:P38">J25</f>
        <v>607069.9470783186</v>
      </c>
      <c r="K38" s="855">
        <f t="shared" si="11"/>
        <v>590981.1584575336</v>
      </c>
      <c r="L38" s="855">
        <f t="shared" si="11"/>
        <v>513584.0500870197</v>
      </c>
      <c r="M38" s="855">
        <f t="shared" si="11"/>
        <v>679540.3705940857</v>
      </c>
      <c r="N38" s="855">
        <f t="shared" si="11"/>
        <v>607151.8169644423</v>
      </c>
      <c r="O38" s="855">
        <f t="shared" si="11"/>
        <v>668372.9540816109</v>
      </c>
      <c r="P38" s="855">
        <f t="shared" si="11"/>
        <v>657104.4419962862</v>
      </c>
    </row>
    <row r="39" spans="1:16" ht="12.75">
      <c r="A39" s="840"/>
      <c r="B39" s="840"/>
      <c r="C39" s="840"/>
      <c r="D39" s="840"/>
      <c r="E39" s="840" t="s">
        <v>807</v>
      </c>
      <c r="F39" s="840"/>
      <c r="G39" s="849">
        <v>23.45</v>
      </c>
      <c r="H39" s="843">
        <f aca="true" t="shared" si="12" ref="H39:P39">G39*(H36)</f>
        <v>23.962867687732892</v>
      </c>
      <c r="I39" s="843">
        <f t="shared" si="12"/>
        <v>24.511835763793638</v>
      </c>
      <c r="J39" s="843">
        <f t="shared" si="12"/>
        <v>25.110560334030055</v>
      </c>
      <c r="K39" s="843">
        <f t="shared" si="12"/>
        <v>25.631760228767494</v>
      </c>
      <c r="L39" s="843">
        <f t="shared" si="12"/>
        <v>26.27268406010083</v>
      </c>
      <c r="M39" s="843">
        <f t="shared" si="12"/>
        <v>26.962343100403316</v>
      </c>
      <c r="N39" s="843">
        <f t="shared" si="12"/>
        <v>27.66027416796837</v>
      </c>
      <c r="O39" s="843">
        <f t="shared" si="12"/>
        <v>28.362347087836543</v>
      </c>
      <c r="P39" s="843">
        <f t="shared" si="12"/>
        <v>29.069434191636763</v>
      </c>
    </row>
    <row r="40" spans="1:16" ht="12.75">
      <c r="A40" s="840"/>
      <c r="B40" s="840"/>
      <c r="C40" s="840"/>
      <c r="D40" s="840"/>
      <c r="E40" s="840"/>
      <c r="F40" s="840"/>
      <c r="G40" s="840"/>
      <c r="H40" s="840"/>
      <c r="I40" s="840"/>
      <c r="J40" s="840"/>
      <c r="K40" s="840"/>
      <c r="L40" s="840"/>
      <c r="M40" s="840"/>
      <c r="N40" s="840"/>
      <c r="O40" s="840"/>
      <c r="P40" s="840"/>
    </row>
    <row r="41" spans="1:16" ht="12.75">
      <c r="A41" s="840"/>
      <c r="B41" s="840"/>
      <c r="C41" s="840"/>
      <c r="D41" s="840"/>
      <c r="E41" s="840"/>
      <c r="F41" s="840"/>
      <c r="G41" s="846">
        <f>P35+1</f>
        <v>2008</v>
      </c>
      <c r="H41" s="846">
        <f>G41+1</f>
        <v>2009</v>
      </c>
      <c r="I41" s="846">
        <f aca="true" t="shared" si="13" ref="I41:P41">H41+1</f>
        <v>2010</v>
      </c>
      <c r="J41" s="846">
        <f t="shared" si="13"/>
        <v>2011</v>
      </c>
      <c r="K41" s="846">
        <f t="shared" si="13"/>
        <v>2012</v>
      </c>
      <c r="L41" s="846">
        <f t="shared" si="13"/>
        <v>2013</v>
      </c>
      <c r="M41" s="846">
        <f t="shared" si="13"/>
        <v>2014</v>
      </c>
      <c r="N41" s="846">
        <f t="shared" si="13"/>
        <v>2015</v>
      </c>
      <c r="O41" s="846">
        <f t="shared" si="13"/>
        <v>2016</v>
      </c>
      <c r="P41" s="846">
        <f t="shared" si="13"/>
        <v>2017</v>
      </c>
    </row>
    <row r="42" spans="1:16" ht="12.75">
      <c r="A42" s="840"/>
      <c r="B42" s="840"/>
      <c r="C42" s="840"/>
      <c r="D42" s="840"/>
      <c r="E42" s="840" t="s">
        <v>804</v>
      </c>
      <c r="F42" s="840"/>
      <c r="G42" s="844">
        <f>Inputs!R44</f>
        <v>1.0248951488267355</v>
      </c>
      <c r="H42" s="844">
        <f>Inputs!S44</f>
        <v>1.0254148249470387</v>
      </c>
      <c r="I42" s="844">
        <f>Inputs!T44</f>
        <v>1.0261683040511211</v>
      </c>
      <c r="J42" s="844">
        <f>Inputs!U44</f>
        <v>1.026432250604251</v>
      </c>
      <c r="K42" s="844">
        <f>Inputs!V44</f>
        <v>1.0261286131704523</v>
      </c>
      <c r="L42" s="844">
        <f>Inputs!W44</f>
        <v>1.0272736555691806</v>
      </c>
      <c r="M42" s="844">
        <f>Inputs!X44</f>
        <v>1.0276955465949267</v>
      </c>
      <c r="N42" s="844">
        <f>Inputs!Y44</f>
        <v>1.0291460870662943</v>
      </c>
      <c r="O42" s="844">
        <f>Inputs!Z44</f>
        <v>1.030938319140317</v>
      </c>
      <c r="P42" s="844">
        <f>Inputs!AA44</f>
        <v>1.0322333746397734</v>
      </c>
    </row>
    <row r="43" spans="1:16" ht="12.75">
      <c r="A43" s="840"/>
      <c r="B43" s="840"/>
      <c r="C43" s="840"/>
      <c r="D43" s="840"/>
      <c r="E43" s="840" t="s">
        <v>806</v>
      </c>
      <c r="F43" s="840"/>
      <c r="G43" s="848">
        <f>4013384.61538462*0.475</f>
        <v>1906357.6923076946</v>
      </c>
      <c r="H43" s="848">
        <f>3907769.23076923*0.475</f>
        <v>1856190.3846153843</v>
      </c>
      <c r="I43" s="848">
        <f>3907769.23076923*0.475</f>
        <v>1856190.3846153843</v>
      </c>
      <c r="J43" s="848">
        <f>3907769.23076923*0.475</f>
        <v>1856190.3846153843</v>
      </c>
      <c r="K43" s="848">
        <f>4013384.61538462*0.475</f>
        <v>1906357.6923076946</v>
      </c>
      <c r="L43" s="848">
        <f>4013384.61538462*0.475</f>
        <v>1906357.6923076946</v>
      </c>
      <c r="M43" s="848">
        <f>4013384.61538462*0.475</f>
        <v>1906357.6923076946</v>
      </c>
      <c r="N43" s="848">
        <f>4013384.61538462*0.475</f>
        <v>1906357.6923076946</v>
      </c>
      <c r="O43" s="848">
        <f>3907769.23076923*0.475</f>
        <v>1856190.3846153843</v>
      </c>
      <c r="P43" s="848">
        <f>4013384.61538462*0.475</f>
        <v>1906357.6923076946</v>
      </c>
    </row>
    <row r="44" spans="1:16" ht="12.75">
      <c r="A44" s="840"/>
      <c r="B44" s="840"/>
      <c r="C44" s="840"/>
      <c r="D44" s="840"/>
      <c r="E44" s="840" t="s">
        <v>203</v>
      </c>
      <c r="F44" s="840"/>
      <c r="G44" s="855">
        <f>Q25</f>
        <v>755379.5556413296</v>
      </c>
      <c r="H44" s="855">
        <f aca="true" t="shared" si="14" ref="H44:P44">R25</f>
        <v>775321.0471158276</v>
      </c>
      <c r="I44" s="855">
        <f t="shared" si="14"/>
        <v>802263.3490416178</v>
      </c>
      <c r="J44" s="855">
        <f t="shared" si="14"/>
        <v>828563.5198192482</v>
      </c>
      <c r="K44" s="855">
        <f t="shared" si="14"/>
        <v>804198.3374692141</v>
      </c>
      <c r="L44" s="855">
        <f t="shared" si="14"/>
        <v>807127.2309595805</v>
      </c>
      <c r="M44" s="855">
        <f t="shared" si="14"/>
        <v>816471.0140326946</v>
      </c>
      <c r="N44" s="855">
        <f t="shared" si="14"/>
        <v>827307.6298737731</v>
      </c>
      <c r="O44" s="855">
        <f t="shared" si="14"/>
        <v>869172.7328615997</v>
      </c>
      <c r="P44" s="855">
        <f t="shared" si="14"/>
        <v>836074.5445949831</v>
      </c>
    </row>
    <row r="45" spans="1:16" ht="12.75">
      <c r="A45" s="840"/>
      <c r="B45" s="840"/>
      <c r="C45" s="840"/>
      <c r="D45" s="840"/>
      <c r="E45" s="840" t="s">
        <v>807</v>
      </c>
      <c r="F45" s="840"/>
      <c r="G45" s="843">
        <f>P39*(G42)</f>
        <v>29.793122082146553</v>
      </c>
      <c r="H45" s="843">
        <f>G45*(H42)</f>
        <v>30.55030906449006</v>
      </c>
      <c r="I45" s="843">
        <f aca="true" t="shared" si="15" ref="I45:P45">H45*(I42)</f>
        <v>31.34975884094536</v>
      </c>
      <c r="J45" s="843">
        <f t="shared" si="15"/>
        <v>32.17840352301206</v>
      </c>
      <c r="K45" s="843">
        <f t="shared" si="15"/>
        <v>33.01918058110756</v>
      </c>
      <c r="L45" s="843">
        <f t="shared" si="15"/>
        <v>33.919734339453264</v>
      </c>
      <c r="M45" s="843">
        <f t="shared" si="15"/>
        <v>34.859159922339124</v>
      </c>
      <c r="N45" s="843">
        <f t="shared" si="15"/>
        <v>35.8751680324935</v>
      </c>
      <c r="O45" s="843">
        <f t="shared" si="15"/>
        <v>36.98508543029528</v>
      </c>
      <c r="P45" s="843">
        <f t="shared" si="15"/>
        <v>38.17723954505401</v>
      </c>
    </row>
    <row r="46" spans="1:16" ht="12.75">
      <c r="A46" s="840"/>
      <c r="B46" s="840"/>
      <c r="C46" s="840"/>
      <c r="D46" s="840"/>
      <c r="E46" s="840"/>
      <c r="F46" s="840"/>
      <c r="G46" s="840"/>
      <c r="H46" s="840"/>
      <c r="I46" s="840"/>
      <c r="J46" s="840"/>
      <c r="K46" s="840"/>
      <c r="L46" s="840"/>
      <c r="M46" s="840"/>
      <c r="N46" s="840"/>
      <c r="O46" s="840"/>
      <c r="P46" s="840"/>
    </row>
    <row r="47" spans="1:16" ht="12.75">
      <c r="A47" s="840"/>
      <c r="B47" s="840"/>
      <c r="C47" s="840"/>
      <c r="D47" s="840"/>
      <c r="E47" s="840"/>
      <c r="F47" s="840"/>
      <c r="G47" s="840"/>
      <c r="H47" s="840"/>
      <c r="I47" s="840"/>
      <c r="J47" s="840"/>
      <c r="K47" s="840"/>
      <c r="L47" s="840"/>
      <c r="M47" s="840"/>
      <c r="N47" s="840"/>
      <c r="O47" s="840"/>
      <c r="P47" s="840"/>
    </row>
    <row r="48" spans="1:16" ht="12.75">
      <c r="A48" s="840"/>
      <c r="B48" s="840"/>
      <c r="C48" s="840"/>
      <c r="D48" s="840"/>
      <c r="E48" s="840"/>
      <c r="F48" s="840"/>
      <c r="G48" s="846">
        <f>P41+1</f>
        <v>2018</v>
      </c>
      <c r="H48" s="846">
        <f>G48+1</f>
        <v>2019</v>
      </c>
      <c r="I48" s="846">
        <f>H48+1</f>
        <v>2020</v>
      </c>
      <c r="J48" s="846">
        <f>I48+1</f>
        <v>2021</v>
      </c>
      <c r="K48" s="846">
        <f>J48+1</f>
        <v>2022</v>
      </c>
      <c r="L48" s="846">
        <f>K48+1</f>
        <v>2023</v>
      </c>
      <c r="M48" s="846"/>
      <c r="N48" s="846"/>
      <c r="O48" s="846"/>
      <c r="P48" s="846"/>
    </row>
    <row r="49" spans="1:16" ht="12.75">
      <c r="A49" s="840"/>
      <c r="B49" s="840"/>
      <c r="C49" s="840"/>
      <c r="D49" s="840"/>
      <c r="E49" s="840" t="s">
        <v>804</v>
      </c>
      <c r="F49" s="840"/>
      <c r="G49" s="844">
        <f>Inputs!AB44</f>
        <v>1.0340890706011712</v>
      </c>
      <c r="H49" s="844">
        <f>Inputs!AC44</f>
        <v>1.0359762812821764</v>
      </c>
      <c r="I49" s="844">
        <f>Inputs!AD44</f>
        <v>1.0388337099033025</v>
      </c>
      <c r="J49" s="844">
        <f>Inputs!AE44</f>
        <v>1.0398421471107904</v>
      </c>
      <c r="K49" s="844">
        <f>Inputs!AF44</f>
        <v>1.0417132328815775</v>
      </c>
      <c r="L49" s="844">
        <f>Inputs!AG44</f>
        <v>1.0434174828588023</v>
      </c>
      <c r="M49" s="840"/>
      <c r="N49" s="840"/>
      <c r="O49" s="840"/>
      <c r="P49" s="840"/>
    </row>
    <row r="50" spans="1:16" ht="12.75">
      <c r="A50" s="840"/>
      <c r="B50" s="840"/>
      <c r="C50" s="840"/>
      <c r="D50" s="840"/>
      <c r="E50" s="840" t="s">
        <v>806</v>
      </c>
      <c r="F50" s="840"/>
      <c r="G50" s="848">
        <f aca="true" t="shared" si="16" ref="G50:L50">4013384.61538462*0.475</f>
        <v>1906357.6923076946</v>
      </c>
      <c r="H50" s="848">
        <f t="shared" si="16"/>
        <v>1906357.6923076946</v>
      </c>
      <c r="I50" s="848">
        <f t="shared" si="16"/>
        <v>1906357.6923076946</v>
      </c>
      <c r="J50" s="848">
        <f t="shared" si="16"/>
        <v>1906357.6923076946</v>
      </c>
      <c r="K50" s="848">
        <f t="shared" si="16"/>
        <v>1906357.6923076946</v>
      </c>
      <c r="L50" s="848">
        <f t="shared" si="16"/>
        <v>1906357.6923076946</v>
      </c>
      <c r="M50" s="840"/>
      <c r="N50" s="840"/>
      <c r="O50" s="840"/>
      <c r="P50" s="840"/>
    </row>
    <row r="51" spans="1:16" ht="12.75">
      <c r="A51" s="840"/>
      <c r="B51" s="840"/>
      <c r="C51" s="840"/>
      <c r="D51" s="840"/>
      <c r="E51" s="840" t="s">
        <v>203</v>
      </c>
      <c r="F51" s="840"/>
      <c r="G51" s="855">
        <f aca="true" t="shared" si="17" ref="G51:L51">AA25</f>
        <v>839492.4322057243</v>
      </c>
      <c r="H51" s="855">
        <f t="shared" si="17"/>
        <v>783626.9768375627</v>
      </c>
      <c r="I51" s="855">
        <f t="shared" si="17"/>
        <v>783626.9768375627</v>
      </c>
      <c r="J51" s="855">
        <f t="shared" si="17"/>
        <v>774859.7703381801</v>
      </c>
      <c r="K51" s="855">
        <f t="shared" si="17"/>
        <v>774044.2162452143</v>
      </c>
      <c r="L51" s="855">
        <f t="shared" si="17"/>
        <v>774044.2162452143</v>
      </c>
      <c r="M51" s="840"/>
      <c r="N51" s="840"/>
      <c r="O51" s="840"/>
      <c r="P51" s="840"/>
    </row>
    <row r="52" spans="1:16" ht="12.75">
      <c r="A52" s="840"/>
      <c r="B52" s="840"/>
      <c r="C52" s="840"/>
      <c r="D52" s="840"/>
      <c r="E52" s="840" t="s">
        <v>807</v>
      </c>
      <c r="F52" s="840"/>
      <c r="G52" s="843">
        <f>P45*(G49)</f>
        <v>39.47866615926318</v>
      </c>
      <c r="H52" s="843">
        <f>G52*(H49)</f>
        <v>40.89896175765397</v>
      </c>
      <c r="I52" s="843">
        <f>H52*(I49)</f>
        <v>42.487220173896965</v>
      </c>
      <c r="J52" s="843">
        <f>I52*(J49)</f>
        <v>44.18000225039391</v>
      </c>
      <c r="K52" s="843">
        <f>J52*(K49)</f>
        <v>46.02289297297321</v>
      </c>
      <c r="L52" s="843">
        <f>K52*(L49)</f>
        <v>48.02109113973977</v>
      </c>
      <c r="M52" s="840"/>
      <c r="N52" s="840"/>
      <c r="O52" s="840"/>
      <c r="P52" s="840"/>
    </row>
    <row r="53" spans="1:16" ht="12.75">
      <c r="A53" s="840"/>
      <c r="B53" s="840"/>
      <c r="C53" s="840"/>
      <c r="D53" s="840"/>
      <c r="E53" s="840"/>
      <c r="F53" s="840"/>
      <c r="G53" s="840"/>
      <c r="H53" s="840"/>
      <c r="I53" s="840"/>
      <c r="J53" s="840"/>
      <c r="K53" s="840"/>
      <c r="L53" s="840"/>
      <c r="M53" s="840"/>
      <c r="N53" s="840"/>
      <c r="O53" s="840"/>
      <c r="P53" s="840"/>
    </row>
    <row r="54" spans="1:16" ht="12.75">
      <c r="A54" s="840"/>
      <c r="B54" s="840"/>
      <c r="C54" s="840"/>
      <c r="D54" s="840"/>
      <c r="E54" s="840"/>
      <c r="F54" s="840"/>
      <c r="G54" s="840"/>
      <c r="H54" s="840"/>
      <c r="I54" s="840"/>
      <c r="J54" s="840"/>
      <c r="K54" s="840"/>
      <c r="L54" s="840"/>
      <c r="M54" s="840"/>
      <c r="N54" s="840"/>
      <c r="O54" s="840"/>
      <c r="P54" s="840"/>
    </row>
    <row r="55" s="11" customFormat="1" ht="12.75"/>
    <row r="56" spans="6:32" s="11" customFormat="1" ht="11.25" customHeight="1">
      <c r="F56" s="11" t="s">
        <v>810</v>
      </c>
      <c r="I56" s="11">
        <v>2000</v>
      </c>
      <c r="J56" s="11">
        <f>I56+1</f>
        <v>2001</v>
      </c>
      <c r="K56" s="11">
        <f aca="true" t="shared" si="18" ref="K56:AF56">J56+1</f>
        <v>2002</v>
      </c>
      <c r="L56" s="11">
        <f t="shared" si="18"/>
        <v>2003</v>
      </c>
      <c r="M56" s="11">
        <f t="shared" si="18"/>
        <v>2004</v>
      </c>
      <c r="N56" s="11">
        <f t="shared" si="18"/>
        <v>2005</v>
      </c>
      <c r="O56" s="11">
        <f t="shared" si="18"/>
        <v>2006</v>
      </c>
      <c r="P56" s="11">
        <f t="shared" si="18"/>
        <v>2007</v>
      </c>
      <c r="Q56" s="11">
        <f t="shared" si="18"/>
        <v>2008</v>
      </c>
      <c r="R56" s="11">
        <f t="shared" si="18"/>
        <v>2009</v>
      </c>
      <c r="S56" s="11">
        <f t="shared" si="18"/>
        <v>2010</v>
      </c>
      <c r="T56" s="11">
        <f t="shared" si="18"/>
        <v>2011</v>
      </c>
      <c r="U56" s="11">
        <f t="shared" si="18"/>
        <v>2012</v>
      </c>
      <c r="V56" s="11">
        <f t="shared" si="18"/>
        <v>2013</v>
      </c>
      <c r="W56" s="11">
        <f t="shared" si="18"/>
        <v>2014</v>
      </c>
      <c r="X56" s="11">
        <f t="shared" si="18"/>
        <v>2015</v>
      </c>
      <c r="Y56" s="11">
        <f t="shared" si="18"/>
        <v>2016</v>
      </c>
      <c r="Z56" s="11">
        <f t="shared" si="18"/>
        <v>2017</v>
      </c>
      <c r="AA56" s="11">
        <f t="shared" si="18"/>
        <v>2018</v>
      </c>
      <c r="AB56" s="11">
        <f t="shared" si="18"/>
        <v>2019</v>
      </c>
      <c r="AC56" s="11">
        <f t="shared" si="18"/>
        <v>2020</v>
      </c>
      <c r="AD56" s="11">
        <f t="shared" si="18"/>
        <v>2021</v>
      </c>
      <c r="AE56" s="11">
        <f t="shared" si="18"/>
        <v>2022</v>
      </c>
      <c r="AF56" s="11">
        <f t="shared" si="18"/>
        <v>2023</v>
      </c>
    </row>
    <row r="57" spans="7:32" s="11" customFormat="1" ht="12.75">
      <c r="G57" s="11" t="s">
        <v>808</v>
      </c>
      <c r="I57" s="266">
        <f aca="true" t="shared" si="19" ref="I57:P57">I37*I39/1000</f>
        <v>46572.48795120791</v>
      </c>
      <c r="J57" s="266">
        <f t="shared" si="19"/>
        <v>47710.06463465711</v>
      </c>
      <c r="K57" s="266">
        <f t="shared" si="19"/>
        <v>48700.34443465824</v>
      </c>
      <c r="L57" s="266">
        <f t="shared" si="19"/>
        <v>52721.19300583459</v>
      </c>
      <c r="M57" s="266">
        <f t="shared" si="19"/>
        <v>51399.870172093164</v>
      </c>
      <c r="N57" s="266">
        <f t="shared" si="19"/>
        <v>54118.01791648432</v>
      </c>
      <c r="O57" s="266">
        <f t="shared" si="19"/>
        <v>55491.64113602939</v>
      </c>
      <c r="P57" s="266">
        <f t="shared" si="19"/>
        <v>56875.07473179211</v>
      </c>
      <c r="Q57" s="266">
        <f>G43*G45/1000</f>
        <v>56796.347459162316</v>
      </c>
      <c r="R57" s="266">
        <f aca="true" t="shared" si="20" ref="R57:X57">H43*H45/1000</f>
        <v>56707.18993253467</v>
      </c>
      <c r="S57" s="266">
        <f t="shared" si="20"/>
        <v>58191.120920573914</v>
      </c>
      <c r="T57" s="266">
        <f t="shared" si="20"/>
        <v>59729.24321168879</v>
      </c>
      <c r="U57" s="266">
        <f t="shared" si="20"/>
        <v>62946.36889449126</v>
      </c>
      <c r="V57" s="266">
        <f t="shared" si="20"/>
        <v>64663.14647905019</v>
      </c>
      <c r="W57" s="266">
        <f t="shared" si="20"/>
        <v>66454.02766533529</v>
      </c>
      <c r="X57" s="266">
        <f t="shared" si="20"/>
        <v>68390.90254157508</v>
      </c>
      <c r="Y57" s="266">
        <f>O43*O45/1000</f>
        <v>68651.35994989263</v>
      </c>
      <c r="Z57" s="266">
        <f>P43*P45/1000</f>
        <v>72779.47427778723</v>
      </c>
      <c r="AA57" s="266">
        <f aca="true" t="shared" si="21" ref="AA57:AF57">G50*G52/1000</f>
        <v>75260.45891475883</v>
      </c>
      <c r="AB57" s="266">
        <f t="shared" si="21"/>
        <v>77968.05035410188</v>
      </c>
      <c r="AC57" s="266">
        <f t="shared" si="21"/>
        <v>80995.83900327915</v>
      </c>
      <c r="AD57" s="266">
        <f t="shared" si="21"/>
        <v>84222.8871362097</v>
      </c>
      <c r="AE57" s="266">
        <f t="shared" si="21"/>
        <v>87736.09604128123</v>
      </c>
      <c r="AF57" s="266">
        <f t="shared" si="21"/>
        <v>91545.37648725178</v>
      </c>
    </row>
    <row r="58" spans="7:32" s="11" customFormat="1" ht="12.75">
      <c r="G58" s="11" t="s">
        <v>809</v>
      </c>
      <c r="I58" s="856">
        <f>I38*I39/1000</f>
        <v>14610.20740309503</v>
      </c>
      <c r="J58" s="856">
        <f aca="true" t="shared" si="22" ref="J58:P58">J38*J39/1000</f>
        <v>15243.866533086551</v>
      </c>
      <c r="K58" s="856">
        <f t="shared" si="22"/>
        <v>15147.887353302749</v>
      </c>
      <c r="L58" s="856">
        <f t="shared" si="22"/>
        <v>13493.231486243269</v>
      </c>
      <c r="M58" s="856">
        <f t="shared" si="22"/>
        <v>18322.00062253296</v>
      </c>
      <c r="N58" s="856">
        <f t="shared" si="22"/>
        <v>16793.985718816624</v>
      </c>
      <c r="O58" s="856">
        <f t="shared" si="22"/>
        <v>18956.625707785286</v>
      </c>
      <c r="P58" s="856">
        <f t="shared" si="22"/>
        <v>19101.654333643237</v>
      </c>
      <c r="Q58" s="856">
        <f>G44*G45/1000</f>
        <v>22505.115319579745</v>
      </c>
      <c r="R58" s="856">
        <f aca="true" t="shared" si="23" ref="R58:Y58">H44*H45/1000</f>
        <v>23686.297613592593</v>
      </c>
      <c r="S58" s="856">
        <f t="shared" si="23"/>
        <v>25150.762519383894</v>
      </c>
      <c r="T58" s="856">
        <f t="shared" si="23"/>
        <v>26661.85128519097</v>
      </c>
      <c r="U58" s="856">
        <f t="shared" si="23"/>
        <v>26553.97012792246</v>
      </c>
      <c r="V58" s="856">
        <f t="shared" si="23"/>
        <v>27377.54125228751</v>
      </c>
      <c r="W58" s="856">
        <f t="shared" si="23"/>
        <v>28461.493650120094</v>
      </c>
      <c r="X58" s="856">
        <f t="shared" si="23"/>
        <v>29679.800236285548</v>
      </c>
      <c r="Y58" s="856">
        <f t="shared" si="23"/>
        <v>32146.42777856948</v>
      </c>
      <c r="Z58" s="856">
        <f>P44*P45/1000</f>
        <v>31919.01816652461</v>
      </c>
      <c r="AA58" s="856">
        <f aca="true" t="shared" si="24" ref="AA58:AF58">G51*G52/1000</f>
        <v>33142.04147427766</v>
      </c>
      <c r="AB58" s="856">
        <f t="shared" si="24"/>
        <v>32049.529757945475</v>
      </c>
      <c r="AC58" s="856">
        <f t="shared" si="24"/>
        <v>33294.13189910279</v>
      </c>
      <c r="AD58" s="856">
        <f t="shared" si="24"/>
        <v>34233.30639728051</v>
      </c>
      <c r="AE58" s="856">
        <f t="shared" si="24"/>
        <v>35623.75412060243</v>
      </c>
      <c r="AF58" s="856">
        <f t="shared" si="24"/>
        <v>37170.44785449988</v>
      </c>
    </row>
  </sheetData>
  <printOptions/>
  <pageMargins left="0.25" right="0.25" top="1" bottom="1" header="0.5" footer="0.5"/>
  <pageSetup horizontalDpi="600" verticalDpi="600" orientation="landscape" scale="70" r:id="rId3"/>
  <headerFooter alignWithMargins="0">
    <oddHeader>&amp;C&amp;A</oddHeader>
  </headerFooter>
  <legacyDrawing r:id="rId2"/>
</worksheet>
</file>

<file path=xl/worksheets/sheet19.xml><?xml version="1.0" encoding="utf-8"?>
<worksheet xmlns="http://schemas.openxmlformats.org/spreadsheetml/2006/main" xmlns:r="http://schemas.openxmlformats.org/officeDocument/2006/relationships">
  <dimension ref="A1:AE18"/>
  <sheetViews>
    <sheetView workbookViewId="0" topLeftCell="A1">
      <selection activeCell="A1" sqref="A1"/>
    </sheetView>
  </sheetViews>
  <sheetFormatPr defaultColWidth="9.140625" defaultRowHeight="12.75"/>
  <cols>
    <col min="1" max="1" width="2.8515625" style="0" customWidth="1"/>
    <col min="2" max="2" width="2.421875" style="0" customWidth="1"/>
    <col min="3" max="3" width="2.8515625" style="0" customWidth="1"/>
    <col min="7" max="7" width="11.28125" style="0" bestFit="1" customWidth="1"/>
    <col min="8" max="17" width="12.28125" style="0" bestFit="1" customWidth="1"/>
    <col min="18" max="31" width="13.8515625" style="0" bestFit="1" customWidth="1"/>
  </cols>
  <sheetData>
    <row r="1" ht="27">
      <c r="A1" s="254" t="s">
        <v>790</v>
      </c>
    </row>
    <row r="2" ht="27">
      <c r="A2" s="254" t="s">
        <v>743</v>
      </c>
    </row>
    <row r="4" spans="4:31" ht="15.75">
      <c r="D4" s="834" t="s">
        <v>800</v>
      </c>
      <c r="H4" s="120">
        <v>2000</v>
      </c>
      <c r="I4" s="120">
        <v>2001</v>
      </c>
      <c r="J4" s="120">
        <v>2002</v>
      </c>
      <c r="K4" s="120">
        <v>2003</v>
      </c>
      <c r="L4" s="120">
        <v>2004</v>
      </c>
      <c r="M4" s="120">
        <v>2005</v>
      </c>
      <c r="N4" s="120">
        <v>2006</v>
      </c>
      <c r="O4" s="120">
        <v>2007</v>
      </c>
      <c r="P4" s="120">
        <v>2008</v>
      </c>
      <c r="Q4" s="120">
        <v>2009</v>
      </c>
      <c r="R4" s="120">
        <v>2010</v>
      </c>
      <c r="S4" s="120">
        <v>2011</v>
      </c>
      <c r="T4" s="120">
        <v>2012</v>
      </c>
      <c r="U4" s="120">
        <v>2013</v>
      </c>
      <c r="V4" s="120">
        <v>2014</v>
      </c>
      <c r="W4" s="120">
        <v>2015</v>
      </c>
      <c r="X4" s="120">
        <v>2016</v>
      </c>
      <c r="Y4" s="120">
        <v>2017</v>
      </c>
      <c r="Z4" s="120">
        <v>2018</v>
      </c>
      <c r="AA4" s="120">
        <v>2019</v>
      </c>
      <c r="AB4" s="120">
        <v>2020</v>
      </c>
      <c r="AC4" s="120">
        <v>2021</v>
      </c>
      <c r="AD4" s="120">
        <v>2022</v>
      </c>
      <c r="AE4" s="120">
        <v>2023</v>
      </c>
    </row>
    <row r="6" spans="1:31" ht="12.75">
      <c r="A6" s="721" t="s">
        <v>746</v>
      </c>
      <c r="C6" t="s">
        <v>162</v>
      </c>
      <c r="D6" t="s">
        <v>744</v>
      </c>
      <c r="F6" s="898">
        <f>NPV(0.07433,H6:AE6)*(1+0.07433/2)/1000</f>
        <v>10813.710677583458</v>
      </c>
      <c r="G6" s="898">
        <f>NPV(0.07433,H6:Z6)*(1+0.07433/2)/1000</f>
        <v>9003.564976491212</v>
      </c>
      <c r="H6" s="53">
        <v>509248.77300000004</v>
      </c>
      <c r="I6" s="53">
        <v>566864.397</v>
      </c>
      <c r="J6" s="53">
        <v>581490.203</v>
      </c>
      <c r="K6" s="53">
        <v>614785.266</v>
      </c>
      <c r="L6" s="53">
        <v>673560.167</v>
      </c>
      <c r="M6" s="53">
        <v>743653.564</v>
      </c>
      <c r="N6" s="53">
        <v>802685.9040000001</v>
      </c>
      <c r="O6" s="53">
        <v>876436.341</v>
      </c>
      <c r="P6" s="53">
        <v>932992.873</v>
      </c>
      <c r="Q6" s="53">
        <v>999683.023</v>
      </c>
      <c r="R6" s="53">
        <v>1075986.5150000001</v>
      </c>
      <c r="S6" s="53">
        <v>1106622.4039999999</v>
      </c>
      <c r="T6" s="53">
        <v>1122554.672</v>
      </c>
      <c r="U6" s="53">
        <v>1180416.35</v>
      </c>
      <c r="V6" s="53">
        <v>1232744.24</v>
      </c>
      <c r="W6" s="53">
        <v>1302570.242</v>
      </c>
      <c r="X6" s="53">
        <v>1376290.932</v>
      </c>
      <c r="Y6" s="53">
        <v>1466554.0860000001</v>
      </c>
      <c r="Z6" s="53">
        <v>1552752.465</v>
      </c>
      <c r="AA6" s="53">
        <v>1596229.5340200001</v>
      </c>
      <c r="AB6" s="53">
        <v>1640923.96097256</v>
      </c>
      <c r="AC6" s="53">
        <v>1686869.8318797918</v>
      </c>
      <c r="AD6" s="53">
        <v>1734102.187172426</v>
      </c>
      <c r="AE6" s="53">
        <v>1782657.0484132539</v>
      </c>
    </row>
    <row r="7" spans="1:31" ht="12.75">
      <c r="A7" s="721" t="s">
        <v>742</v>
      </c>
      <c r="D7" t="s">
        <v>293</v>
      </c>
      <c r="F7" s="898">
        <f>NPV(0.07433,H7:AE7)*(1+0.07433/2)/1000</f>
        <v>10859.123284846515</v>
      </c>
      <c r="G7" s="898">
        <f>NPV(0.07433,H7:Z7)*(1+0.07433/2)/1000</f>
        <v>9032.102592442523</v>
      </c>
      <c r="H7" s="53">
        <v>508829.308</v>
      </c>
      <c r="I7" s="53">
        <v>563292.177</v>
      </c>
      <c r="J7" s="53">
        <v>576968.313</v>
      </c>
      <c r="K7" s="53">
        <v>607876.276</v>
      </c>
      <c r="L7" s="53">
        <v>665461.219</v>
      </c>
      <c r="M7" s="53">
        <v>736734.775</v>
      </c>
      <c r="N7" s="53">
        <v>791468.488</v>
      </c>
      <c r="O7" s="53">
        <v>865756.206</v>
      </c>
      <c r="P7" s="53">
        <v>919413.072</v>
      </c>
      <c r="Q7" s="53">
        <v>990546.922</v>
      </c>
      <c r="R7" s="53">
        <v>1073055.789</v>
      </c>
      <c r="S7" s="53">
        <v>1110219.6919999998</v>
      </c>
      <c r="T7" s="53">
        <v>1134034.543</v>
      </c>
      <c r="U7" s="53">
        <v>1199387.2249999999</v>
      </c>
      <c r="V7" s="53">
        <v>1259455.1120000002</v>
      </c>
      <c r="W7" s="53">
        <v>1337396.146</v>
      </c>
      <c r="X7" s="53">
        <v>1420354.806</v>
      </c>
      <c r="Y7" s="53">
        <v>1518429.415</v>
      </c>
      <c r="Z7" s="53">
        <v>1612325.8630000001</v>
      </c>
      <c r="AA7" s="53">
        <v>1641347.7285340002</v>
      </c>
      <c r="AB7" s="53">
        <v>1670891.9876476123</v>
      </c>
      <c r="AC7" s="53">
        <v>1700968.0434252694</v>
      </c>
      <c r="AD7" s="53">
        <v>1731585.4682069244</v>
      </c>
      <c r="AE7" s="53">
        <v>1762754.0066346491</v>
      </c>
    </row>
    <row r="8" spans="1:31" ht="12.75">
      <c r="A8" s="721" t="s">
        <v>747</v>
      </c>
      <c r="D8" t="s">
        <v>745</v>
      </c>
      <c r="F8" s="898">
        <f>NPV(0.07433,H8:AE8)*(1+0.07433/2)/1000</f>
        <v>10585.038269859566</v>
      </c>
      <c r="G8" s="898">
        <f>NPV(0.07433,H8:Z8)*(1+0.07433/2)/1000</f>
        <v>8842.443105740324</v>
      </c>
      <c r="H8" s="53">
        <v>493908.629</v>
      </c>
      <c r="I8" s="53">
        <v>547276.351</v>
      </c>
      <c r="J8" s="53">
        <v>560907.9450000001</v>
      </c>
      <c r="K8" s="53">
        <v>589325.347</v>
      </c>
      <c r="L8" s="53">
        <v>645051.547</v>
      </c>
      <c r="M8" s="53">
        <v>716396.26</v>
      </c>
      <c r="N8" s="53">
        <v>764904.386</v>
      </c>
      <c r="O8" s="53">
        <v>838186.667</v>
      </c>
      <c r="P8" s="53">
        <v>886697.826</v>
      </c>
      <c r="Q8" s="53">
        <v>960691.426</v>
      </c>
      <c r="R8" s="53">
        <v>1045877.9870000001</v>
      </c>
      <c r="S8" s="53">
        <v>1087414.767</v>
      </c>
      <c r="T8" s="53">
        <v>1116113.058</v>
      </c>
      <c r="U8" s="53">
        <v>1185476.206</v>
      </c>
      <c r="V8" s="53">
        <v>1249517.795</v>
      </c>
      <c r="W8" s="53">
        <v>1332195.1570000001</v>
      </c>
      <c r="X8" s="53">
        <v>1419152.676</v>
      </c>
      <c r="Y8" s="53">
        <v>1520344.806</v>
      </c>
      <c r="Z8" s="53">
        <v>1618743.789</v>
      </c>
      <c r="AA8" s="53">
        <v>1618743.789</v>
      </c>
      <c r="AB8" s="53">
        <v>1618743.789</v>
      </c>
      <c r="AC8" s="53">
        <v>1618743.789</v>
      </c>
      <c r="AD8" s="53">
        <v>1618743.789</v>
      </c>
      <c r="AE8" s="53">
        <v>1618743.789</v>
      </c>
    </row>
    <row r="9" spans="7:31" ht="12.75">
      <c r="G9" s="898"/>
      <c r="H9" s="53"/>
      <c r="I9" s="53"/>
      <c r="J9" s="53"/>
      <c r="K9" s="53"/>
      <c r="L9" s="53"/>
      <c r="M9" s="53"/>
      <c r="N9" s="53"/>
      <c r="O9" s="53"/>
      <c r="P9" s="53"/>
      <c r="Q9" s="53"/>
      <c r="R9" s="53"/>
      <c r="S9" s="53"/>
      <c r="T9" s="53"/>
      <c r="U9" s="53"/>
      <c r="V9" s="53"/>
      <c r="W9" s="53"/>
      <c r="X9" s="53"/>
      <c r="Y9" s="53"/>
      <c r="Z9" s="53"/>
      <c r="AA9" s="53"/>
      <c r="AB9" s="53"/>
      <c r="AC9" s="53"/>
      <c r="AD9" s="53"/>
      <c r="AE9" s="53"/>
    </row>
    <row r="10" spans="4:31" ht="15.75">
      <c r="D10" s="834" t="s">
        <v>801</v>
      </c>
      <c r="G10" s="898"/>
      <c r="H10" s="120">
        <v>2000</v>
      </c>
      <c r="I10" s="120">
        <v>2000</v>
      </c>
      <c r="J10" s="120">
        <v>2000</v>
      </c>
      <c r="K10" s="120">
        <v>2000</v>
      </c>
      <c r="L10" s="120">
        <v>2000</v>
      </c>
      <c r="M10" s="120">
        <v>2000</v>
      </c>
      <c r="N10" s="120">
        <v>2000</v>
      </c>
      <c r="O10" s="120">
        <v>2000</v>
      </c>
      <c r="P10" s="120">
        <v>2000</v>
      </c>
      <c r="Q10" s="120">
        <v>2000</v>
      </c>
      <c r="R10" s="120">
        <v>2000</v>
      </c>
      <c r="S10" s="120">
        <v>2000</v>
      </c>
      <c r="T10" s="120">
        <v>2000</v>
      </c>
      <c r="U10" s="120">
        <v>2000</v>
      </c>
      <c r="V10" s="120">
        <v>2000</v>
      </c>
      <c r="W10" s="120">
        <v>2000</v>
      </c>
      <c r="X10" s="120">
        <v>2000</v>
      </c>
      <c r="Y10" s="120">
        <v>2000</v>
      </c>
      <c r="Z10" s="120">
        <v>2000</v>
      </c>
      <c r="AA10" s="120">
        <v>2000</v>
      </c>
      <c r="AB10" s="120">
        <v>2000</v>
      </c>
      <c r="AC10" s="120">
        <v>2000</v>
      </c>
      <c r="AD10" s="120">
        <v>2000</v>
      </c>
      <c r="AE10" s="120">
        <v>2000</v>
      </c>
    </row>
    <row r="11" ht="12.75">
      <c r="G11" s="898"/>
    </row>
    <row r="12" spans="1:31" ht="12.75">
      <c r="A12" s="721" t="s">
        <v>746</v>
      </c>
      <c r="C12" t="s">
        <v>162</v>
      </c>
      <c r="D12" t="s">
        <v>744</v>
      </c>
      <c r="F12" s="898">
        <f>NPV(0.07433,H12:AE12)*(1+0.07433/2)/1000</f>
        <v>10008.89738244323</v>
      </c>
      <c r="G12" s="898">
        <f>NPV(0.07433,H12:Z12)*(1+0.07433/2)/1000</f>
        <v>8299.099666100929</v>
      </c>
      <c r="H12" s="266">
        <v>461288.787</v>
      </c>
      <c r="I12" s="266">
        <v>514253.26700000005</v>
      </c>
      <c r="J12" s="53">
        <v>524221.132</v>
      </c>
      <c r="K12" s="53">
        <v>555075.923</v>
      </c>
      <c r="L12" s="53">
        <v>609794.566</v>
      </c>
      <c r="M12" s="53">
        <v>680557.711</v>
      </c>
      <c r="N12" s="53">
        <v>733544.2880000001</v>
      </c>
      <c r="O12" s="53">
        <v>808040.11</v>
      </c>
      <c r="P12" s="53">
        <v>859519.268</v>
      </c>
      <c r="Q12" s="53">
        <v>925331.004</v>
      </c>
      <c r="R12" s="53">
        <v>998537.005</v>
      </c>
      <c r="S12" s="53">
        <v>1027172.879</v>
      </c>
      <c r="T12" s="53">
        <v>1041187.01</v>
      </c>
      <c r="U12" s="53">
        <v>1098254.86</v>
      </c>
      <c r="V12" s="53">
        <v>1149363.928</v>
      </c>
      <c r="W12" s="53">
        <v>1217547.246</v>
      </c>
      <c r="X12" s="53">
        <v>1291214.321</v>
      </c>
      <c r="Y12" s="53">
        <v>1380872.314</v>
      </c>
      <c r="Z12" s="53">
        <v>1466673.438</v>
      </c>
      <c r="AA12" s="53">
        <v>1507740.2942640001</v>
      </c>
      <c r="AB12" s="53">
        <v>1549957.022503392</v>
      </c>
      <c r="AC12" s="53">
        <v>1593355.819133487</v>
      </c>
      <c r="AD12" s="53">
        <v>1637969.7820692246</v>
      </c>
      <c r="AE12" s="53">
        <v>1683832.935967163</v>
      </c>
    </row>
    <row r="13" spans="1:31" ht="12.75">
      <c r="A13" s="721" t="s">
        <v>742</v>
      </c>
      <c r="D13" t="s">
        <v>293</v>
      </c>
      <c r="F13" s="898">
        <f>NPV(0.07433,H13:AE13)*(1+0.07433/2)/1000</f>
        <v>10348.420409320603</v>
      </c>
      <c r="G13" s="898">
        <f>NPV(0.07433,H13:Z13)*(1+0.07433/2)/1000</f>
        <v>8578.914827846866</v>
      </c>
      <c r="H13" s="266">
        <v>473042.80899999995</v>
      </c>
      <c r="I13" s="266">
        <v>526090.206</v>
      </c>
      <c r="J13" s="53">
        <v>537830.589</v>
      </c>
      <c r="K13" s="53">
        <v>568543.984</v>
      </c>
      <c r="L13" s="53">
        <v>623293.134</v>
      </c>
      <c r="M13" s="53">
        <v>695898.281</v>
      </c>
      <c r="N13" s="53">
        <v>747599.9389999999</v>
      </c>
      <c r="O13" s="53">
        <v>822682.433</v>
      </c>
      <c r="P13" s="53">
        <v>873223.294</v>
      </c>
      <c r="Q13" s="53">
        <v>944296.67</v>
      </c>
      <c r="R13" s="53">
        <v>1025014.7019999999</v>
      </c>
      <c r="S13" s="53">
        <v>1061256.499</v>
      </c>
      <c r="T13" s="53">
        <v>1083909.839</v>
      </c>
      <c r="U13" s="53">
        <v>1149130.179</v>
      </c>
      <c r="V13" s="53">
        <v>1208533.373</v>
      </c>
      <c r="W13" s="53">
        <v>1285788.5929999999</v>
      </c>
      <c r="X13" s="53">
        <v>1369156.6849999998</v>
      </c>
      <c r="Y13" s="53">
        <v>1467301.42</v>
      </c>
      <c r="Z13" s="53">
        <v>1561569.404</v>
      </c>
      <c r="AA13" s="53">
        <v>1589677.6532720001</v>
      </c>
      <c r="AB13" s="53">
        <v>1618291.8510308962</v>
      </c>
      <c r="AC13" s="53">
        <v>1647421.1043494523</v>
      </c>
      <c r="AD13" s="53">
        <v>1677074.6842277425</v>
      </c>
      <c r="AE13" s="53">
        <v>1707262.0285438418</v>
      </c>
    </row>
    <row r="14" spans="1:31" ht="12.75">
      <c r="A14" s="721" t="s">
        <v>747</v>
      </c>
      <c r="D14" t="s">
        <v>745</v>
      </c>
      <c r="F14" s="898">
        <f>NPV(0.07433,H14:AE14)*(1+0.07433/2)/1000</f>
        <v>10421.268760807414</v>
      </c>
      <c r="G14" s="898">
        <f>NPV(0.07433,H14:Z14)*(1+0.07433/2)/1000</f>
        <v>8687.620467145043</v>
      </c>
      <c r="H14" s="266">
        <v>474142.828</v>
      </c>
      <c r="I14" s="266">
        <v>527873.63</v>
      </c>
      <c r="J14" s="53">
        <v>541624.47</v>
      </c>
      <c r="K14" s="53">
        <v>571604.615</v>
      </c>
      <c r="L14" s="53">
        <v>626108.749</v>
      </c>
      <c r="M14" s="53">
        <v>699463.16</v>
      </c>
      <c r="N14" s="53">
        <v>749493.236</v>
      </c>
      <c r="O14" s="53">
        <v>824489.594</v>
      </c>
      <c r="P14" s="53">
        <v>874962.878</v>
      </c>
      <c r="Q14" s="53">
        <v>949751.2379999999</v>
      </c>
      <c r="R14" s="53">
        <v>1035576.1440000001</v>
      </c>
      <c r="S14" s="53">
        <v>1076806.538</v>
      </c>
      <c r="T14" s="53">
        <v>1104734.6230000001</v>
      </c>
      <c r="U14" s="53">
        <v>1174484.7959999999</v>
      </c>
      <c r="V14" s="53">
        <v>1238197.3660000002</v>
      </c>
      <c r="W14" s="53">
        <v>1320727.79</v>
      </c>
      <c r="X14" s="53">
        <v>1409960.432</v>
      </c>
      <c r="Y14" s="53">
        <v>1511649.679</v>
      </c>
      <c r="Z14" s="53">
        <v>1610432.7989999999</v>
      </c>
      <c r="AA14" s="53">
        <v>1610432.7989999999</v>
      </c>
      <c r="AB14" s="53">
        <v>1610432.7989999999</v>
      </c>
      <c r="AC14" s="53">
        <v>1610432.7989999999</v>
      </c>
      <c r="AD14" s="53">
        <v>1610432.7989999999</v>
      </c>
      <c r="AE14" s="53">
        <v>1610432.7989999999</v>
      </c>
    </row>
    <row r="15" ht="12.75">
      <c r="G15" s="175"/>
    </row>
    <row r="16" spans="1:31" ht="12.75">
      <c r="A16" s="721"/>
      <c r="G16" s="175"/>
      <c r="H16" s="53"/>
      <c r="I16" s="53"/>
      <c r="J16" s="53"/>
      <c r="K16" s="53"/>
      <c r="L16" s="53"/>
      <c r="M16" s="53"/>
      <c r="N16" s="53"/>
      <c r="O16" s="53"/>
      <c r="P16" s="53"/>
      <c r="Q16" s="53"/>
      <c r="R16" s="53"/>
      <c r="S16" s="53"/>
      <c r="T16" s="53"/>
      <c r="U16" s="53"/>
      <c r="V16" s="53"/>
      <c r="W16" s="53"/>
      <c r="X16" s="53"/>
      <c r="Y16" s="53"/>
      <c r="Z16" s="53"/>
      <c r="AA16" s="53"/>
      <c r="AB16" s="53"/>
      <c r="AC16" s="53"/>
      <c r="AD16" s="53"/>
      <c r="AE16" s="53"/>
    </row>
    <row r="17" ht="12.75">
      <c r="G17" s="175"/>
    </row>
    <row r="18" ht="12.75">
      <c r="G18" s="175"/>
    </row>
  </sheetData>
  <printOptions/>
  <pageMargins left="0.75" right="0.75" top="1" bottom="1" header="0.5" footer="0.5"/>
  <pageSetup horizontalDpi="600" verticalDpi="600" orientation="landscape" scale="70"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dimension ref="A1:AE37"/>
  <sheetViews>
    <sheetView workbookViewId="0" topLeftCell="A1">
      <selection activeCell="A1" sqref="A1"/>
    </sheetView>
  </sheetViews>
  <sheetFormatPr defaultColWidth="9.140625" defaultRowHeight="12.75"/>
  <cols>
    <col min="2" max="3" width="4.7109375" style="0" customWidth="1"/>
    <col min="4" max="4" width="35.00390625" style="0" customWidth="1"/>
    <col min="5" max="5" width="11.7109375" style="0" customWidth="1"/>
    <col min="6" max="6" width="10.28125" style="0" customWidth="1"/>
    <col min="7" max="8" width="10.421875" style="0" customWidth="1"/>
    <col min="9" max="31" width="11.28125" style="0" bestFit="1" customWidth="1"/>
  </cols>
  <sheetData>
    <row r="1" spans="1:31" ht="23.25">
      <c r="A1" s="55" t="s">
        <v>52</v>
      </c>
      <c r="B1" s="56"/>
      <c r="C1" s="56"/>
      <c r="D1" s="57"/>
      <c r="E1" s="58"/>
      <c r="F1" s="58"/>
      <c r="G1" s="915"/>
      <c r="H1" s="58"/>
      <c r="I1" s="58"/>
      <c r="J1" s="58"/>
      <c r="K1" s="58"/>
      <c r="L1" s="58"/>
      <c r="M1" s="58"/>
      <c r="N1" s="58"/>
      <c r="O1" s="58"/>
      <c r="P1" s="58"/>
      <c r="Q1" s="58"/>
      <c r="R1" s="58"/>
      <c r="S1" s="58"/>
      <c r="T1" s="58"/>
      <c r="U1" s="58"/>
      <c r="V1" s="58"/>
      <c r="W1" s="58"/>
      <c r="X1" s="58"/>
      <c r="Y1" s="58"/>
      <c r="Z1" s="58"/>
      <c r="AA1" s="58"/>
      <c r="AB1" s="58"/>
      <c r="AC1" s="58"/>
      <c r="AD1" s="58"/>
      <c r="AE1" s="58"/>
    </row>
    <row r="2" spans="1:31" ht="12.75">
      <c r="A2" s="65" t="str">
        <f>IF(Inputs!E81="L","Centralia Dispatching Curve LOW",IF(Inputs!E81="M","Centralia Dispatching Curve MEDIUM",IF(Inputs!E81="H","Centralia Dispatching Curve HIGH")))</f>
        <v>Centralia Dispatching Curve MEDIUM</v>
      </c>
      <c r="B2" s="58"/>
      <c r="C2" s="58"/>
      <c r="D2" s="58"/>
      <c r="E2" s="58"/>
      <c r="F2" s="58"/>
      <c r="G2" s="87"/>
      <c r="H2" s="58"/>
      <c r="I2" s="58"/>
      <c r="J2" s="58"/>
      <c r="K2" s="58"/>
      <c r="L2" s="58"/>
      <c r="M2" s="58"/>
      <c r="N2" s="58"/>
      <c r="O2" s="58"/>
      <c r="P2" s="58"/>
      <c r="Q2" s="58"/>
      <c r="R2" s="58"/>
      <c r="S2" s="58"/>
      <c r="T2" s="58"/>
      <c r="U2" s="58"/>
      <c r="V2" s="58"/>
      <c r="W2" s="58"/>
      <c r="X2" s="58"/>
      <c r="Y2" s="58"/>
      <c r="Z2" s="58"/>
      <c r="AA2" s="58"/>
      <c r="AB2" s="58"/>
      <c r="AC2" s="58"/>
      <c r="AD2" s="58"/>
      <c r="AE2" s="58"/>
    </row>
    <row r="3" spans="1:31" ht="18.75">
      <c r="A3" s="59" t="s">
        <v>867</v>
      </c>
      <c r="B3" s="58"/>
      <c r="C3" s="58"/>
      <c r="D3" s="58"/>
      <c r="E3" s="58"/>
      <c r="F3" s="58"/>
      <c r="G3" s="87"/>
      <c r="H3" s="58"/>
      <c r="I3" s="58"/>
      <c r="J3" s="58"/>
      <c r="K3" s="58"/>
      <c r="L3" s="58"/>
      <c r="M3" s="58"/>
      <c r="N3" s="58"/>
      <c r="O3" s="58"/>
      <c r="P3" s="58"/>
      <c r="Q3" s="58"/>
      <c r="R3" s="58"/>
      <c r="S3" s="58"/>
      <c r="T3" s="58"/>
      <c r="U3" s="58"/>
      <c r="V3" s="58"/>
      <c r="W3" s="58"/>
      <c r="X3" s="58"/>
      <c r="Y3" s="58"/>
      <c r="Z3" s="58"/>
      <c r="AA3" s="58"/>
      <c r="AB3" s="58"/>
      <c r="AC3" s="58"/>
      <c r="AD3" s="58"/>
      <c r="AE3" s="58"/>
    </row>
    <row r="4" spans="1:31" ht="12.75">
      <c r="A4" s="65" t="s">
        <v>79</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row>
    <row r="5" spans="1:31" ht="12.75">
      <c r="A5" s="58"/>
      <c r="B5" s="58"/>
      <c r="C5" s="58"/>
      <c r="D5" s="58"/>
      <c r="E5" s="70"/>
      <c r="F5" s="70"/>
      <c r="G5" s="67"/>
      <c r="H5" s="71"/>
      <c r="I5" s="71"/>
      <c r="J5" s="71"/>
      <c r="K5" s="71"/>
      <c r="L5" s="71"/>
      <c r="M5" s="71"/>
      <c r="N5" s="71"/>
      <c r="O5" s="71"/>
      <c r="P5" s="71"/>
      <c r="Q5" s="71"/>
      <c r="R5" s="71"/>
      <c r="S5" s="71"/>
      <c r="T5" s="71"/>
      <c r="U5" s="71"/>
      <c r="V5" s="71"/>
      <c r="W5" s="71"/>
      <c r="X5" s="71"/>
      <c r="Y5" s="71"/>
      <c r="Z5" s="71"/>
      <c r="AA5" s="71"/>
      <c r="AB5" s="71"/>
      <c r="AC5" s="71"/>
      <c r="AD5" s="71"/>
      <c r="AE5" s="71"/>
    </row>
    <row r="6" spans="1:31" ht="12.75">
      <c r="A6" s="58"/>
      <c r="B6" s="58"/>
      <c r="C6" s="58"/>
      <c r="D6" s="58"/>
      <c r="E6" s="72"/>
      <c r="F6" s="70"/>
      <c r="G6" s="67" t="s">
        <v>791</v>
      </c>
      <c r="H6" s="742">
        <v>8</v>
      </c>
      <c r="I6" s="742">
        <f>H6+1</f>
        <v>9</v>
      </c>
      <c r="J6" s="742">
        <f aca="true" t="shared" si="0" ref="J6:AE6">I6+1</f>
        <v>10</v>
      </c>
      <c r="K6" s="742">
        <f t="shared" si="0"/>
        <v>11</v>
      </c>
      <c r="L6" s="742">
        <f t="shared" si="0"/>
        <v>12</v>
      </c>
      <c r="M6" s="742">
        <f t="shared" si="0"/>
        <v>13</v>
      </c>
      <c r="N6" s="742">
        <f t="shared" si="0"/>
        <v>14</v>
      </c>
      <c r="O6" s="742">
        <f t="shared" si="0"/>
        <v>15</v>
      </c>
      <c r="P6" s="742">
        <f t="shared" si="0"/>
        <v>16</v>
      </c>
      <c r="Q6" s="742">
        <f t="shared" si="0"/>
        <v>17</v>
      </c>
      <c r="R6" s="742">
        <f t="shared" si="0"/>
        <v>18</v>
      </c>
      <c r="S6" s="742">
        <f t="shared" si="0"/>
        <v>19</v>
      </c>
      <c r="T6" s="742">
        <f t="shared" si="0"/>
        <v>20</v>
      </c>
      <c r="U6" s="742">
        <f t="shared" si="0"/>
        <v>21</v>
      </c>
      <c r="V6" s="742">
        <f t="shared" si="0"/>
        <v>22</v>
      </c>
      <c r="W6" s="742">
        <f t="shared" si="0"/>
        <v>23</v>
      </c>
      <c r="X6" s="742">
        <f t="shared" si="0"/>
        <v>24</v>
      </c>
      <c r="Y6" s="742">
        <f t="shared" si="0"/>
        <v>25</v>
      </c>
      <c r="Z6" s="742">
        <f t="shared" si="0"/>
        <v>26</v>
      </c>
      <c r="AA6" s="742">
        <f t="shared" si="0"/>
        <v>27</v>
      </c>
      <c r="AB6" s="742">
        <f t="shared" si="0"/>
        <v>28</v>
      </c>
      <c r="AC6" s="742">
        <f t="shared" si="0"/>
        <v>29</v>
      </c>
      <c r="AD6" s="742">
        <f t="shared" si="0"/>
        <v>30</v>
      </c>
      <c r="AE6" s="742">
        <f t="shared" si="0"/>
        <v>31</v>
      </c>
    </row>
    <row r="7" spans="1:31" ht="15.75">
      <c r="A7" s="61" t="s">
        <v>63</v>
      </c>
      <c r="B7" s="61"/>
      <c r="C7" s="62"/>
      <c r="D7" s="62"/>
      <c r="E7" s="70" t="str">
        <f>"P.V @ "&amp;FIXED(Inputs!G8*100,1)&amp;"%"</f>
        <v>P.V @ 7.8%</v>
      </c>
      <c r="F7" s="70" t="s">
        <v>3</v>
      </c>
      <c r="G7" s="67" t="s">
        <v>792</v>
      </c>
      <c r="H7" s="88">
        <v>2000</v>
      </c>
      <c r="I7" s="88">
        <f>H7+1</f>
        <v>2001</v>
      </c>
      <c r="J7" s="88">
        <f aca="true" t="shared" si="1" ref="J7:AE7">I7+1</f>
        <v>2002</v>
      </c>
      <c r="K7" s="88">
        <f t="shared" si="1"/>
        <v>2003</v>
      </c>
      <c r="L7" s="88">
        <f t="shared" si="1"/>
        <v>2004</v>
      </c>
      <c r="M7" s="88">
        <f t="shared" si="1"/>
        <v>2005</v>
      </c>
      <c r="N7" s="88">
        <f t="shared" si="1"/>
        <v>2006</v>
      </c>
      <c r="O7" s="88">
        <f t="shared" si="1"/>
        <v>2007</v>
      </c>
      <c r="P7" s="88">
        <f t="shared" si="1"/>
        <v>2008</v>
      </c>
      <c r="Q7" s="88">
        <f t="shared" si="1"/>
        <v>2009</v>
      </c>
      <c r="R7" s="88">
        <f t="shared" si="1"/>
        <v>2010</v>
      </c>
      <c r="S7" s="88">
        <f t="shared" si="1"/>
        <v>2011</v>
      </c>
      <c r="T7" s="88">
        <f t="shared" si="1"/>
        <v>2012</v>
      </c>
      <c r="U7" s="88">
        <f t="shared" si="1"/>
        <v>2013</v>
      </c>
      <c r="V7" s="88">
        <f t="shared" si="1"/>
        <v>2014</v>
      </c>
      <c r="W7" s="88">
        <f t="shared" si="1"/>
        <v>2015</v>
      </c>
      <c r="X7" s="88">
        <f t="shared" si="1"/>
        <v>2016</v>
      </c>
      <c r="Y7" s="88">
        <f t="shared" si="1"/>
        <v>2017</v>
      </c>
      <c r="Z7" s="88">
        <f t="shared" si="1"/>
        <v>2018</v>
      </c>
      <c r="AA7" s="88">
        <f t="shared" si="1"/>
        <v>2019</v>
      </c>
      <c r="AB7" s="88">
        <f t="shared" si="1"/>
        <v>2020</v>
      </c>
      <c r="AC7" s="88">
        <f t="shared" si="1"/>
        <v>2021</v>
      </c>
      <c r="AD7" s="88">
        <f t="shared" si="1"/>
        <v>2022</v>
      </c>
      <c r="AE7" s="88">
        <f t="shared" si="1"/>
        <v>2023</v>
      </c>
    </row>
    <row r="8" spans="1:31" ht="15.75">
      <c r="A8" s="61"/>
      <c r="B8" s="926" t="s">
        <v>788</v>
      </c>
      <c r="C8" s="926"/>
      <c r="D8" s="927"/>
      <c r="E8" s="253"/>
      <c r="F8" s="250"/>
      <c r="G8" s="253">
        <f>-'Gain Calculation'!D87*Inputs!F68/1000</f>
        <v>-53042.98662375484</v>
      </c>
      <c r="H8" s="53"/>
      <c r="I8" s="76"/>
      <c r="J8" s="76"/>
      <c r="K8" s="76"/>
      <c r="L8" s="76"/>
      <c r="M8" s="75"/>
      <c r="N8" s="75"/>
      <c r="O8" s="75"/>
      <c r="P8" s="75"/>
      <c r="Q8" s="75"/>
      <c r="R8" s="75"/>
      <c r="S8" s="75"/>
      <c r="T8" s="75"/>
      <c r="U8" s="75"/>
      <c r="V8" s="75"/>
      <c r="W8" s="75"/>
      <c r="X8" s="75"/>
      <c r="Y8" s="75"/>
      <c r="Z8" s="75"/>
      <c r="AA8" s="75"/>
      <c r="AB8" s="75"/>
      <c r="AC8" s="75"/>
      <c r="AD8" s="75"/>
      <c r="AE8" s="75"/>
    </row>
    <row r="9" spans="1:31" ht="15.75">
      <c r="A9" s="61"/>
      <c r="B9" s="83" t="s">
        <v>866</v>
      </c>
      <c r="C9" s="83"/>
      <c r="D9" s="62"/>
      <c r="E9" s="252">
        <f>NPV(Inputs!$G$8,G9:AE9)*(1+Inputs!$G$8/2)</f>
        <v>-74255.69878264816</v>
      </c>
      <c r="F9" s="73">
        <f>SUM(G9:AK9)</f>
        <v>-160399.73733619764</v>
      </c>
      <c r="G9" s="67"/>
      <c r="H9" s="76">
        <f>G8*Inputs!J76</f>
        <v>-6683.322389008235</v>
      </c>
      <c r="I9" s="76">
        <f>H9</f>
        <v>-6683.322389008235</v>
      </c>
      <c r="J9" s="76">
        <f aca="true" t="shared" si="2" ref="J9:AE9">I9</f>
        <v>-6683.322389008235</v>
      </c>
      <c r="K9" s="76">
        <f t="shared" si="2"/>
        <v>-6683.322389008235</v>
      </c>
      <c r="L9" s="76">
        <f t="shared" si="2"/>
        <v>-6683.322389008235</v>
      </c>
      <c r="M9" s="76">
        <f t="shared" si="2"/>
        <v>-6683.322389008235</v>
      </c>
      <c r="N9" s="76">
        <f t="shared" si="2"/>
        <v>-6683.322389008235</v>
      </c>
      <c r="O9" s="76">
        <f t="shared" si="2"/>
        <v>-6683.322389008235</v>
      </c>
      <c r="P9" s="76">
        <f t="shared" si="2"/>
        <v>-6683.322389008235</v>
      </c>
      <c r="Q9" s="76">
        <f t="shared" si="2"/>
        <v>-6683.322389008235</v>
      </c>
      <c r="R9" s="76">
        <f t="shared" si="2"/>
        <v>-6683.322389008235</v>
      </c>
      <c r="S9" s="76">
        <f t="shared" si="2"/>
        <v>-6683.322389008235</v>
      </c>
      <c r="T9" s="76">
        <f t="shared" si="2"/>
        <v>-6683.322389008235</v>
      </c>
      <c r="U9" s="76">
        <f t="shared" si="2"/>
        <v>-6683.322389008235</v>
      </c>
      <c r="V9" s="76">
        <f t="shared" si="2"/>
        <v>-6683.322389008235</v>
      </c>
      <c r="W9" s="76">
        <f t="shared" si="2"/>
        <v>-6683.322389008235</v>
      </c>
      <c r="X9" s="76">
        <f t="shared" si="2"/>
        <v>-6683.322389008235</v>
      </c>
      <c r="Y9" s="76">
        <f t="shared" si="2"/>
        <v>-6683.322389008235</v>
      </c>
      <c r="Z9" s="76">
        <f t="shared" si="2"/>
        <v>-6683.322389008235</v>
      </c>
      <c r="AA9" s="76">
        <f t="shared" si="2"/>
        <v>-6683.322389008235</v>
      </c>
      <c r="AB9" s="76">
        <f t="shared" si="2"/>
        <v>-6683.322389008235</v>
      </c>
      <c r="AC9" s="76">
        <f t="shared" si="2"/>
        <v>-6683.322389008235</v>
      </c>
      <c r="AD9" s="76">
        <f t="shared" si="2"/>
        <v>-6683.322389008235</v>
      </c>
      <c r="AE9" s="76">
        <f t="shared" si="2"/>
        <v>-6683.322389008235</v>
      </c>
    </row>
    <row r="10" spans="1:31" ht="15.75">
      <c r="A10" s="835"/>
      <c r="B10" s="139" t="s">
        <v>871</v>
      </c>
      <c r="C10" s="83"/>
      <c r="D10" s="62"/>
      <c r="E10" s="252">
        <f>NPV(Inputs!$G$8,H10:AE10)*(1+Inputs!$G$8/2)</f>
        <v>77912.00657122361</v>
      </c>
      <c r="F10" s="73">
        <f>SUM(H10:AK10)</f>
        <v>179436.77176756036</v>
      </c>
      <c r="G10" s="67"/>
      <c r="H10" s="238">
        <f>'Wholesale Transmission'!G12*1000*Inputs!J61</f>
        <v>6171.345911949685</v>
      </c>
      <c r="I10" s="238">
        <f>'Wholesale Transmission'!H12*1000*Inputs!K61</f>
        <v>6261.628930817609</v>
      </c>
      <c r="J10" s="238">
        <f>'Wholesale Transmission'!I12*1000*Inputs!L61</f>
        <v>6356.927672955975</v>
      </c>
      <c r="K10" s="238">
        <f>'Wholesale Transmission'!J12*1000*Inputs!M61</f>
        <v>6087.0817610062895</v>
      </c>
      <c r="L10" s="238">
        <f>'Wholesale Transmission'!K12*1000*Inputs!N61</f>
        <v>6482.320754716981</v>
      </c>
      <c r="M10" s="238">
        <f>'Wholesale Transmission'!L12*1000*Inputs!O61</f>
        <v>6181.377358490566</v>
      </c>
      <c r="N10" s="238">
        <f>'Wholesale Transmission'!M12*1000*Inputs!P61</f>
        <v>6659.877358490566</v>
      </c>
      <c r="O10" s="238">
        <f>'Wholesale Transmission'!N12*1000*Inputs!Q61</f>
        <v>6603.701257861636</v>
      </c>
      <c r="P10" s="238">
        <f>'Wholesale Transmission'!O12*1000*Inputs!R61</f>
        <v>7283.833333333334</v>
      </c>
      <c r="Q10" s="238">
        <f>'Wholesale Transmission'!P12*1000*Inputs!S61</f>
        <v>7059.564295597484</v>
      </c>
      <c r="R10" s="238">
        <f>'Wholesale Transmission'!Q12*1000*Inputs!T61</f>
        <v>7187.6760357987405</v>
      </c>
      <c r="S10" s="238">
        <f>'Wholesale Transmission'!R12*1000*Inputs!U61</f>
        <v>7323.403976677232</v>
      </c>
      <c r="T10" s="238">
        <f>'Wholesale Transmission'!S12*1000*Inputs!V61</f>
        <v>7552.186270272331</v>
      </c>
      <c r="U10" s="238">
        <f>'Wholesale Transmission'!T12*1000*Inputs!W61</f>
        <v>7682.641938669947</v>
      </c>
      <c r="V10" s="238">
        <f>'Wholesale Transmission'!U12*1000*Inputs!X61</f>
        <v>7820.929493566005</v>
      </c>
      <c r="W10" s="238">
        <f>'Wholesale Transmission'!V12*1000*Inputs!Y61</f>
        <v>7632.099542781306</v>
      </c>
      <c r="X10" s="238">
        <f>'Wholesale Transmission'!W12*1000*Inputs!Z61</f>
        <v>8070.305943186268</v>
      </c>
      <c r="Y10" s="238">
        <f>'Wholesale Transmission'!X12*1000*Inputs!AA61</f>
        <v>8262.68583840829</v>
      </c>
      <c r="Z10" s="238">
        <f>'Wholesale Transmission'!Y12*1000*Inputs!AB61</f>
        <v>8405.418877595503</v>
      </c>
      <c r="AA10" s="238">
        <f>'Wholesale Transmission'!Z12*1000*Inputs!AC61</f>
        <v>8556.716417392223</v>
      </c>
      <c r="AB10" s="238">
        <f>'Wholesale Transmission'!AA12*1000*Inputs!AD61</f>
        <v>8710.737312905283</v>
      </c>
      <c r="AC10" s="238">
        <f>'Wholesale Transmission'!AB12*1000*Inputs!AE61</f>
        <v>8867.530584537577</v>
      </c>
      <c r="AD10" s="238">
        <f>'Wholesale Transmission'!AC12*1000*Inputs!AF61</f>
        <v>9027.146135059254</v>
      </c>
      <c r="AE10" s="238">
        <f>'Wholesale Transmission'!AD12*1000*Inputs!AG61</f>
        <v>9189.63476549032</v>
      </c>
    </row>
    <row r="11" spans="1:31" ht="15.75" customHeight="1">
      <c r="A11" s="58"/>
      <c r="B11" s="139" t="s">
        <v>790</v>
      </c>
      <c r="D11" s="37"/>
      <c r="E11" s="252">
        <f>NPV(Inputs!$G$8,H11:AE11)*(1+Inputs!$G$8/2)</f>
        <v>10435189.603603318</v>
      </c>
      <c r="F11" s="73">
        <f>SUM(H11:AK11)</f>
        <v>27398552.581448454</v>
      </c>
      <c r="G11" s="67"/>
      <c r="H11" s="84">
        <f>IF(Inputs!$E$81="L",('System Net Power Costs'!H8),IF(Inputs!$E$81="M",('System Net Power Costs'!H7),IF(Inputs!$E$81="H",('System Net Power Costs'!H6))))</f>
        <v>508829.308</v>
      </c>
      <c r="I11" s="84">
        <f>IF(Inputs!$E$81="L",('System Net Power Costs'!I8),IF(Inputs!$E$81="M",('System Net Power Costs'!I7),IF(Inputs!$E$81="H",('System Net Power Costs'!I6))))</f>
        <v>563292.177</v>
      </c>
      <c r="J11" s="84">
        <f>IF(Inputs!$E$81="L",('System Net Power Costs'!J8),IF(Inputs!$E$81="M",('System Net Power Costs'!J7),IF(Inputs!$E$81="H",('System Net Power Costs'!J6))))</f>
        <v>576968.313</v>
      </c>
      <c r="K11" s="84">
        <f>IF(Inputs!$E$81="L",('System Net Power Costs'!K8),IF(Inputs!$E$81="M",('System Net Power Costs'!K7),IF(Inputs!$E$81="H",('System Net Power Costs'!K6))))</f>
        <v>607876.276</v>
      </c>
      <c r="L11" s="84">
        <f>IF(Inputs!$E$81="L",('System Net Power Costs'!L8),IF(Inputs!$E$81="M",('System Net Power Costs'!L7),IF(Inputs!$E$81="H",('System Net Power Costs'!L6))))</f>
        <v>665461.219</v>
      </c>
      <c r="M11" s="84">
        <f>IF(Inputs!$E$81="L",('System Net Power Costs'!M8),IF(Inputs!$E$81="M",('System Net Power Costs'!M7),IF(Inputs!$E$81="H",('System Net Power Costs'!M6))))</f>
        <v>736734.775</v>
      </c>
      <c r="N11" s="84">
        <f>IF(Inputs!$E$81="L",('System Net Power Costs'!N8),IF(Inputs!$E$81="M",('System Net Power Costs'!N7),IF(Inputs!$E$81="H",('System Net Power Costs'!N6))))</f>
        <v>791468.488</v>
      </c>
      <c r="O11" s="84">
        <f>IF(Inputs!$E$81="L",('System Net Power Costs'!O8),IF(Inputs!$E$81="M",('System Net Power Costs'!O7),IF(Inputs!$E$81="H",('System Net Power Costs'!O6))))</f>
        <v>865756.206</v>
      </c>
      <c r="P11" s="84">
        <f>IF(Inputs!$E$81="L",('System Net Power Costs'!P8),IF(Inputs!$E$81="M",('System Net Power Costs'!P7),IF(Inputs!$E$81="H",('System Net Power Costs'!P6))))</f>
        <v>919413.072</v>
      </c>
      <c r="Q11" s="84">
        <f>IF(Inputs!$E$81="L",('System Net Power Costs'!Q8),IF(Inputs!$E$81="M",('System Net Power Costs'!Q7),IF(Inputs!$E$81="H",('System Net Power Costs'!Q6))))</f>
        <v>990546.922</v>
      </c>
      <c r="R11" s="84">
        <f>IF(Inputs!$E$81="L",('System Net Power Costs'!R8),IF(Inputs!$E$81="M",('System Net Power Costs'!R7),IF(Inputs!$E$81="H",('System Net Power Costs'!R6))))</f>
        <v>1073055.789</v>
      </c>
      <c r="S11" s="84">
        <f>IF(Inputs!$E$81="L",('System Net Power Costs'!S8),IF(Inputs!$E$81="M",('System Net Power Costs'!S7),IF(Inputs!$E$81="H",('System Net Power Costs'!S6))))</f>
        <v>1110219.6919999998</v>
      </c>
      <c r="T11" s="84">
        <f>IF(Inputs!$E$81="L",('System Net Power Costs'!T8),IF(Inputs!$E$81="M",('System Net Power Costs'!T7),IF(Inputs!$E$81="H",('System Net Power Costs'!T6))))</f>
        <v>1134034.543</v>
      </c>
      <c r="U11" s="84">
        <f>IF(Inputs!$E$81="L",('System Net Power Costs'!U8),IF(Inputs!$E$81="M",('System Net Power Costs'!U7),IF(Inputs!$E$81="H",('System Net Power Costs'!U6))))</f>
        <v>1199387.2249999999</v>
      </c>
      <c r="V11" s="84">
        <f>IF(Inputs!$E$81="L",('System Net Power Costs'!V8),IF(Inputs!$E$81="M",('System Net Power Costs'!V7),IF(Inputs!$E$81="H",('System Net Power Costs'!V6))))</f>
        <v>1259455.1120000002</v>
      </c>
      <c r="W11" s="84">
        <f>IF(Inputs!$E$81="L",('System Net Power Costs'!W8),IF(Inputs!$E$81="M",('System Net Power Costs'!W7),IF(Inputs!$E$81="H",('System Net Power Costs'!W6))))</f>
        <v>1337396.146</v>
      </c>
      <c r="X11" s="84">
        <f>IF(Inputs!$E$81="L",('System Net Power Costs'!X8),IF(Inputs!$E$81="M",('System Net Power Costs'!X7),IF(Inputs!$E$81="H",('System Net Power Costs'!X6))))</f>
        <v>1420354.806</v>
      </c>
      <c r="Y11" s="84">
        <f>IF(Inputs!$E$81="L",('System Net Power Costs'!Y8),IF(Inputs!$E$81="M",('System Net Power Costs'!Y7),IF(Inputs!$E$81="H",('System Net Power Costs'!Y6))))</f>
        <v>1518429.415</v>
      </c>
      <c r="Z11" s="84">
        <f>IF(Inputs!$E$81="L",('System Net Power Costs'!Z8),IF(Inputs!$E$81="M",('System Net Power Costs'!Z7),IF(Inputs!$E$81="H",('System Net Power Costs'!Z6))))</f>
        <v>1612325.8630000001</v>
      </c>
      <c r="AA11" s="84">
        <f>IF(Inputs!$E$81="L",('System Net Power Costs'!AA8),IF(Inputs!$E$81="M",('System Net Power Costs'!AA7),IF(Inputs!$E$81="H",('System Net Power Costs'!AA6))))</f>
        <v>1641347.7285340002</v>
      </c>
      <c r="AB11" s="84">
        <f>IF(Inputs!$E$81="L",('System Net Power Costs'!AB8),IF(Inputs!$E$81="M",('System Net Power Costs'!AB7),IF(Inputs!$E$81="H",('System Net Power Costs'!AB6))))</f>
        <v>1670891.9876476123</v>
      </c>
      <c r="AC11" s="84">
        <f>IF(Inputs!$E$81="L",('System Net Power Costs'!AC8),IF(Inputs!$E$81="M",('System Net Power Costs'!AC7),IF(Inputs!$E$81="H",('System Net Power Costs'!AC6))))</f>
        <v>1700968.0434252694</v>
      </c>
      <c r="AD11" s="84">
        <f>IF(Inputs!$E$81="L",('System Net Power Costs'!AD8),IF(Inputs!$E$81="M",('System Net Power Costs'!AD7),IF(Inputs!$E$81="H",('System Net Power Costs'!AD6))))</f>
        <v>1731585.4682069244</v>
      </c>
      <c r="AE11" s="84">
        <f>IF(Inputs!$E$81="L",('System Net Power Costs'!AE8),IF(Inputs!$E$81="M",('System Net Power Costs'!AE7),IF(Inputs!$E$81="H",('System Net Power Costs'!AE6))))</f>
        <v>1762754.0066346491</v>
      </c>
    </row>
    <row r="12" spans="1:31" ht="12.75">
      <c r="A12" s="58"/>
      <c r="B12" s="37"/>
      <c r="C12" s="57"/>
      <c r="D12" s="37"/>
      <c r="E12" s="252"/>
      <c r="F12" s="73"/>
      <c r="G12" s="67"/>
      <c r="H12" s="84"/>
      <c r="I12" s="84"/>
      <c r="J12" s="84"/>
      <c r="K12" s="84"/>
      <c r="L12" s="84"/>
      <c r="M12" s="84"/>
      <c r="N12" s="84"/>
      <c r="O12" s="84"/>
      <c r="P12" s="84"/>
      <c r="Q12" s="84"/>
      <c r="R12" s="84"/>
      <c r="S12" s="84"/>
      <c r="T12" s="84"/>
      <c r="U12" s="84"/>
      <c r="V12" s="84"/>
      <c r="W12" s="84"/>
      <c r="X12" s="84"/>
      <c r="Y12" s="84"/>
      <c r="Z12" s="84"/>
      <c r="AA12" s="84"/>
      <c r="AB12" s="84"/>
      <c r="AC12" s="84"/>
      <c r="AD12" s="84"/>
      <c r="AE12" s="84"/>
    </row>
    <row r="13" spans="1:31" ht="15.75">
      <c r="A13" s="61" t="s">
        <v>75</v>
      </c>
      <c r="B13" s="37"/>
      <c r="C13" s="37"/>
      <c r="D13" s="37"/>
      <c r="E13" s="253">
        <f>NPV(Inputs!$G$8,H13:AE13)*(1+Inputs!$G$8/2)</f>
        <v>10438845.91139189</v>
      </c>
      <c r="F13" s="250">
        <f>SUM(H13:AK13)</f>
        <v>27417589.615879826</v>
      </c>
      <c r="G13" s="67"/>
      <c r="H13" s="85">
        <f aca="true" t="shared" si="3" ref="H13:AE13">H9+H10+H11</f>
        <v>508317.3315229415</v>
      </c>
      <c r="I13" s="85">
        <f t="shared" si="3"/>
        <v>562870.4835418094</v>
      </c>
      <c r="J13" s="85">
        <f t="shared" si="3"/>
        <v>576641.9182839477</v>
      </c>
      <c r="K13" s="85">
        <f t="shared" si="3"/>
        <v>607280.035371998</v>
      </c>
      <c r="L13" s="85">
        <f t="shared" si="3"/>
        <v>665260.2173657088</v>
      </c>
      <c r="M13" s="85">
        <f t="shared" si="3"/>
        <v>736232.8299694824</v>
      </c>
      <c r="N13" s="85">
        <f t="shared" si="3"/>
        <v>791445.0429694824</v>
      </c>
      <c r="O13" s="85">
        <f t="shared" si="3"/>
        <v>865676.5848688534</v>
      </c>
      <c r="P13" s="85">
        <f t="shared" si="3"/>
        <v>920013.5829443252</v>
      </c>
      <c r="Q13" s="85">
        <f t="shared" si="3"/>
        <v>990923.1639065893</v>
      </c>
      <c r="R13" s="85">
        <f t="shared" si="3"/>
        <v>1073560.1426467907</v>
      </c>
      <c r="S13" s="85">
        <f t="shared" si="3"/>
        <v>1110859.7735876688</v>
      </c>
      <c r="T13" s="85">
        <f t="shared" si="3"/>
        <v>1134903.4068812642</v>
      </c>
      <c r="U13" s="85">
        <f t="shared" si="3"/>
        <v>1200386.5445496617</v>
      </c>
      <c r="V13" s="85">
        <f t="shared" si="3"/>
        <v>1260592.719104558</v>
      </c>
      <c r="W13" s="85">
        <f t="shared" si="3"/>
        <v>1338344.923153773</v>
      </c>
      <c r="X13" s="85">
        <f t="shared" si="3"/>
        <v>1421741.789554178</v>
      </c>
      <c r="Y13" s="85">
        <f t="shared" si="3"/>
        <v>1520008.7784494</v>
      </c>
      <c r="Z13" s="85">
        <f t="shared" si="3"/>
        <v>1614047.9594885875</v>
      </c>
      <c r="AA13" s="85">
        <f t="shared" si="3"/>
        <v>1643221.1225623842</v>
      </c>
      <c r="AB13" s="85">
        <f t="shared" si="3"/>
        <v>1672919.4025715094</v>
      </c>
      <c r="AC13" s="85">
        <f t="shared" si="3"/>
        <v>1703152.2516207988</v>
      </c>
      <c r="AD13" s="85">
        <f t="shared" si="3"/>
        <v>1733929.2919529753</v>
      </c>
      <c r="AE13" s="85">
        <f t="shared" si="3"/>
        <v>1765260.3190111313</v>
      </c>
    </row>
    <row r="14" ht="12.75">
      <c r="F14" s="251"/>
    </row>
    <row r="15" spans="5:9" ht="12.75">
      <c r="E15" s="119"/>
      <c r="H15" s="282"/>
      <c r="I15" s="282"/>
    </row>
    <row r="16" spans="1:14" ht="15.75">
      <c r="A16" s="61" t="s">
        <v>63</v>
      </c>
      <c r="B16" s="61"/>
      <c r="C16" s="62"/>
      <c r="D16" s="62"/>
      <c r="H16" s="889">
        <f>O7</f>
        <v>2007</v>
      </c>
      <c r="I16" s="889">
        <f aca="true" t="shared" si="4" ref="I16:N16">P7</f>
        <v>2008</v>
      </c>
      <c r="J16" s="889">
        <f t="shared" si="4"/>
        <v>2009</v>
      </c>
      <c r="K16" s="889">
        <f t="shared" si="4"/>
        <v>2010</v>
      </c>
      <c r="L16" s="889">
        <f t="shared" si="4"/>
        <v>2011</v>
      </c>
      <c r="M16" s="889">
        <f t="shared" si="4"/>
        <v>2012</v>
      </c>
      <c r="N16" s="889">
        <f t="shared" si="4"/>
        <v>2013</v>
      </c>
    </row>
    <row r="17" spans="1:14" ht="15.75">
      <c r="A17" s="61"/>
      <c r="B17" s="83" t="s">
        <v>866</v>
      </c>
      <c r="C17" s="83"/>
      <c r="D17" s="62"/>
      <c r="H17" s="890">
        <f aca="true" t="shared" si="5" ref="H17:N19">O9</f>
        <v>-6683.322389008235</v>
      </c>
      <c r="I17" s="890">
        <f t="shared" si="5"/>
        <v>-6683.322389008235</v>
      </c>
      <c r="J17" s="890">
        <f t="shared" si="5"/>
        <v>-6683.322389008235</v>
      </c>
      <c r="K17" s="890">
        <f t="shared" si="5"/>
        <v>-6683.322389008235</v>
      </c>
      <c r="L17" s="890">
        <f t="shared" si="5"/>
        <v>-6683.322389008235</v>
      </c>
      <c r="M17" s="890">
        <f t="shared" si="5"/>
        <v>-6683.322389008235</v>
      </c>
      <c r="N17" s="890">
        <f t="shared" si="5"/>
        <v>-6683.322389008235</v>
      </c>
    </row>
    <row r="18" spans="1:14" ht="15.75">
      <c r="A18" s="835"/>
      <c r="B18" s="139" t="s">
        <v>71</v>
      </c>
      <c r="C18" s="83"/>
      <c r="D18" s="62"/>
      <c r="E18" s="175"/>
      <c r="H18" s="890">
        <f t="shared" si="5"/>
        <v>6603.701257861636</v>
      </c>
      <c r="I18" s="890">
        <f t="shared" si="5"/>
        <v>7283.833333333334</v>
      </c>
      <c r="J18" s="890">
        <f t="shared" si="5"/>
        <v>7059.564295597484</v>
      </c>
      <c r="K18" s="890">
        <f t="shared" si="5"/>
        <v>7187.6760357987405</v>
      </c>
      <c r="L18" s="890">
        <f t="shared" si="5"/>
        <v>7323.403976677232</v>
      </c>
      <c r="M18" s="890">
        <f t="shared" si="5"/>
        <v>7552.186270272331</v>
      </c>
      <c r="N18" s="890">
        <f t="shared" si="5"/>
        <v>7682.641938669947</v>
      </c>
    </row>
    <row r="19" spans="1:14" ht="15.75">
      <c r="A19" s="58"/>
      <c r="B19" s="83" t="s">
        <v>789</v>
      </c>
      <c r="C19" s="139" t="s">
        <v>790</v>
      </c>
      <c r="D19" s="37"/>
      <c r="H19" s="890">
        <f t="shared" si="5"/>
        <v>865756.206</v>
      </c>
      <c r="I19" s="890">
        <f t="shared" si="5"/>
        <v>919413.072</v>
      </c>
      <c r="J19" s="890">
        <f t="shared" si="5"/>
        <v>990546.922</v>
      </c>
      <c r="K19" s="890">
        <f t="shared" si="5"/>
        <v>1073055.789</v>
      </c>
      <c r="L19" s="890">
        <f t="shared" si="5"/>
        <v>1110219.6919999998</v>
      </c>
      <c r="M19" s="890">
        <f t="shared" si="5"/>
        <v>1134034.543</v>
      </c>
      <c r="N19" s="890">
        <f t="shared" si="5"/>
        <v>1199387.2249999999</v>
      </c>
    </row>
    <row r="20" spans="1:14" ht="12.75">
      <c r="A20" s="58"/>
      <c r="B20" s="37"/>
      <c r="C20" s="57"/>
      <c r="D20" s="37"/>
      <c r="H20" s="890"/>
      <c r="I20" s="890"/>
      <c r="J20" s="890"/>
      <c r="K20" s="890"/>
      <c r="L20" s="890"/>
      <c r="M20" s="890"/>
      <c r="N20" s="890"/>
    </row>
    <row r="21" spans="1:14" ht="15.75">
      <c r="A21" s="61" t="s">
        <v>75</v>
      </c>
      <c r="B21" s="37"/>
      <c r="C21" s="37"/>
      <c r="D21" s="37"/>
      <c r="H21" s="891">
        <f aca="true" t="shared" si="6" ref="H21:N21">O13</f>
        <v>865676.5848688534</v>
      </c>
      <c r="I21" s="891">
        <f t="shared" si="6"/>
        <v>920013.5829443252</v>
      </c>
      <c r="J21" s="891">
        <f t="shared" si="6"/>
        <v>990923.1639065893</v>
      </c>
      <c r="K21" s="891">
        <f t="shared" si="6"/>
        <v>1073560.1426467907</v>
      </c>
      <c r="L21" s="891">
        <f t="shared" si="6"/>
        <v>1110859.7735876688</v>
      </c>
      <c r="M21" s="891">
        <f t="shared" si="6"/>
        <v>1134903.4068812642</v>
      </c>
      <c r="N21" s="891">
        <f t="shared" si="6"/>
        <v>1200386.5445496617</v>
      </c>
    </row>
    <row r="22" spans="8:14" ht="12.75">
      <c r="H22" s="312"/>
      <c r="I22" s="312"/>
      <c r="J22" s="312"/>
      <c r="K22" s="312"/>
      <c r="L22" s="312"/>
      <c r="M22" s="312"/>
      <c r="N22" s="312"/>
    </row>
    <row r="23" spans="8:14" ht="12.75">
      <c r="H23" s="312"/>
      <c r="I23" s="312"/>
      <c r="J23" s="312"/>
      <c r="K23" s="312"/>
      <c r="L23" s="312"/>
      <c r="M23" s="312"/>
      <c r="N23" s="312"/>
    </row>
    <row r="24" spans="1:14" ht="15.75">
      <c r="A24" s="61" t="s">
        <v>63</v>
      </c>
      <c r="B24" s="61"/>
      <c r="C24" s="62"/>
      <c r="D24" s="62"/>
      <c r="H24" s="889">
        <f>V7</f>
        <v>2014</v>
      </c>
      <c r="I24" s="889">
        <f aca="true" t="shared" si="7" ref="I24:N24">W7</f>
        <v>2015</v>
      </c>
      <c r="J24" s="889">
        <f t="shared" si="7"/>
        <v>2016</v>
      </c>
      <c r="K24" s="889">
        <f t="shared" si="7"/>
        <v>2017</v>
      </c>
      <c r="L24" s="889">
        <f t="shared" si="7"/>
        <v>2018</v>
      </c>
      <c r="M24" s="889">
        <f t="shared" si="7"/>
        <v>2019</v>
      </c>
      <c r="N24" s="889">
        <f t="shared" si="7"/>
        <v>2020</v>
      </c>
    </row>
    <row r="25" spans="1:14" ht="15.75">
      <c r="A25" s="61"/>
      <c r="B25" s="83" t="s">
        <v>866</v>
      </c>
      <c r="C25" s="83"/>
      <c r="D25" s="62"/>
      <c r="H25" s="890">
        <f aca="true" t="shared" si="8" ref="H25:N27">V9</f>
        <v>-6683.322389008235</v>
      </c>
      <c r="I25" s="890">
        <f t="shared" si="8"/>
        <v>-6683.322389008235</v>
      </c>
      <c r="J25" s="890">
        <f t="shared" si="8"/>
        <v>-6683.322389008235</v>
      </c>
      <c r="K25" s="890">
        <f t="shared" si="8"/>
        <v>-6683.322389008235</v>
      </c>
      <c r="L25" s="890">
        <f t="shared" si="8"/>
        <v>-6683.322389008235</v>
      </c>
      <c r="M25" s="890">
        <f t="shared" si="8"/>
        <v>-6683.322389008235</v>
      </c>
      <c r="N25" s="890">
        <f t="shared" si="8"/>
        <v>-6683.322389008235</v>
      </c>
    </row>
    <row r="26" spans="1:14" ht="15.75">
      <c r="A26" s="835"/>
      <c r="B26" s="139" t="s">
        <v>71</v>
      </c>
      <c r="C26" s="83"/>
      <c r="D26" s="62"/>
      <c r="H26" s="890">
        <f t="shared" si="8"/>
        <v>7820.929493566005</v>
      </c>
      <c r="I26" s="890">
        <f t="shared" si="8"/>
        <v>7632.099542781306</v>
      </c>
      <c r="J26" s="890">
        <f t="shared" si="8"/>
        <v>8070.305943186268</v>
      </c>
      <c r="K26" s="890">
        <f t="shared" si="8"/>
        <v>8262.68583840829</v>
      </c>
      <c r="L26" s="890">
        <f t="shared" si="8"/>
        <v>8405.418877595503</v>
      </c>
      <c r="M26" s="890">
        <f t="shared" si="8"/>
        <v>8556.716417392223</v>
      </c>
      <c r="N26" s="890">
        <f t="shared" si="8"/>
        <v>8710.737312905283</v>
      </c>
    </row>
    <row r="27" spans="1:14" ht="15.75">
      <c r="A27" s="58"/>
      <c r="B27" s="83" t="s">
        <v>789</v>
      </c>
      <c r="C27" s="139" t="s">
        <v>790</v>
      </c>
      <c r="D27" s="37"/>
      <c r="H27" s="890">
        <f t="shared" si="8"/>
        <v>1259455.1120000002</v>
      </c>
      <c r="I27" s="890">
        <f t="shared" si="8"/>
        <v>1337396.146</v>
      </c>
      <c r="J27" s="890">
        <f t="shared" si="8"/>
        <v>1420354.806</v>
      </c>
      <c r="K27" s="890">
        <f t="shared" si="8"/>
        <v>1518429.415</v>
      </c>
      <c r="L27" s="890">
        <f t="shared" si="8"/>
        <v>1612325.8630000001</v>
      </c>
      <c r="M27" s="890">
        <f t="shared" si="8"/>
        <v>1641347.7285340002</v>
      </c>
      <c r="N27" s="890">
        <f t="shared" si="8"/>
        <v>1670891.9876476123</v>
      </c>
    </row>
    <row r="28" spans="1:14" ht="12.75">
      <c r="A28" s="58"/>
      <c r="B28" s="37"/>
      <c r="C28" s="57"/>
      <c r="D28" s="37"/>
      <c r="H28" s="890"/>
      <c r="I28" s="890"/>
      <c r="J28" s="890"/>
      <c r="K28" s="890"/>
      <c r="L28" s="890"/>
      <c r="M28" s="890"/>
      <c r="N28" s="890"/>
    </row>
    <row r="29" spans="1:14" ht="15.75">
      <c r="A29" s="61" t="s">
        <v>75</v>
      </c>
      <c r="B29" s="37"/>
      <c r="C29" s="37"/>
      <c r="D29" s="37"/>
      <c r="H29" s="891">
        <f aca="true" t="shared" si="9" ref="H29:N29">V13</f>
        <v>1260592.719104558</v>
      </c>
      <c r="I29" s="891">
        <f t="shared" si="9"/>
        <v>1338344.923153773</v>
      </c>
      <c r="J29" s="891">
        <f t="shared" si="9"/>
        <v>1421741.789554178</v>
      </c>
      <c r="K29" s="891">
        <f t="shared" si="9"/>
        <v>1520008.7784494</v>
      </c>
      <c r="L29" s="891">
        <f t="shared" si="9"/>
        <v>1614047.9594885875</v>
      </c>
      <c r="M29" s="891">
        <f t="shared" si="9"/>
        <v>1643221.1225623842</v>
      </c>
      <c r="N29" s="891">
        <f t="shared" si="9"/>
        <v>1672919.4025715094</v>
      </c>
    </row>
    <row r="30" spans="8:14" ht="12.75">
      <c r="H30" s="312"/>
      <c r="I30" s="312"/>
      <c r="J30" s="312"/>
      <c r="K30" s="312"/>
      <c r="L30" s="312"/>
      <c r="M30" s="312"/>
      <c r="N30" s="312"/>
    </row>
    <row r="31" spans="8:14" ht="12.75">
      <c r="H31" s="312"/>
      <c r="I31" s="312"/>
      <c r="J31" s="312"/>
      <c r="K31" s="312"/>
      <c r="L31" s="312"/>
      <c r="M31" s="312"/>
      <c r="N31" s="312"/>
    </row>
    <row r="32" spans="1:14" ht="15.75">
      <c r="A32" s="61" t="s">
        <v>63</v>
      </c>
      <c r="B32" s="61"/>
      <c r="C32" s="62"/>
      <c r="D32" s="62"/>
      <c r="H32" s="889">
        <f>AC7</f>
        <v>2021</v>
      </c>
      <c r="I32" s="889">
        <f>AD7</f>
        <v>2022</v>
      </c>
      <c r="J32" s="889">
        <f>AE7</f>
        <v>2023</v>
      </c>
      <c r="K32" s="312"/>
      <c r="L32" s="312"/>
      <c r="M32" s="312"/>
      <c r="N32" s="312"/>
    </row>
    <row r="33" spans="1:14" ht="15.75">
      <c r="A33" s="61"/>
      <c r="B33" s="83" t="s">
        <v>866</v>
      </c>
      <c r="C33" s="83"/>
      <c r="D33" s="62"/>
      <c r="H33" s="890">
        <f aca="true" t="shared" si="10" ref="H33:J35">AC9</f>
        <v>-6683.322389008235</v>
      </c>
      <c r="I33" s="890">
        <f t="shared" si="10"/>
        <v>-6683.322389008235</v>
      </c>
      <c r="J33" s="890">
        <f t="shared" si="10"/>
        <v>-6683.322389008235</v>
      </c>
      <c r="K33" s="312"/>
      <c r="L33" s="312"/>
      <c r="M33" s="312"/>
      <c r="N33" s="312"/>
    </row>
    <row r="34" spans="1:14" ht="15.75">
      <c r="A34" s="835"/>
      <c r="B34" s="139" t="s">
        <v>71</v>
      </c>
      <c r="C34" s="83"/>
      <c r="D34" s="62"/>
      <c r="H34" s="890">
        <f t="shared" si="10"/>
        <v>8867.530584537577</v>
      </c>
      <c r="I34" s="890">
        <f t="shared" si="10"/>
        <v>9027.146135059254</v>
      </c>
      <c r="J34" s="890">
        <f t="shared" si="10"/>
        <v>9189.63476549032</v>
      </c>
      <c r="K34" s="312"/>
      <c r="L34" s="312"/>
      <c r="M34" s="312"/>
      <c r="N34" s="312"/>
    </row>
    <row r="35" spans="1:14" ht="15.75">
      <c r="A35" s="58"/>
      <c r="B35" s="83" t="s">
        <v>789</v>
      </c>
      <c r="C35" s="139" t="s">
        <v>790</v>
      </c>
      <c r="D35" s="37"/>
      <c r="H35" s="890">
        <f t="shared" si="10"/>
        <v>1700968.0434252694</v>
      </c>
      <c r="I35" s="890">
        <f t="shared" si="10"/>
        <v>1731585.4682069244</v>
      </c>
      <c r="J35" s="890">
        <f t="shared" si="10"/>
        <v>1762754.0066346491</v>
      </c>
      <c r="K35" s="312"/>
      <c r="L35" s="312"/>
      <c r="M35" s="312"/>
      <c r="N35" s="312"/>
    </row>
    <row r="36" spans="1:14" ht="12.75">
      <c r="A36" s="58"/>
      <c r="B36" s="37"/>
      <c r="C36" s="57"/>
      <c r="D36" s="37"/>
      <c r="H36" s="890"/>
      <c r="I36" s="890"/>
      <c r="J36" s="890"/>
      <c r="K36" s="312"/>
      <c r="L36" s="312"/>
      <c r="M36" s="312"/>
      <c r="N36" s="312"/>
    </row>
    <row r="37" spans="1:14" ht="15.75">
      <c r="A37" s="61" t="s">
        <v>75</v>
      </c>
      <c r="B37" s="37"/>
      <c r="C37" s="37"/>
      <c r="D37" s="37"/>
      <c r="H37" s="891">
        <f>AC13</f>
        <v>1703152.2516207988</v>
      </c>
      <c r="I37" s="891">
        <f>AD13</f>
        <v>1733929.2919529753</v>
      </c>
      <c r="J37" s="891">
        <f>AE13</f>
        <v>1765260.3190111313</v>
      </c>
      <c r="K37" s="312"/>
      <c r="L37" s="312"/>
      <c r="M37" s="312"/>
      <c r="N37" s="312"/>
    </row>
  </sheetData>
  <printOptions/>
  <pageMargins left="0.75" right="0.75" top="1" bottom="1" header="0.5" footer="0.5"/>
  <pageSetup horizontalDpi="600" verticalDpi="600" orientation="landscape" scale="75" r:id="rId1"/>
  <headerFooter alignWithMargins="0">
    <oddHeader>&amp;LFor dicussion purposes only&amp;RConfidential</oddHeader>
    <oddFooter>&amp;L&amp;D
&amp;T&amp;C&amp;P+13 of 24&amp;RCentralia Plant and mine Sale</oddFooter>
  </headerFooter>
</worksheet>
</file>

<file path=xl/worksheets/sheet20.xml><?xml version="1.0" encoding="utf-8"?>
<worksheet xmlns="http://schemas.openxmlformats.org/spreadsheetml/2006/main" xmlns:r="http://schemas.openxmlformats.org/officeDocument/2006/relationships">
  <dimension ref="A1:AD36"/>
  <sheetViews>
    <sheetView workbookViewId="0" topLeftCell="A1">
      <selection activeCell="A1" sqref="A1"/>
    </sheetView>
  </sheetViews>
  <sheetFormatPr defaultColWidth="9.140625" defaultRowHeight="12.75"/>
  <cols>
    <col min="2" max="2" width="6.57421875" style="0" customWidth="1"/>
    <col min="3" max="3" width="30.00390625" style="0" customWidth="1"/>
    <col min="4" max="4" width="11.28125" style="0" customWidth="1"/>
    <col min="5" max="5" width="12.421875" style="0" customWidth="1"/>
    <col min="7" max="7" width="12.8515625" style="0" bestFit="1" customWidth="1"/>
    <col min="9" max="9" width="12.8515625" style="0" bestFit="1" customWidth="1"/>
    <col min="15" max="15" width="9.28125" style="0" customWidth="1"/>
  </cols>
  <sheetData>
    <row r="1" spans="1:9" ht="27">
      <c r="A1" s="254" t="s">
        <v>292</v>
      </c>
      <c r="B1" s="122"/>
      <c r="I1" t="s">
        <v>293</v>
      </c>
    </row>
    <row r="2" spans="1:2" ht="27">
      <c r="A2" s="254" t="s">
        <v>294</v>
      </c>
      <c r="B2" s="122"/>
    </row>
    <row r="3" spans="1:6" ht="12.75">
      <c r="A3" s="8"/>
      <c r="B3" s="143" t="s">
        <v>295</v>
      </c>
      <c r="C3" s="255">
        <v>0.018</v>
      </c>
      <c r="D3" s="255"/>
      <c r="E3" s="255"/>
      <c r="F3" t="s">
        <v>296</v>
      </c>
    </row>
    <row r="4" spans="1:2" ht="12.75">
      <c r="A4" s="8"/>
      <c r="B4" s="122"/>
    </row>
    <row r="5" spans="1:5" ht="12.75">
      <c r="A5" s="8"/>
      <c r="B5" s="122" t="s">
        <v>297</v>
      </c>
      <c r="D5" s="122" t="s">
        <v>298</v>
      </c>
      <c r="E5" s="256">
        <v>36161</v>
      </c>
    </row>
    <row r="6" spans="1:30" ht="12.75">
      <c r="A6" s="8" t="s">
        <v>299</v>
      </c>
      <c r="B6" s="122"/>
      <c r="E6" s="257" t="s">
        <v>300</v>
      </c>
      <c r="F6" s="258">
        <v>1999</v>
      </c>
      <c r="G6" s="258">
        <f>+F6+1</f>
        <v>2000</v>
      </c>
      <c r="H6" s="258">
        <f aca="true" t="shared" si="0" ref="H6:AD6">+G6+1</f>
        <v>2001</v>
      </c>
      <c r="I6" s="258">
        <f t="shared" si="0"/>
        <v>2002</v>
      </c>
      <c r="J6" s="258">
        <f t="shared" si="0"/>
        <v>2003</v>
      </c>
      <c r="K6" s="258">
        <f t="shared" si="0"/>
        <v>2004</v>
      </c>
      <c r="L6" s="258">
        <f t="shared" si="0"/>
        <v>2005</v>
      </c>
      <c r="M6" s="258">
        <f t="shared" si="0"/>
        <v>2006</v>
      </c>
      <c r="N6" s="258">
        <f t="shared" si="0"/>
        <v>2007</v>
      </c>
      <c r="O6" s="258">
        <f t="shared" si="0"/>
        <v>2008</v>
      </c>
      <c r="P6" s="258">
        <f t="shared" si="0"/>
        <v>2009</v>
      </c>
      <c r="Q6" s="258">
        <f t="shared" si="0"/>
        <v>2010</v>
      </c>
      <c r="R6" s="258">
        <f t="shared" si="0"/>
        <v>2011</v>
      </c>
      <c r="S6" s="258">
        <f t="shared" si="0"/>
        <v>2012</v>
      </c>
      <c r="T6" s="258">
        <f t="shared" si="0"/>
        <v>2013</v>
      </c>
      <c r="U6" s="258">
        <f t="shared" si="0"/>
        <v>2014</v>
      </c>
      <c r="V6" s="258">
        <f t="shared" si="0"/>
        <v>2015</v>
      </c>
      <c r="W6" s="258">
        <f t="shared" si="0"/>
        <v>2016</v>
      </c>
      <c r="X6" s="258">
        <f t="shared" si="0"/>
        <v>2017</v>
      </c>
      <c r="Y6" s="258">
        <f t="shared" si="0"/>
        <v>2018</v>
      </c>
      <c r="Z6" s="258">
        <f t="shared" si="0"/>
        <v>2019</v>
      </c>
      <c r="AA6" s="258">
        <f t="shared" si="0"/>
        <v>2020</v>
      </c>
      <c r="AB6" s="258">
        <f t="shared" si="0"/>
        <v>2021</v>
      </c>
      <c r="AC6" s="258">
        <f t="shared" si="0"/>
        <v>2022</v>
      </c>
      <c r="AD6" s="258">
        <f t="shared" si="0"/>
        <v>2023</v>
      </c>
    </row>
    <row r="7" spans="1:30" ht="12.75">
      <c r="A7" s="8"/>
      <c r="B7" s="122">
        <v>2</v>
      </c>
      <c r="C7" t="s">
        <v>301</v>
      </c>
      <c r="D7" s="152">
        <f>E7/0.475</f>
        <v>114.73849850276783</v>
      </c>
      <c r="E7" s="259">
        <f>NPV(0.09,F7:AD7)*(1+0.09/2)</f>
        <v>54.500786788814715</v>
      </c>
      <c r="F7" s="259">
        <v>0</v>
      </c>
      <c r="G7" s="259">
        <f>E25/1000000</f>
        <v>3.8599</v>
      </c>
      <c r="H7" s="259">
        <f>G7</f>
        <v>3.8599</v>
      </c>
      <c r="I7" s="259">
        <f aca="true" t="shared" si="1" ref="I7:N7">H7</f>
        <v>3.8599</v>
      </c>
      <c r="J7" s="259">
        <f t="shared" si="1"/>
        <v>3.8599</v>
      </c>
      <c r="K7" s="259">
        <f t="shared" si="1"/>
        <v>3.8599</v>
      </c>
      <c r="L7" s="259">
        <f t="shared" si="1"/>
        <v>3.8599</v>
      </c>
      <c r="M7" s="259">
        <f t="shared" si="1"/>
        <v>3.8599</v>
      </c>
      <c r="N7" s="259">
        <f t="shared" si="1"/>
        <v>3.8599</v>
      </c>
      <c r="O7" s="259">
        <f>G25/1000000</f>
        <v>7.656</v>
      </c>
      <c r="P7" s="260">
        <f>O7*(1+$C$3)</f>
        <v>7.793807999999999</v>
      </c>
      <c r="Q7" s="260">
        <f aca="true" t="shared" si="2" ref="Q7:AD7">P7*(1+$C$3)</f>
        <v>7.934096543999999</v>
      </c>
      <c r="R7" s="260">
        <f t="shared" si="2"/>
        <v>8.076910281792</v>
      </c>
      <c r="S7" s="260">
        <f t="shared" si="2"/>
        <v>8.222294666864256</v>
      </c>
      <c r="T7" s="260">
        <f t="shared" si="2"/>
        <v>8.370295970867813</v>
      </c>
      <c r="U7" s="260">
        <f t="shared" si="2"/>
        <v>8.520961298343433</v>
      </c>
      <c r="V7" s="260">
        <f t="shared" si="2"/>
        <v>8.674338601713615</v>
      </c>
      <c r="W7" s="260">
        <f t="shared" si="2"/>
        <v>8.83047669654446</v>
      </c>
      <c r="X7" s="260">
        <f t="shared" si="2"/>
        <v>8.98942527708226</v>
      </c>
      <c r="Y7" s="260">
        <f t="shared" si="2"/>
        <v>9.151234932069741</v>
      </c>
      <c r="Z7" s="260">
        <f t="shared" si="2"/>
        <v>9.315957160846997</v>
      </c>
      <c r="AA7" s="260">
        <f t="shared" si="2"/>
        <v>9.483644389742244</v>
      </c>
      <c r="AB7" s="260">
        <f t="shared" si="2"/>
        <v>9.654349988757604</v>
      </c>
      <c r="AC7" s="260">
        <f t="shared" si="2"/>
        <v>9.828128288555241</v>
      </c>
      <c r="AD7" s="260">
        <f t="shared" si="2"/>
        <v>10.005034597749235</v>
      </c>
    </row>
    <row r="8" spans="1:30" ht="13.5" thickBot="1">
      <c r="A8" s="8"/>
      <c r="B8" s="122"/>
      <c r="C8" s="261" t="s">
        <v>302</v>
      </c>
      <c r="D8" s="152">
        <f>E8/0.475</f>
        <v>114.73849850276783</v>
      </c>
      <c r="E8" s="262">
        <f>NPV(0.09,F8:AD8)*(1+0.09/2)</f>
        <v>54.500786788814715</v>
      </c>
      <c r="F8" s="263">
        <f aca="true" t="shared" si="3" ref="F8:AD8">SUM(F7:F7)</f>
        <v>0</v>
      </c>
      <c r="G8" s="263">
        <f t="shared" si="3"/>
        <v>3.8599</v>
      </c>
      <c r="H8" s="263">
        <f t="shared" si="3"/>
        <v>3.8599</v>
      </c>
      <c r="I8" s="263">
        <f t="shared" si="3"/>
        <v>3.8599</v>
      </c>
      <c r="J8" s="263">
        <f t="shared" si="3"/>
        <v>3.8599</v>
      </c>
      <c r="K8" s="263">
        <f t="shared" si="3"/>
        <v>3.8599</v>
      </c>
      <c r="L8" s="263">
        <f t="shared" si="3"/>
        <v>3.8599</v>
      </c>
      <c r="M8" s="263">
        <f t="shared" si="3"/>
        <v>3.8599</v>
      </c>
      <c r="N8" s="263">
        <f t="shared" si="3"/>
        <v>3.8599</v>
      </c>
      <c r="O8" s="263">
        <f t="shared" si="3"/>
        <v>7.656</v>
      </c>
      <c r="P8" s="263">
        <f t="shared" si="3"/>
        <v>7.793807999999999</v>
      </c>
      <c r="Q8" s="263">
        <f t="shared" si="3"/>
        <v>7.934096543999999</v>
      </c>
      <c r="R8" s="263">
        <f t="shared" si="3"/>
        <v>8.076910281792</v>
      </c>
      <c r="S8" s="263">
        <f t="shared" si="3"/>
        <v>8.222294666864256</v>
      </c>
      <c r="T8" s="263">
        <f t="shared" si="3"/>
        <v>8.370295970867813</v>
      </c>
      <c r="U8" s="263">
        <f t="shared" si="3"/>
        <v>8.520961298343433</v>
      </c>
      <c r="V8" s="263">
        <f t="shared" si="3"/>
        <v>8.674338601713615</v>
      </c>
      <c r="W8" s="263">
        <f t="shared" si="3"/>
        <v>8.83047669654446</v>
      </c>
      <c r="X8" s="263">
        <f t="shared" si="3"/>
        <v>8.98942527708226</v>
      </c>
      <c r="Y8" s="263">
        <f t="shared" si="3"/>
        <v>9.151234932069741</v>
      </c>
      <c r="Z8" s="263">
        <f t="shared" si="3"/>
        <v>9.315957160846997</v>
      </c>
      <c r="AA8" s="263">
        <f t="shared" si="3"/>
        <v>9.483644389742244</v>
      </c>
      <c r="AB8" s="263">
        <f t="shared" si="3"/>
        <v>9.654349988757604</v>
      </c>
      <c r="AC8" s="263">
        <f t="shared" si="3"/>
        <v>9.828128288555241</v>
      </c>
      <c r="AD8" s="263">
        <f t="shared" si="3"/>
        <v>10.005034597749235</v>
      </c>
    </row>
    <row r="9" spans="1:30" ht="13.5" thickTop="1">
      <c r="A9" s="8"/>
      <c r="B9" s="122"/>
      <c r="C9" s="261"/>
      <c r="D9" s="261"/>
      <c r="E9" s="264"/>
      <c r="F9" s="264"/>
      <c r="G9" s="265"/>
      <c r="H9" s="265"/>
      <c r="I9" s="265"/>
      <c r="J9" s="265"/>
      <c r="K9" s="265"/>
      <c r="L9" s="265"/>
      <c r="M9" s="265"/>
      <c r="N9" s="265"/>
      <c r="O9" s="265"/>
      <c r="P9" s="265"/>
      <c r="Q9" s="265"/>
      <c r="R9" s="265"/>
      <c r="S9" s="265"/>
      <c r="T9" s="265"/>
      <c r="U9" s="265"/>
      <c r="V9" s="265"/>
      <c r="W9" s="265"/>
      <c r="X9" s="265"/>
      <c r="Y9" s="265"/>
      <c r="Z9" s="265"/>
      <c r="AA9" s="265"/>
      <c r="AB9" s="265"/>
      <c r="AC9" s="265"/>
      <c r="AD9" s="265"/>
    </row>
    <row r="10" spans="1:15" ht="12.75">
      <c r="A10" s="36"/>
      <c r="B10" s="122"/>
      <c r="E10" s="256">
        <v>36161</v>
      </c>
      <c r="F10" s="259"/>
      <c r="G10" s="259"/>
      <c r="H10" s="259"/>
      <c r="I10" s="259"/>
      <c r="J10" s="259"/>
      <c r="K10" s="259"/>
      <c r="L10" s="259"/>
      <c r="M10" s="259"/>
      <c r="N10" s="259"/>
      <c r="O10" s="259"/>
    </row>
    <row r="11" spans="1:30" ht="12.75">
      <c r="A11" s="36" t="s">
        <v>303</v>
      </c>
      <c r="B11" s="122" t="s">
        <v>297</v>
      </c>
      <c r="E11" s="257" t="s">
        <v>300</v>
      </c>
      <c r="F11" s="258">
        <v>1999</v>
      </c>
      <c r="G11" s="258">
        <f>+F11+1</f>
        <v>2000</v>
      </c>
      <c r="H11" s="258">
        <f aca="true" t="shared" si="4" ref="H11:AD11">+G11+1</f>
        <v>2001</v>
      </c>
      <c r="I11" s="258">
        <f t="shared" si="4"/>
        <v>2002</v>
      </c>
      <c r="J11" s="258">
        <f t="shared" si="4"/>
        <v>2003</v>
      </c>
      <c r="K11" s="258">
        <f t="shared" si="4"/>
        <v>2004</v>
      </c>
      <c r="L11" s="258">
        <f t="shared" si="4"/>
        <v>2005</v>
      </c>
      <c r="M11" s="258">
        <f t="shared" si="4"/>
        <v>2006</v>
      </c>
      <c r="N11" s="258">
        <f t="shared" si="4"/>
        <v>2007</v>
      </c>
      <c r="O11" s="258">
        <f t="shared" si="4"/>
        <v>2008</v>
      </c>
      <c r="P11" s="258">
        <f t="shared" si="4"/>
        <v>2009</v>
      </c>
      <c r="Q11" s="258">
        <f t="shared" si="4"/>
        <v>2010</v>
      </c>
      <c r="R11" s="258">
        <f t="shared" si="4"/>
        <v>2011</v>
      </c>
      <c r="S11" s="258">
        <f t="shared" si="4"/>
        <v>2012</v>
      </c>
      <c r="T11" s="258">
        <f t="shared" si="4"/>
        <v>2013</v>
      </c>
      <c r="U11" s="258">
        <f t="shared" si="4"/>
        <v>2014</v>
      </c>
      <c r="V11" s="258">
        <f t="shared" si="4"/>
        <v>2015</v>
      </c>
      <c r="W11" s="258">
        <f t="shared" si="4"/>
        <v>2016</v>
      </c>
      <c r="X11" s="258">
        <f t="shared" si="4"/>
        <v>2017</v>
      </c>
      <c r="Y11" s="258">
        <f t="shared" si="4"/>
        <v>2018</v>
      </c>
      <c r="Z11" s="258">
        <f t="shared" si="4"/>
        <v>2019</v>
      </c>
      <c r="AA11" s="258">
        <f t="shared" si="4"/>
        <v>2020</v>
      </c>
      <c r="AB11" s="258">
        <f t="shared" si="4"/>
        <v>2021</v>
      </c>
      <c r="AC11" s="258">
        <f t="shared" si="4"/>
        <v>2022</v>
      </c>
      <c r="AD11" s="258">
        <f t="shared" si="4"/>
        <v>2023</v>
      </c>
    </row>
    <row r="12" spans="1:30" ht="12.75">
      <c r="A12" s="8"/>
      <c r="B12" s="122">
        <v>2</v>
      </c>
      <c r="C12" t="s">
        <v>301</v>
      </c>
      <c r="D12" s="152">
        <f>E12/0.475</f>
        <v>157.14547010944725</v>
      </c>
      <c r="E12" s="259">
        <f>NPV(0.09,F12:AD12)*(1+0.09/2)</f>
        <v>74.64409830198744</v>
      </c>
      <c r="F12" s="259">
        <v>0</v>
      </c>
      <c r="G12" s="259">
        <f>G25/1000000</f>
        <v>7.656</v>
      </c>
      <c r="H12" s="259">
        <f>G12</f>
        <v>7.656</v>
      </c>
      <c r="I12" s="259">
        <f aca="true" t="shared" si="5" ref="I12:O12">H12</f>
        <v>7.656</v>
      </c>
      <c r="J12" s="259">
        <f t="shared" si="5"/>
        <v>7.656</v>
      </c>
      <c r="K12" s="259">
        <f t="shared" si="5"/>
        <v>7.656</v>
      </c>
      <c r="L12" s="259">
        <f t="shared" si="5"/>
        <v>7.656</v>
      </c>
      <c r="M12" s="259">
        <f t="shared" si="5"/>
        <v>7.656</v>
      </c>
      <c r="N12" s="259">
        <f t="shared" si="5"/>
        <v>7.656</v>
      </c>
      <c r="O12" s="259">
        <f t="shared" si="5"/>
        <v>7.656</v>
      </c>
      <c r="P12" s="260">
        <f>O12*(1+$C$3)</f>
        <v>7.793807999999999</v>
      </c>
      <c r="Q12" s="260">
        <f>P12*(1+$C$3)</f>
        <v>7.934096543999999</v>
      </c>
      <c r="R12" s="260">
        <f aca="true" t="shared" si="6" ref="R12:AD12">Q12*(1+$C$3)</f>
        <v>8.076910281792</v>
      </c>
      <c r="S12" s="260">
        <f t="shared" si="6"/>
        <v>8.222294666864256</v>
      </c>
      <c r="T12" s="260">
        <f t="shared" si="6"/>
        <v>8.370295970867813</v>
      </c>
      <c r="U12" s="260">
        <f t="shared" si="6"/>
        <v>8.520961298343433</v>
      </c>
      <c r="V12" s="260">
        <f t="shared" si="6"/>
        <v>8.674338601713615</v>
      </c>
      <c r="W12" s="260">
        <f t="shared" si="6"/>
        <v>8.83047669654446</v>
      </c>
      <c r="X12" s="260">
        <f t="shared" si="6"/>
        <v>8.98942527708226</v>
      </c>
      <c r="Y12" s="260">
        <f t="shared" si="6"/>
        <v>9.151234932069741</v>
      </c>
      <c r="Z12" s="260">
        <f t="shared" si="6"/>
        <v>9.315957160846997</v>
      </c>
      <c r="AA12" s="260">
        <f t="shared" si="6"/>
        <v>9.483644389742244</v>
      </c>
      <c r="AB12" s="260">
        <f t="shared" si="6"/>
        <v>9.654349988757604</v>
      </c>
      <c r="AC12" s="260">
        <f t="shared" si="6"/>
        <v>9.828128288555241</v>
      </c>
      <c r="AD12" s="260">
        <f t="shared" si="6"/>
        <v>10.005034597749235</v>
      </c>
    </row>
    <row r="13" spans="1:30" ht="13.5" thickBot="1">
      <c r="A13" s="8"/>
      <c r="B13" s="122"/>
      <c r="C13" s="261" t="s">
        <v>304</v>
      </c>
      <c r="D13" s="152">
        <f>E13/0.475</f>
        <v>157.14547010944725</v>
      </c>
      <c r="E13" s="262">
        <f>NPV(0.09,F13:AD13)*(1+0.09/2)</f>
        <v>74.64409830198744</v>
      </c>
      <c r="F13" s="263">
        <f aca="true" t="shared" si="7" ref="F13:AD13">SUM(F12:F12)</f>
        <v>0</v>
      </c>
      <c r="G13" s="263">
        <f t="shared" si="7"/>
        <v>7.656</v>
      </c>
      <c r="H13" s="263">
        <f t="shared" si="7"/>
        <v>7.656</v>
      </c>
      <c r="I13" s="263">
        <f t="shared" si="7"/>
        <v>7.656</v>
      </c>
      <c r="J13" s="263">
        <f t="shared" si="7"/>
        <v>7.656</v>
      </c>
      <c r="K13" s="263">
        <f t="shared" si="7"/>
        <v>7.656</v>
      </c>
      <c r="L13" s="263">
        <f t="shared" si="7"/>
        <v>7.656</v>
      </c>
      <c r="M13" s="263">
        <f t="shared" si="7"/>
        <v>7.656</v>
      </c>
      <c r="N13" s="263">
        <f t="shared" si="7"/>
        <v>7.656</v>
      </c>
      <c r="O13" s="263">
        <f t="shared" si="7"/>
        <v>7.656</v>
      </c>
      <c r="P13" s="263">
        <f t="shared" si="7"/>
        <v>7.793807999999999</v>
      </c>
      <c r="Q13" s="263">
        <f t="shared" si="7"/>
        <v>7.934096543999999</v>
      </c>
      <c r="R13" s="263">
        <f t="shared" si="7"/>
        <v>8.076910281792</v>
      </c>
      <c r="S13" s="263">
        <f t="shared" si="7"/>
        <v>8.222294666864256</v>
      </c>
      <c r="T13" s="263">
        <f t="shared" si="7"/>
        <v>8.370295970867813</v>
      </c>
      <c r="U13" s="263">
        <f t="shared" si="7"/>
        <v>8.520961298343433</v>
      </c>
      <c r="V13" s="263">
        <f t="shared" si="7"/>
        <v>8.674338601713615</v>
      </c>
      <c r="W13" s="263">
        <f t="shared" si="7"/>
        <v>8.83047669654446</v>
      </c>
      <c r="X13" s="263">
        <f t="shared" si="7"/>
        <v>8.98942527708226</v>
      </c>
      <c r="Y13" s="263">
        <f t="shared" si="7"/>
        <v>9.151234932069741</v>
      </c>
      <c r="Z13" s="263">
        <f t="shared" si="7"/>
        <v>9.315957160846997</v>
      </c>
      <c r="AA13" s="263">
        <f t="shared" si="7"/>
        <v>9.483644389742244</v>
      </c>
      <c r="AB13" s="263">
        <f t="shared" si="7"/>
        <v>9.654349988757604</v>
      </c>
      <c r="AC13" s="263">
        <f t="shared" si="7"/>
        <v>9.828128288555241</v>
      </c>
      <c r="AD13" s="263">
        <f t="shared" si="7"/>
        <v>10.005034597749235</v>
      </c>
    </row>
    <row r="14" ht="13.5" thickTop="1"/>
    <row r="15" ht="12.75">
      <c r="G15" s="175"/>
    </row>
    <row r="16" ht="13.5" thickBot="1"/>
    <row r="17" spans="3:11" ht="51">
      <c r="C17" s="723"/>
      <c r="D17" s="724"/>
      <c r="E17" s="724" t="s">
        <v>728</v>
      </c>
      <c r="F17" s="724"/>
      <c r="G17" s="724" t="s">
        <v>729</v>
      </c>
      <c r="H17" s="724"/>
      <c r="I17" s="724" t="s">
        <v>730</v>
      </c>
      <c r="J17" s="724"/>
      <c r="K17" s="725"/>
    </row>
    <row r="18" spans="3:11" ht="12.75">
      <c r="C18" s="726"/>
      <c r="D18" s="321"/>
      <c r="E18" s="321"/>
      <c r="F18" s="321"/>
      <c r="G18" s="321"/>
      <c r="H18" s="321"/>
      <c r="I18" s="321"/>
      <c r="J18" s="321"/>
      <c r="K18" s="727"/>
    </row>
    <row r="19" spans="3:11" ht="12.75">
      <c r="C19" s="726" t="s">
        <v>731</v>
      </c>
      <c r="D19" s="321"/>
      <c r="E19" s="711">
        <v>638000</v>
      </c>
      <c r="F19" s="711"/>
      <c r="G19" s="711">
        <v>638000</v>
      </c>
      <c r="H19" s="711"/>
      <c r="I19" s="711"/>
      <c r="J19" s="321"/>
      <c r="K19" s="727"/>
    </row>
    <row r="20" spans="3:11" ht="12.75">
      <c r="C20" s="726"/>
      <c r="D20" s="321"/>
      <c r="E20" s="711"/>
      <c r="F20" s="711"/>
      <c r="G20" s="711"/>
      <c r="H20" s="711"/>
      <c r="I20" s="711"/>
      <c r="J20" s="321"/>
      <c r="K20" s="727"/>
    </row>
    <row r="21" spans="3:11" ht="12.75">
      <c r="C21" s="728" t="s">
        <v>732</v>
      </c>
      <c r="D21" s="321"/>
      <c r="E21" s="711"/>
      <c r="F21" s="711"/>
      <c r="G21" s="711">
        <v>1</v>
      </c>
      <c r="H21" s="711"/>
      <c r="I21" s="711"/>
      <c r="J21" s="321"/>
      <c r="K21" s="727"/>
    </row>
    <row r="22" spans="3:11" ht="12.75">
      <c r="C22" s="728" t="s">
        <v>733</v>
      </c>
      <c r="D22" s="321"/>
      <c r="E22" s="711"/>
      <c r="F22" s="711"/>
      <c r="G22" s="711">
        <v>12</v>
      </c>
      <c r="H22" s="711"/>
      <c r="I22" s="711"/>
      <c r="J22" s="321"/>
      <c r="K22" s="727"/>
    </row>
    <row r="23" spans="3:11" ht="12.75">
      <c r="C23" s="726" t="s">
        <v>734</v>
      </c>
      <c r="D23" s="321"/>
      <c r="E23" s="711">
        <v>6.05</v>
      </c>
      <c r="F23" s="711"/>
      <c r="G23" s="711">
        <f>+G22*G21</f>
        <v>12</v>
      </c>
      <c r="H23" s="711"/>
      <c r="I23" s="711"/>
      <c r="J23" s="321"/>
      <c r="K23" s="727"/>
    </row>
    <row r="24" spans="3:11" ht="12.75">
      <c r="C24" s="726"/>
      <c r="D24" s="321"/>
      <c r="E24" s="711"/>
      <c r="F24" s="711"/>
      <c r="G24" s="711"/>
      <c r="H24" s="711"/>
      <c r="I24" s="711"/>
      <c r="J24" s="321"/>
      <c r="K24" s="727"/>
    </row>
    <row r="25" spans="3:11" ht="12.75">
      <c r="C25" s="726" t="s">
        <v>735</v>
      </c>
      <c r="D25" s="321"/>
      <c r="E25" s="711">
        <f>+E23*E19</f>
        <v>3859900</v>
      </c>
      <c r="F25" s="711"/>
      <c r="G25" s="711">
        <f>+G23*G19</f>
        <v>7656000</v>
      </c>
      <c r="H25" s="711"/>
      <c r="I25" s="711">
        <f>+G25-E25</f>
        <v>3796100</v>
      </c>
      <c r="J25" s="321"/>
      <c r="K25" s="727"/>
    </row>
    <row r="26" spans="3:11" ht="12.75">
      <c r="C26" s="726"/>
      <c r="D26" s="321"/>
      <c r="E26" s="321"/>
      <c r="F26" s="321"/>
      <c r="G26" s="321"/>
      <c r="H26" s="321"/>
      <c r="I26" s="321"/>
      <c r="J26" s="321"/>
      <c r="K26" s="727"/>
    </row>
    <row r="27" spans="3:11" ht="12.75">
      <c r="C27" s="726"/>
      <c r="D27" s="321"/>
      <c r="E27" s="321"/>
      <c r="F27" s="321"/>
      <c r="G27" s="321"/>
      <c r="H27" s="321"/>
      <c r="I27" s="321"/>
      <c r="J27" s="321"/>
      <c r="K27" s="727"/>
    </row>
    <row r="28" spans="3:11" ht="12" customHeight="1">
      <c r="C28" s="726"/>
      <c r="D28" s="321"/>
      <c r="E28" s="321"/>
      <c r="F28" s="321"/>
      <c r="G28" s="321"/>
      <c r="H28" s="321"/>
      <c r="I28" s="321"/>
      <c r="J28" s="321"/>
      <c r="K28" s="727"/>
    </row>
    <row r="29" spans="3:11" ht="12.75">
      <c r="C29" s="726"/>
      <c r="D29" s="321"/>
      <c r="E29" s="321"/>
      <c r="F29" s="321"/>
      <c r="G29" s="321"/>
      <c r="H29" s="321"/>
      <c r="I29" s="321"/>
      <c r="J29" s="321"/>
      <c r="K29" s="727"/>
    </row>
    <row r="30" spans="3:11" ht="12.75">
      <c r="C30" s="726"/>
      <c r="D30" s="321"/>
      <c r="E30" s="321"/>
      <c r="F30" s="321"/>
      <c r="G30" s="321"/>
      <c r="H30" s="321"/>
      <c r="I30" s="321"/>
      <c r="J30" s="321"/>
      <c r="K30" s="727"/>
    </row>
    <row r="31" spans="3:11" ht="12.75">
      <c r="C31" s="726"/>
      <c r="D31" s="321"/>
      <c r="E31" s="321"/>
      <c r="F31" s="321"/>
      <c r="G31" s="321"/>
      <c r="H31" s="321"/>
      <c r="I31" s="321"/>
      <c r="J31" s="321"/>
      <c r="K31" s="727"/>
    </row>
    <row r="32" spans="3:11" ht="12.75">
      <c r="C32" s="726"/>
      <c r="D32" s="321"/>
      <c r="E32" s="321"/>
      <c r="F32" s="321"/>
      <c r="G32" s="321"/>
      <c r="H32" s="321"/>
      <c r="I32" s="321"/>
      <c r="J32" s="321"/>
      <c r="K32" s="727"/>
    </row>
    <row r="33" spans="3:11" ht="12.75">
      <c r="C33" s="726"/>
      <c r="D33" s="321"/>
      <c r="E33" s="321"/>
      <c r="F33" s="321"/>
      <c r="G33" s="321"/>
      <c r="H33" s="321"/>
      <c r="I33" s="321"/>
      <c r="J33" s="321"/>
      <c r="K33" s="727"/>
    </row>
    <row r="34" spans="3:11" ht="12.75">
      <c r="C34" s="726"/>
      <c r="D34" s="321"/>
      <c r="E34" s="321"/>
      <c r="F34" s="321"/>
      <c r="G34" s="321"/>
      <c r="H34" s="321"/>
      <c r="I34" s="321"/>
      <c r="J34" s="321"/>
      <c r="K34" s="727"/>
    </row>
    <row r="35" spans="3:11" ht="12.75">
      <c r="C35" s="726" t="s">
        <v>736</v>
      </c>
      <c r="D35" s="321"/>
      <c r="E35" s="321"/>
      <c r="F35" s="321"/>
      <c r="G35" s="321"/>
      <c r="H35" s="321"/>
      <c r="I35" s="321"/>
      <c r="J35" s="321"/>
      <c r="K35" s="727"/>
    </row>
    <row r="36" spans="3:11" ht="13.5" thickBot="1">
      <c r="C36" s="729" t="s">
        <v>737</v>
      </c>
      <c r="D36" s="559"/>
      <c r="E36" s="559"/>
      <c r="F36" s="559"/>
      <c r="G36" s="559"/>
      <c r="H36" s="559"/>
      <c r="I36" s="559"/>
      <c r="J36" s="559"/>
      <c r="K36" s="730"/>
    </row>
  </sheetData>
  <printOptions/>
  <pageMargins left="0.75" right="0.75" top="1" bottom="1" header="0.5" footer="0.5"/>
  <pageSetup horizontalDpi="600" verticalDpi="600" orientation="landscape" scale="70" r:id="rId1"/>
  <headerFooter alignWithMargins="0">
    <oddHeader>&amp;C&amp;A</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S17"/>
  <sheetViews>
    <sheetView workbookViewId="0" topLeftCell="A1">
      <selection activeCell="A1" sqref="A1"/>
    </sheetView>
  </sheetViews>
  <sheetFormatPr defaultColWidth="9.140625" defaultRowHeight="12.75"/>
  <cols>
    <col min="2" max="2" width="6.7109375" style="0" customWidth="1"/>
    <col min="3" max="3" width="6.140625" style="0" customWidth="1"/>
    <col min="5" max="5" width="12.8515625" style="0" bestFit="1" customWidth="1"/>
    <col min="7" max="8" width="12.8515625" style="0" bestFit="1" customWidth="1"/>
    <col min="9" max="9" width="11.28125" style="0" bestFit="1" customWidth="1"/>
    <col min="10" max="19" width="10.8515625" style="0" bestFit="1" customWidth="1"/>
  </cols>
  <sheetData>
    <row r="1" spans="1:4" ht="12.75">
      <c r="A1" s="176" t="s">
        <v>165</v>
      </c>
      <c r="B1" s="177" t="s">
        <v>166</v>
      </c>
      <c r="C1" s="176" t="s">
        <v>167</v>
      </c>
      <c r="D1" s="177">
        <v>1998</v>
      </c>
    </row>
    <row r="3" spans="4:8" ht="12.75">
      <c r="D3" s="8" t="s">
        <v>168</v>
      </c>
      <c r="E3" s="171" t="s">
        <v>170</v>
      </c>
      <c r="F3" s="171"/>
      <c r="G3" s="171" t="s">
        <v>171</v>
      </c>
      <c r="H3" s="171" t="s">
        <v>173</v>
      </c>
    </row>
    <row r="4" spans="4:8" ht="12.75">
      <c r="D4" s="8" t="s">
        <v>169</v>
      </c>
      <c r="E4" s="8"/>
      <c r="F4" s="8"/>
      <c r="G4" s="8">
        <v>0.475</v>
      </c>
      <c r="H4" s="8">
        <v>0.525</v>
      </c>
    </row>
    <row r="5" spans="4:8" ht="12.75">
      <c r="D5" s="8"/>
      <c r="E5" s="8"/>
      <c r="F5" s="8"/>
      <c r="G5" s="8"/>
      <c r="H5" s="8"/>
    </row>
    <row r="6" spans="4:8" ht="12.75">
      <c r="D6">
        <v>1</v>
      </c>
      <c r="E6" s="53">
        <v>8892484.51</v>
      </c>
      <c r="F6" s="170" t="s">
        <v>171</v>
      </c>
      <c r="G6" s="53">
        <v>8892484.51</v>
      </c>
      <c r="H6" s="53"/>
    </row>
    <row r="7" spans="4:8" ht="12.75">
      <c r="D7">
        <v>2</v>
      </c>
      <c r="E7" s="53">
        <v>1262300</v>
      </c>
      <c r="F7" s="170" t="s">
        <v>172</v>
      </c>
      <c r="G7" s="172">
        <f>E7*G4</f>
        <v>599592.5</v>
      </c>
      <c r="H7" s="53">
        <f>E7*H4</f>
        <v>662707.5</v>
      </c>
    </row>
    <row r="8" spans="4:8" ht="15">
      <c r="D8">
        <v>29</v>
      </c>
      <c r="E8" s="53">
        <v>3592926.69</v>
      </c>
      <c r="F8" s="170" t="s">
        <v>172</v>
      </c>
      <c r="G8" s="173">
        <f>E8*G4</f>
        <v>1706640.1777499998</v>
      </c>
      <c r="H8" s="174">
        <f>E8*H4</f>
        <v>1886286.5122500001</v>
      </c>
    </row>
    <row r="9" spans="6:8" ht="12.75">
      <c r="F9" s="236">
        <v>36160</v>
      </c>
      <c r="G9" s="175">
        <f>SUM(G6:G8)</f>
        <v>11198717.18775</v>
      </c>
      <c r="H9" s="175">
        <f>SUM(H6:H8)</f>
        <v>2548994.01225</v>
      </c>
    </row>
    <row r="11" spans="6:7" ht="12.75">
      <c r="F11" s="236">
        <v>36525</v>
      </c>
      <c r="G11" s="175">
        <f>CMCDefProj99!G18</f>
        <v>9839522.230467973</v>
      </c>
    </row>
    <row r="12" ht="12.75">
      <c r="G12" s="175">
        <f>G11-G9</f>
        <v>-1359194.9572820272</v>
      </c>
    </row>
    <row r="14" spans="8:17" ht="12.75">
      <c r="H14">
        <v>1998</v>
      </c>
      <c r="I14">
        <f>H14+1</f>
        <v>1999</v>
      </c>
      <c r="J14">
        <f>I14+1</f>
        <v>2000</v>
      </c>
      <c r="K14">
        <f aca="true" t="shared" si="0" ref="K14:Q14">J14+1</f>
        <v>2001</v>
      </c>
      <c r="L14">
        <f t="shared" si="0"/>
        <v>2002</v>
      </c>
      <c r="M14">
        <f t="shared" si="0"/>
        <v>2003</v>
      </c>
      <c r="N14">
        <f t="shared" si="0"/>
        <v>2004</v>
      </c>
      <c r="O14">
        <f t="shared" si="0"/>
        <v>2005</v>
      </c>
      <c r="P14">
        <f t="shared" si="0"/>
        <v>2006</v>
      </c>
      <c r="Q14">
        <f t="shared" si="0"/>
        <v>2007</v>
      </c>
    </row>
    <row r="15" spans="8:19" ht="12.75">
      <c r="H15" s="175"/>
      <c r="I15" s="175">
        <f>H17</f>
        <v>11198717.18775</v>
      </c>
      <c r="J15" s="175">
        <f>I17</f>
        <v>9839522.230467973</v>
      </c>
      <c r="K15" s="175">
        <f aca="true" t="shared" si="1" ref="K15:Q15">J17</f>
        <v>8480327.273185946</v>
      </c>
      <c r="L15" s="175">
        <f t="shared" si="1"/>
        <v>7121132.315903919</v>
      </c>
      <c r="M15" s="175">
        <f t="shared" si="1"/>
        <v>5761937.358621892</v>
      </c>
      <c r="N15" s="175">
        <f t="shared" si="1"/>
        <v>4402742.401339864</v>
      </c>
      <c r="O15" s="175">
        <f t="shared" si="1"/>
        <v>3043547.444057837</v>
      </c>
      <c r="P15" s="175">
        <f t="shared" si="1"/>
        <v>1684352.48677581</v>
      </c>
      <c r="Q15" s="175">
        <f t="shared" si="1"/>
        <v>325157.52949378267</v>
      </c>
      <c r="R15" s="175"/>
      <c r="S15" s="175"/>
    </row>
    <row r="16" spans="8:19" ht="15">
      <c r="H16" s="175"/>
      <c r="I16" s="237">
        <f>G12</f>
        <v>-1359194.9572820272</v>
      </c>
      <c r="J16" s="175">
        <f>I16</f>
        <v>-1359194.9572820272</v>
      </c>
      <c r="K16" s="175">
        <f aca="true" t="shared" si="2" ref="K16:P16">J16</f>
        <v>-1359194.9572820272</v>
      </c>
      <c r="L16" s="175">
        <f t="shared" si="2"/>
        <v>-1359194.9572820272</v>
      </c>
      <c r="M16" s="175">
        <f t="shared" si="2"/>
        <v>-1359194.9572820272</v>
      </c>
      <c r="N16" s="175">
        <f t="shared" si="2"/>
        <v>-1359194.9572820272</v>
      </c>
      <c r="O16" s="175">
        <f t="shared" si="2"/>
        <v>-1359194.9572820272</v>
      </c>
      <c r="P16" s="175">
        <f t="shared" si="2"/>
        <v>-1359194.9572820272</v>
      </c>
      <c r="Q16" s="175">
        <f>-Q15</f>
        <v>-325157.52949378267</v>
      </c>
      <c r="R16" s="175"/>
      <c r="S16" s="175"/>
    </row>
    <row r="17" spans="8:19" ht="12.75">
      <c r="H17" s="175">
        <f>G9</f>
        <v>11198717.18775</v>
      </c>
      <c r="I17" s="175">
        <f>I15+I16</f>
        <v>9839522.230467973</v>
      </c>
      <c r="J17" s="175">
        <f>J15+J16</f>
        <v>8480327.273185946</v>
      </c>
      <c r="K17" s="175">
        <f aca="true" t="shared" si="3" ref="K17:Q17">K15+K16</f>
        <v>7121132.315903919</v>
      </c>
      <c r="L17" s="175">
        <f t="shared" si="3"/>
        <v>5761937.358621892</v>
      </c>
      <c r="M17" s="175">
        <f t="shared" si="3"/>
        <v>4402742.401339864</v>
      </c>
      <c r="N17" s="175">
        <f t="shared" si="3"/>
        <v>3043547.444057837</v>
      </c>
      <c r="O17" s="175">
        <f t="shared" si="3"/>
        <v>1684352.48677581</v>
      </c>
      <c r="P17" s="175">
        <f t="shared" si="3"/>
        <v>325157.52949378267</v>
      </c>
      <c r="Q17" s="175">
        <f t="shared" si="3"/>
        <v>0</v>
      </c>
      <c r="R17" s="175"/>
      <c r="S17" s="175"/>
    </row>
  </sheetData>
  <printOptions/>
  <pageMargins left="0.75" right="0.75" top="1" bottom="1" header="0.5" footer="0.5"/>
  <pageSetup fitToHeight="1" fitToWidth="1" horizontalDpi="600" verticalDpi="600" orientation="landscape" scale="62" r:id="rId1"/>
  <headerFooter alignWithMargins="0">
    <oddHeader>&amp;C&amp;A</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G32"/>
  <sheetViews>
    <sheetView workbookViewId="0" topLeftCell="A1">
      <selection activeCell="A1" sqref="A1"/>
    </sheetView>
  </sheetViews>
  <sheetFormatPr defaultColWidth="9.140625" defaultRowHeight="12.75"/>
  <cols>
    <col min="1" max="1" width="5.7109375" style="0" customWidth="1"/>
    <col min="2" max="2" width="24.7109375" style="0" customWidth="1"/>
    <col min="3" max="3" width="10.28125" style="0" bestFit="1" customWidth="1"/>
    <col min="4" max="4" width="11.00390625" style="0" bestFit="1" customWidth="1"/>
    <col min="5" max="5" width="11.57421875" style="0" bestFit="1" customWidth="1"/>
    <col min="6" max="6" width="11.421875" style="0" bestFit="1" customWidth="1"/>
    <col min="7" max="7" width="11.7109375" style="0" bestFit="1" customWidth="1"/>
    <col min="8" max="8" width="5.7109375" style="0" customWidth="1"/>
  </cols>
  <sheetData>
    <row r="1" spans="1:7" ht="12.75">
      <c r="A1" s="199" t="s">
        <v>227</v>
      </c>
      <c r="B1" s="199"/>
      <c r="C1" s="199"/>
      <c r="D1" s="199"/>
      <c r="E1" s="199"/>
      <c r="F1" s="199"/>
      <c r="G1" s="199"/>
    </row>
    <row r="2" spans="1:7" ht="12.75">
      <c r="A2" s="199" t="s">
        <v>228</v>
      </c>
      <c r="B2" s="199"/>
      <c r="C2" s="199"/>
      <c r="D2" s="199"/>
      <c r="E2" s="199"/>
      <c r="F2" s="199"/>
      <c r="G2" s="199"/>
    </row>
    <row r="3" spans="1:7" ht="12.75">
      <c r="A3" s="199" t="s">
        <v>229</v>
      </c>
      <c r="B3" s="199"/>
      <c r="C3" s="199"/>
      <c r="D3" s="199"/>
      <c r="E3" s="199"/>
      <c r="F3" s="199"/>
      <c r="G3" s="199"/>
    </row>
    <row r="7" spans="4:7" ht="12.75">
      <c r="D7" s="200" t="s">
        <v>195</v>
      </c>
      <c r="E7" s="200" t="s">
        <v>195</v>
      </c>
      <c r="F7" s="201" t="s">
        <v>230</v>
      </c>
      <c r="G7" s="200"/>
    </row>
    <row r="8" spans="4:7" ht="12.75">
      <c r="D8" s="202" t="s">
        <v>231</v>
      </c>
      <c r="E8" s="202" t="s">
        <v>232</v>
      </c>
      <c r="F8" s="202" t="s">
        <v>231</v>
      </c>
      <c r="G8" s="202" t="s">
        <v>3</v>
      </c>
    </row>
    <row r="9" spans="1:7" ht="12.75">
      <c r="A9" s="203" t="s">
        <v>868</v>
      </c>
      <c r="B9" s="203"/>
      <c r="D9" s="204">
        <v>8428807</v>
      </c>
      <c r="E9" s="204">
        <v>513900</v>
      </c>
      <c r="F9" s="204">
        <v>3309666</v>
      </c>
      <c r="G9" s="204">
        <f>+D9+E9+F9</f>
        <v>12252373</v>
      </c>
    </row>
    <row r="10" spans="4:7" ht="12.75">
      <c r="D10" s="119"/>
      <c r="E10" s="119"/>
      <c r="F10" s="119"/>
      <c r="G10" s="119"/>
    </row>
    <row r="11" spans="4:7" ht="12.75">
      <c r="D11" s="119"/>
      <c r="E11" s="119"/>
      <c r="F11" s="119"/>
      <c r="G11" s="119"/>
    </row>
    <row r="12" spans="1:7" ht="12.75">
      <c r="A12" s="203" t="s">
        <v>233</v>
      </c>
      <c r="B12" s="203"/>
      <c r="D12" s="205">
        <v>8428807</v>
      </c>
      <c r="E12" s="205">
        <v>244102.5</v>
      </c>
      <c r="F12" s="205">
        <v>1572091.35</v>
      </c>
      <c r="G12" s="205">
        <v>10245000.85</v>
      </c>
    </row>
    <row r="13" spans="2:7" ht="12.75">
      <c r="B13" s="203" t="s">
        <v>234</v>
      </c>
      <c r="C13" s="203"/>
      <c r="D13" s="119"/>
      <c r="E13" s="119"/>
      <c r="F13" s="119"/>
      <c r="G13" s="119"/>
    </row>
    <row r="14" spans="1:7" ht="12.75">
      <c r="A14" s="143" t="s">
        <v>235</v>
      </c>
      <c r="B14" s="203" t="s">
        <v>236</v>
      </c>
      <c r="C14" s="206">
        <f>1905731-723824</f>
        <v>1181907</v>
      </c>
      <c r="D14" s="119">
        <v>-490613.8848</v>
      </c>
      <c r="E14" s="119"/>
      <c r="F14" s="119"/>
      <c r="G14" s="205">
        <v>-490613.8848</v>
      </c>
    </row>
    <row r="15" spans="1:7" ht="12.75">
      <c r="A15" s="143" t="s">
        <v>235</v>
      </c>
      <c r="B15" s="203" t="s">
        <v>237</v>
      </c>
      <c r="C15" s="207">
        <f>1729000*0.46555</f>
        <v>804935.9500000001</v>
      </c>
      <c r="D15" s="119"/>
      <c r="E15" s="119"/>
      <c r="F15" s="119">
        <v>-133887.2347320273</v>
      </c>
      <c r="G15" s="205">
        <v>-133887.2347320273</v>
      </c>
    </row>
    <row r="16" spans="2:7" ht="12.75">
      <c r="B16" t="s">
        <v>238</v>
      </c>
      <c r="C16" s="207"/>
      <c r="D16" s="119"/>
      <c r="E16" s="119">
        <v>219022.5</v>
      </c>
      <c r="F16" s="119"/>
      <c r="G16" s="205">
        <v>219022.5</v>
      </c>
    </row>
    <row r="17" spans="3:7" ht="12.75">
      <c r="C17" s="207"/>
      <c r="D17" s="119"/>
      <c r="E17" s="119"/>
      <c r="F17" s="119"/>
      <c r="G17" s="119"/>
    </row>
    <row r="18" spans="1:7" ht="13.5" thickBot="1">
      <c r="A18" s="8" t="s">
        <v>239</v>
      </c>
      <c r="B18" s="8"/>
      <c r="C18" s="208"/>
      <c r="D18" s="209">
        <f>SUM(D12:D17)</f>
        <v>7938193.1152</v>
      </c>
      <c r="E18" s="209">
        <f>SUM(E12:E17)</f>
        <v>463125</v>
      </c>
      <c r="F18" s="209">
        <f>SUM(F12:F17)</f>
        <v>1438204.1152679727</v>
      </c>
      <c r="G18" s="209">
        <f>SUM(D18:F18)</f>
        <v>9839522.230467973</v>
      </c>
    </row>
    <row r="19" spans="3:7" ht="13.5" thickTop="1">
      <c r="C19" s="207"/>
      <c r="D19" s="119"/>
      <c r="E19" s="119"/>
      <c r="F19" s="119"/>
      <c r="G19" s="119"/>
    </row>
    <row r="20" spans="3:7" ht="12.75">
      <c r="C20" s="207"/>
      <c r="D20" s="119"/>
      <c r="E20" s="119"/>
      <c r="F20" s="119"/>
      <c r="G20" s="119"/>
    </row>
    <row r="21" spans="1:7" ht="12.75">
      <c r="A21" s="203" t="s">
        <v>240</v>
      </c>
      <c r="B21" s="203"/>
      <c r="C21" s="207"/>
      <c r="D21" s="205">
        <v>0</v>
      </c>
      <c r="E21" s="205">
        <f>E9*0.525</f>
        <v>269797.5</v>
      </c>
      <c r="F21" s="205">
        <f>F9*0.525</f>
        <v>1737574.6500000001</v>
      </c>
      <c r="G21" s="205">
        <f>+D21+E21+F21</f>
        <v>2007372.1500000001</v>
      </c>
    </row>
    <row r="22" spans="2:7" ht="12.75">
      <c r="B22" s="203" t="s">
        <v>234</v>
      </c>
      <c r="C22" s="210"/>
      <c r="D22" s="119"/>
      <c r="E22" s="119"/>
      <c r="F22" s="119"/>
      <c r="G22" s="119"/>
    </row>
    <row r="23" spans="1:7" ht="12.75">
      <c r="A23" s="143" t="s">
        <v>235</v>
      </c>
      <c r="B23" s="203" t="s">
        <v>241</v>
      </c>
      <c r="C23" s="207">
        <f>1729000*(1-0.46555)</f>
        <v>924064.0499999999</v>
      </c>
      <c r="D23" s="119"/>
      <c r="E23" s="119"/>
      <c r="F23" s="119">
        <f>C23*-0.1872</f>
        <v>-172984.79016</v>
      </c>
      <c r="G23" s="205">
        <f>+D23+E23+F23</f>
        <v>-172984.79016</v>
      </c>
    </row>
    <row r="24" spans="2:7" ht="12.75">
      <c r="B24" t="s">
        <v>238</v>
      </c>
      <c r="C24" s="207"/>
      <c r="D24" s="119"/>
      <c r="E24" s="119">
        <f>150000*6.5*0.525-E21</f>
        <v>242077.5</v>
      </c>
      <c r="F24" s="119"/>
      <c r="G24" s="205">
        <f>+D24+E24+F24</f>
        <v>242077.5</v>
      </c>
    </row>
    <row r="25" spans="3:7" ht="12.75">
      <c r="C25" s="207"/>
      <c r="D25" s="119"/>
      <c r="E25" s="119"/>
      <c r="F25" s="119"/>
      <c r="G25" s="119"/>
    </row>
    <row r="26" spans="1:7" ht="13.5" thickBot="1">
      <c r="A26" s="211" t="s">
        <v>242</v>
      </c>
      <c r="B26" s="8"/>
      <c r="C26" s="208"/>
      <c r="D26" s="209">
        <f>SUM(D21:D25)</f>
        <v>0</v>
      </c>
      <c r="E26" s="209">
        <f>SUM(E21:E25)</f>
        <v>511875</v>
      </c>
      <c r="F26" s="209">
        <f>SUM(F21:F25)</f>
        <v>1564589.85984</v>
      </c>
      <c r="G26" s="209">
        <f>SUM(D26:F26)</f>
        <v>2076464.85984</v>
      </c>
    </row>
    <row r="27" spans="3:7" ht="13.5" thickTop="1">
      <c r="C27" s="207"/>
      <c r="D27" s="212"/>
      <c r="E27" s="212"/>
      <c r="F27" s="212"/>
      <c r="G27" s="212"/>
    </row>
    <row r="28" spans="3:7" ht="12.75">
      <c r="C28" s="207"/>
      <c r="D28" s="119"/>
      <c r="E28" s="119"/>
      <c r="F28" s="119"/>
      <c r="G28" s="119"/>
    </row>
    <row r="29" spans="1:7" ht="12.75">
      <c r="A29" s="8" t="s">
        <v>243</v>
      </c>
      <c r="B29" s="8"/>
      <c r="C29" s="208"/>
      <c r="D29" s="213">
        <f>+D26+D18</f>
        <v>7938193.1152</v>
      </c>
      <c r="E29" s="213">
        <f>+E26+E18</f>
        <v>975000</v>
      </c>
      <c r="F29" s="213">
        <f>+F26+F18</f>
        <v>3002793.9751079725</v>
      </c>
      <c r="G29" s="213">
        <f>+G26+G18</f>
        <v>11915987.090307973</v>
      </c>
    </row>
    <row r="30" spans="4:7" ht="12.75">
      <c r="D30" s="119"/>
      <c r="E30" s="119"/>
      <c r="F30" s="119"/>
      <c r="G30" s="119"/>
    </row>
    <row r="31" spans="1:7" ht="12.75">
      <c r="A31" s="143" t="s">
        <v>235</v>
      </c>
      <c r="B31" t="s">
        <v>244</v>
      </c>
      <c r="D31" s="119"/>
      <c r="E31" s="119"/>
      <c r="F31" s="119"/>
      <c r="G31" s="119"/>
    </row>
    <row r="32" spans="2:7" ht="12.75">
      <c r="B32" t="s">
        <v>245</v>
      </c>
      <c r="D32" s="119"/>
      <c r="E32" s="119"/>
      <c r="F32" s="119"/>
      <c r="G32" s="119"/>
    </row>
  </sheetData>
  <printOptions/>
  <pageMargins left="0.75" right="0.75" top="1" bottom="1" header="0.5" footer="0.5"/>
  <pageSetup fitToHeight="1" fitToWidth="1" horizontalDpi="600" verticalDpi="600" orientation="landscape" r:id="rId1"/>
  <headerFooter alignWithMargins="0">
    <oddHeader>&amp;C&amp;A</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3:O96"/>
  <sheetViews>
    <sheetView workbookViewId="0" topLeftCell="A1">
      <selection activeCell="A1" sqref="A1"/>
    </sheetView>
  </sheetViews>
  <sheetFormatPr defaultColWidth="9.140625" defaultRowHeight="12.75"/>
  <cols>
    <col min="1" max="1" width="3.7109375" style="180" customWidth="1"/>
    <col min="2" max="3" width="9.140625" style="180" customWidth="1"/>
    <col min="4" max="10" width="12.421875" style="180" customWidth="1"/>
    <col min="11" max="11" width="10.140625" style="180" customWidth="1"/>
    <col min="12" max="12" width="9.140625" style="180" customWidth="1"/>
    <col min="13" max="16" width="12.421875" style="180" customWidth="1"/>
    <col min="17" max="16384" width="9.140625" style="180" customWidth="1"/>
  </cols>
  <sheetData>
    <row r="3" spans="1:2" ht="18.75">
      <c r="A3" s="179"/>
      <c r="B3" s="179" t="s">
        <v>174</v>
      </c>
    </row>
    <row r="4" ht="15.75">
      <c r="B4" s="180" t="s">
        <v>869</v>
      </c>
    </row>
    <row r="6" spans="5:14" ht="16.5" thickBot="1">
      <c r="E6" s="181" t="s">
        <v>176</v>
      </c>
      <c r="F6" s="181" t="s">
        <v>177</v>
      </c>
      <c r="G6" s="181" t="s">
        <v>178</v>
      </c>
      <c r="H6" s="181" t="s">
        <v>179</v>
      </c>
      <c r="I6" s="181" t="s">
        <v>180</v>
      </c>
      <c r="J6" s="181" t="s">
        <v>181</v>
      </c>
      <c r="M6" s="912" t="s">
        <v>182</v>
      </c>
      <c r="N6" s="912"/>
    </row>
    <row r="7" spans="2:15" ht="15.75">
      <c r="B7" s="180" t="s">
        <v>183</v>
      </c>
      <c r="L7" s="182" t="s">
        <v>184</v>
      </c>
      <c r="M7" s="183"/>
      <c r="N7" s="183"/>
      <c r="O7" s="184">
        <f>J56</f>
        <v>5940385.4574258495</v>
      </c>
    </row>
    <row r="8" spans="3:15" ht="15.75">
      <c r="C8" s="180" t="s">
        <v>185</v>
      </c>
      <c r="E8" s="185">
        <f>E71</f>
        <v>460572.259</v>
      </c>
      <c r="F8" s="185">
        <f aca="true" t="shared" si="0" ref="F8:J10">E54</f>
        <v>503129.2590000001</v>
      </c>
      <c r="G8" s="185">
        <f t="shared" si="0"/>
        <v>494597.2590000001</v>
      </c>
      <c r="H8" s="185">
        <f t="shared" si="0"/>
        <v>489549.2590000001</v>
      </c>
      <c r="I8" s="185">
        <f t="shared" si="0"/>
        <v>447933.2590000001</v>
      </c>
      <c r="J8" s="185">
        <f t="shared" si="0"/>
        <v>400398.2590000001</v>
      </c>
      <c r="L8" s="186" t="s">
        <v>186</v>
      </c>
      <c r="M8" s="187"/>
      <c r="N8" s="187"/>
      <c r="O8" s="188">
        <f>J58</f>
        <v>1.4128133233376656</v>
      </c>
    </row>
    <row r="9" spans="3:15" ht="15.75">
      <c r="C9" s="180" t="s">
        <v>187</v>
      </c>
      <c r="E9" s="189">
        <f>F71</f>
        <v>11023929.11</v>
      </c>
      <c r="F9" s="189">
        <f t="shared" si="0"/>
        <v>11963135.265388016</v>
      </c>
      <c r="G9" s="189">
        <f t="shared" si="0"/>
        <v>11935135.84362544</v>
      </c>
      <c r="H9" s="189">
        <f t="shared" si="0"/>
        <v>11908075.329590216</v>
      </c>
      <c r="I9" s="189">
        <f t="shared" si="0"/>
        <v>11176916.026747663</v>
      </c>
      <c r="J9" s="189">
        <f t="shared" si="0"/>
        <v>10033187.037357986</v>
      </c>
      <c r="L9" s="186" t="s">
        <v>188</v>
      </c>
      <c r="M9" s="187"/>
      <c r="N9" s="187"/>
      <c r="O9" s="188">
        <f>J29</f>
        <v>1.226096256684492</v>
      </c>
    </row>
    <row r="10" spans="3:15" ht="15.75">
      <c r="C10" s="180" t="s">
        <v>189</v>
      </c>
      <c r="E10" s="185">
        <f>E8*2*E66/1000</f>
        <v>7661996.58742585</v>
      </c>
      <c r="F10" s="185">
        <f t="shared" si="0"/>
        <v>8386693.539425851</v>
      </c>
      <c r="G10" s="185">
        <f t="shared" si="0"/>
        <v>8305250.66142585</v>
      </c>
      <c r="H10" s="185">
        <f t="shared" si="0"/>
        <v>8269578.70342585</v>
      </c>
      <c r="I10" s="185">
        <f t="shared" si="0"/>
        <v>7600680.388425849</v>
      </c>
      <c r="J10" s="185">
        <f t="shared" si="0"/>
        <v>6847467.77242585</v>
      </c>
      <c r="L10" s="186" t="s">
        <v>190</v>
      </c>
      <c r="M10" s="187"/>
      <c r="N10" s="187"/>
      <c r="O10" s="188">
        <f>O9-O8</f>
        <v>-0.18671706665317367</v>
      </c>
    </row>
    <row r="11" spans="3:15" ht="16.5" thickBot="1">
      <c r="C11" s="180" t="s">
        <v>191</v>
      </c>
      <c r="E11" s="190">
        <f aca="true" t="shared" si="1" ref="E11:J11">E9/E8</f>
        <v>23.935286797201563</v>
      </c>
      <c r="F11" s="190">
        <f t="shared" si="1"/>
        <v>23.777458876403795</v>
      </c>
      <c r="G11" s="190">
        <f t="shared" si="1"/>
        <v>24.13101897846433</v>
      </c>
      <c r="H11" s="190">
        <f t="shared" si="1"/>
        <v>24.32457022591513</v>
      </c>
      <c r="I11" s="190">
        <f t="shared" si="1"/>
        <v>24.95219053771504</v>
      </c>
      <c r="J11" s="190">
        <f t="shared" si="1"/>
        <v>25.05801863978131</v>
      </c>
      <c r="L11" s="191" t="s">
        <v>192</v>
      </c>
      <c r="M11" s="192"/>
      <c r="N11" s="192"/>
      <c r="O11" s="193">
        <f>O7*O10</f>
        <v>-1109171.3473997258</v>
      </c>
    </row>
    <row r="12" spans="3:10" ht="15.75">
      <c r="C12" s="180" t="s">
        <v>193</v>
      </c>
      <c r="E12" s="194">
        <f aca="true" t="shared" si="2" ref="E12:J12">E9/E10</f>
        <v>1.438780216646329</v>
      </c>
      <c r="F12" s="194">
        <f t="shared" si="2"/>
        <v>1.426442400589614</v>
      </c>
      <c r="G12" s="194">
        <f t="shared" si="2"/>
        <v>1.43705907626109</v>
      </c>
      <c r="H12" s="194">
        <f t="shared" si="2"/>
        <v>1.4399857304286905</v>
      </c>
      <c r="I12" s="194">
        <f t="shared" si="2"/>
        <v>1.470515198056167</v>
      </c>
      <c r="J12" s="194">
        <f t="shared" si="2"/>
        <v>1.4652404904716378</v>
      </c>
    </row>
    <row r="14" ht="15.75">
      <c r="B14" s="180" t="s">
        <v>194</v>
      </c>
    </row>
    <row r="15" ht="15.75">
      <c r="C15" s="195" t="s">
        <v>195</v>
      </c>
    </row>
    <row r="16" spans="3:11" ht="15.75">
      <c r="C16" s="180" t="s">
        <v>185</v>
      </c>
      <c r="E16" s="185">
        <v>175800</v>
      </c>
      <c r="F16" s="185">
        <v>175600</v>
      </c>
      <c r="G16" s="185">
        <v>175500</v>
      </c>
      <c r="H16" s="185">
        <v>165300</v>
      </c>
      <c r="I16" s="185">
        <v>150100</v>
      </c>
      <c r="J16" s="185">
        <v>150100</v>
      </c>
      <c r="K16" s="185"/>
    </row>
    <row r="17" spans="3:10" ht="15.75">
      <c r="C17" s="180" t="s">
        <v>187</v>
      </c>
      <c r="E17" s="189">
        <f>E16*23.72</f>
        <v>4169976</v>
      </c>
      <c r="F17" s="189">
        <f>F16*25.79</f>
        <v>4528724</v>
      </c>
      <c r="G17" s="189">
        <f>G16*25.95</f>
        <v>4554225</v>
      </c>
      <c r="H17" s="189">
        <f>H16*27.8</f>
        <v>4595340</v>
      </c>
      <c r="I17" s="189">
        <f>I16*26.52</f>
        <v>3980652</v>
      </c>
      <c r="J17" s="189">
        <f>J16*23.55</f>
        <v>3534855</v>
      </c>
    </row>
    <row r="18" spans="3:10" ht="15.75">
      <c r="C18" s="180" t="s">
        <v>189</v>
      </c>
      <c r="E18" s="185">
        <f aca="true" t="shared" si="3" ref="E18:J18">E16*2*E19/1000</f>
        <v>2754786</v>
      </c>
      <c r="F18" s="185">
        <f t="shared" si="3"/>
        <v>2751652</v>
      </c>
      <c r="G18" s="185">
        <f t="shared" si="3"/>
        <v>2750085</v>
      </c>
      <c r="H18" s="185">
        <f t="shared" si="3"/>
        <v>2590251</v>
      </c>
      <c r="I18" s="185">
        <f t="shared" si="3"/>
        <v>2352067</v>
      </c>
      <c r="J18" s="185">
        <f t="shared" si="3"/>
        <v>2352067</v>
      </c>
    </row>
    <row r="19" spans="3:10" ht="15.75">
      <c r="C19" s="180" t="s">
        <v>196</v>
      </c>
      <c r="E19" s="185">
        <v>7835</v>
      </c>
      <c r="F19" s="185">
        <v>7835</v>
      </c>
      <c r="G19" s="185">
        <v>7835</v>
      </c>
      <c r="H19" s="185">
        <v>7835</v>
      </c>
      <c r="I19" s="185">
        <v>7835</v>
      </c>
      <c r="J19" s="185">
        <v>7835</v>
      </c>
    </row>
    <row r="20" spans="3:10" ht="15.75">
      <c r="C20" s="180" t="s">
        <v>191</v>
      </c>
      <c r="E20" s="190">
        <f aca="true" t="shared" si="4" ref="E20:J20">E17/E16</f>
        <v>23.72</v>
      </c>
      <c r="F20" s="190">
        <f t="shared" si="4"/>
        <v>25.79</v>
      </c>
      <c r="G20" s="190">
        <f t="shared" si="4"/>
        <v>25.95</v>
      </c>
      <c r="H20" s="190">
        <f t="shared" si="4"/>
        <v>27.8</v>
      </c>
      <c r="I20" s="190">
        <f t="shared" si="4"/>
        <v>26.52</v>
      </c>
      <c r="J20" s="190">
        <f t="shared" si="4"/>
        <v>23.55</v>
      </c>
    </row>
    <row r="21" spans="3:10" ht="15.75">
      <c r="C21" s="180" t="s">
        <v>193</v>
      </c>
      <c r="E21" s="190">
        <f aca="true" t="shared" si="5" ref="E21:J21">E17/E18</f>
        <v>1.513720485003191</v>
      </c>
      <c r="F21" s="190">
        <f t="shared" si="5"/>
        <v>1.6458200382897257</v>
      </c>
      <c r="G21" s="190">
        <f t="shared" si="5"/>
        <v>1.6560306317804723</v>
      </c>
      <c r="H21" s="190">
        <f t="shared" si="5"/>
        <v>1.7740906190172303</v>
      </c>
      <c r="I21" s="190">
        <f t="shared" si="5"/>
        <v>1.6924058710912573</v>
      </c>
      <c r="J21" s="190">
        <f t="shared" si="5"/>
        <v>1.5028717294192726</v>
      </c>
    </row>
    <row r="23" ht="15.75">
      <c r="C23" s="195" t="s">
        <v>197</v>
      </c>
    </row>
    <row r="24" spans="3:10" ht="15.75">
      <c r="C24" s="180" t="s">
        <v>185</v>
      </c>
      <c r="E24" s="185">
        <v>84369</v>
      </c>
      <c r="F24" s="185">
        <v>103550</v>
      </c>
      <c r="G24" s="185">
        <v>97854</v>
      </c>
      <c r="H24" s="185">
        <v>80769</v>
      </c>
      <c r="I24" s="185">
        <v>80769</v>
      </c>
      <c r="J24" s="185">
        <v>80769</v>
      </c>
    </row>
    <row r="25" spans="3:10" ht="15.75">
      <c r="C25" s="180" t="s">
        <v>187</v>
      </c>
      <c r="E25" s="189">
        <f>(5.6*1.076+17.01)*E24</f>
        <v>1943490.5364</v>
      </c>
      <c r="F25" s="189">
        <f>(5.6*1.076+17.01)*F24</f>
        <v>2385336.3800000004</v>
      </c>
      <c r="G25" s="189">
        <f>(5.5*1.076+17.01)*G24-F79*(5.6-5.5)*1.076</f>
        <v>2190723.4860000005</v>
      </c>
      <c r="H25" s="189">
        <f>(5.5*1.076+17.01)*H24</f>
        <v>1851871.632</v>
      </c>
      <c r="I25" s="189">
        <f>(5.5*1.076+17.01)*I24</f>
        <v>1851871.632</v>
      </c>
      <c r="J25" s="189">
        <f>(5.5*1.076+17.01)*J24</f>
        <v>1851871.632</v>
      </c>
    </row>
    <row r="26" spans="3:10" ht="15.75">
      <c r="C26" s="180" t="s">
        <v>189</v>
      </c>
      <c r="E26" s="185">
        <f aca="true" t="shared" si="6" ref="E26:J26">E24*2*E27/1000</f>
        <v>1577700.3</v>
      </c>
      <c r="F26" s="185">
        <f t="shared" si="6"/>
        <v>1936385</v>
      </c>
      <c r="G26" s="185">
        <f t="shared" si="6"/>
        <v>1829869.8</v>
      </c>
      <c r="H26" s="185">
        <f t="shared" si="6"/>
        <v>1510380.3</v>
      </c>
      <c r="I26" s="185">
        <f t="shared" si="6"/>
        <v>1510380.3</v>
      </c>
      <c r="J26" s="185">
        <f t="shared" si="6"/>
        <v>1510380.3</v>
      </c>
    </row>
    <row r="27" spans="3:10" ht="15.75">
      <c r="C27" s="180" t="s">
        <v>196</v>
      </c>
      <c r="E27" s="185">
        <v>9350</v>
      </c>
      <c r="F27" s="185">
        <v>9350</v>
      </c>
      <c r="G27" s="185">
        <v>9350</v>
      </c>
      <c r="H27" s="185">
        <v>9350</v>
      </c>
      <c r="I27" s="185">
        <v>9350</v>
      </c>
      <c r="J27" s="185">
        <v>9350</v>
      </c>
    </row>
    <row r="28" spans="3:10" ht="15.75">
      <c r="C28" s="180" t="s">
        <v>191</v>
      </c>
      <c r="E28" s="190">
        <f aca="true" t="shared" si="7" ref="E28:J28">E25/E24</f>
        <v>23.035600000000002</v>
      </c>
      <c r="F28" s="190">
        <f t="shared" si="7"/>
        <v>23.035600000000002</v>
      </c>
      <c r="G28" s="190">
        <f t="shared" si="7"/>
        <v>22.38767435158502</v>
      </c>
      <c r="H28" s="190">
        <f t="shared" si="7"/>
        <v>22.928</v>
      </c>
      <c r="I28" s="190">
        <f t="shared" si="7"/>
        <v>22.928</v>
      </c>
      <c r="J28" s="190">
        <f t="shared" si="7"/>
        <v>22.928</v>
      </c>
    </row>
    <row r="29" spans="3:10" ht="15.75">
      <c r="C29" s="180" t="s">
        <v>193</v>
      </c>
      <c r="E29" s="190">
        <f aca="true" t="shared" si="8" ref="E29:J29">E25/E26</f>
        <v>1.2318502673796792</v>
      </c>
      <c r="F29" s="190">
        <f t="shared" si="8"/>
        <v>1.2318502673796794</v>
      </c>
      <c r="G29" s="190">
        <f t="shared" si="8"/>
        <v>1.197201836983156</v>
      </c>
      <c r="H29" s="190">
        <f t="shared" si="8"/>
        <v>1.226096256684492</v>
      </c>
      <c r="I29" s="190">
        <f t="shared" si="8"/>
        <v>1.226096256684492</v>
      </c>
      <c r="J29" s="190">
        <f t="shared" si="8"/>
        <v>1.226096256684492</v>
      </c>
    </row>
    <row r="31" ht="15.75">
      <c r="C31" s="195" t="s">
        <v>3</v>
      </c>
    </row>
    <row r="32" spans="3:10" ht="15.75">
      <c r="C32" s="180" t="s">
        <v>185</v>
      </c>
      <c r="E32" s="185">
        <f aca="true" t="shared" si="9" ref="E32:J34">E16+E24</f>
        <v>260169</v>
      </c>
      <c r="F32" s="185">
        <f t="shared" si="9"/>
        <v>279150</v>
      </c>
      <c r="G32" s="185">
        <f t="shared" si="9"/>
        <v>273354</v>
      </c>
      <c r="H32" s="185">
        <f t="shared" si="9"/>
        <v>246069</v>
      </c>
      <c r="I32" s="185">
        <f t="shared" si="9"/>
        <v>230869</v>
      </c>
      <c r="J32" s="185">
        <f t="shared" si="9"/>
        <v>230869</v>
      </c>
    </row>
    <row r="33" spans="3:10" ht="15.75">
      <c r="C33" s="180" t="s">
        <v>187</v>
      </c>
      <c r="E33" s="189">
        <f t="shared" si="9"/>
        <v>6113466.5364</v>
      </c>
      <c r="F33" s="189">
        <f t="shared" si="9"/>
        <v>6914060.380000001</v>
      </c>
      <c r="G33" s="189">
        <f t="shared" si="9"/>
        <v>6744948.4860000005</v>
      </c>
      <c r="H33" s="189">
        <f t="shared" si="9"/>
        <v>6447211.632</v>
      </c>
      <c r="I33" s="189">
        <f t="shared" si="9"/>
        <v>5832523.632</v>
      </c>
      <c r="J33" s="189">
        <f t="shared" si="9"/>
        <v>5386726.632</v>
      </c>
    </row>
    <row r="34" spans="3:10" ht="15.75">
      <c r="C34" s="180" t="s">
        <v>189</v>
      </c>
      <c r="E34" s="185">
        <f t="shared" si="9"/>
        <v>4332486.3</v>
      </c>
      <c r="F34" s="185">
        <f t="shared" si="9"/>
        <v>4688037</v>
      </c>
      <c r="G34" s="185">
        <f t="shared" si="9"/>
        <v>4579954.8</v>
      </c>
      <c r="H34" s="185">
        <f t="shared" si="9"/>
        <v>4100631.3</v>
      </c>
      <c r="I34" s="185">
        <f t="shared" si="9"/>
        <v>3862447.3</v>
      </c>
      <c r="J34" s="185">
        <f t="shared" si="9"/>
        <v>3862447.3</v>
      </c>
    </row>
    <row r="35" spans="3:10" ht="15.75">
      <c r="C35" s="180" t="s">
        <v>191</v>
      </c>
      <c r="E35" s="190">
        <f aca="true" t="shared" si="10" ref="E35:J35">E33/E32</f>
        <v>23.498059093896657</v>
      </c>
      <c r="F35" s="190">
        <f t="shared" si="10"/>
        <v>24.768262152964358</v>
      </c>
      <c r="G35" s="190">
        <f t="shared" si="10"/>
        <v>24.67477514870827</v>
      </c>
      <c r="H35" s="190">
        <f t="shared" si="10"/>
        <v>26.200828353022935</v>
      </c>
      <c r="I35" s="190">
        <f t="shared" si="10"/>
        <v>25.26334688503004</v>
      </c>
      <c r="J35" s="190">
        <f t="shared" si="10"/>
        <v>23.33239470002469</v>
      </c>
    </row>
    <row r="36" spans="3:10" ht="15.75">
      <c r="C36" s="180" t="s">
        <v>193</v>
      </c>
      <c r="E36" s="190">
        <f aca="true" t="shared" si="11" ref="E36:J36">E33/E34</f>
        <v>1.4110757918380492</v>
      </c>
      <c r="F36" s="190">
        <f t="shared" si="11"/>
        <v>1.4748305911408124</v>
      </c>
      <c r="G36" s="190">
        <f t="shared" si="11"/>
        <v>1.4727107101581005</v>
      </c>
      <c r="H36" s="190">
        <f t="shared" si="11"/>
        <v>1.572248554021426</v>
      </c>
      <c r="I36" s="190">
        <f t="shared" si="11"/>
        <v>1.5100590840423895</v>
      </c>
      <c r="J36" s="190">
        <f t="shared" si="11"/>
        <v>1.3946408102448415</v>
      </c>
    </row>
    <row r="38" ht="15.75">
      <c r="B38" s="180" t="s">
        <v>198</v>
      </c>
    </row>
    <row r="39" spans="3:10" ht="15.75">
      <c r="C39" s="180" t="s">
        <v>185</v>
      </c>
      <c r="E39" s="185">
        <f aca="true" t="shared" si="12" ref="E39:J41">E8+E32</f>
        <v>720741.2590000001</v>
      </c>
      <c r="F39" s="185">
        <f t="shared" si="12"/>
        <v>782279.2590000001</v>
      </c>
      <c r="G39" s="185">
        <f t="shared" si="12"/>
        <v>767951.2590000001</v>
      </c>
      <c r="H39" s="185">
        <f t="shared" si="12"/>
        <v>735618.2590000001</v>
      </c>
      <c r="I39" s="185">
        <f t="shared" si="12"/>
        <v>678802.2590000001</v>
      </c>
      <c r="J39" s="185">
        <f t="shared" si="12"/>
        <v>631267.2590000001</v>
      </c>
    </row>
    <row r="40" spans="3:10" ht="15.75">
      <c r="C40" s="180" t="s">
        <v>187</v>
      </c>
      <c r="E40" s="189">
        <f t="shared" si="12"/>
        <v>17137395.646399997</v>
      </c>
      <c r="F40" s="189">
        <f t="shared" si="12"/>
        <v>18877195.645388015</v>
      </c>
      <c r="G40" s="189">
        <f t="shared" si="12"/>
        <v>18680084.32962544</v>
      </c>
      <c r="H40" s="189">
        <f t="shared" si="12"/>
        <v>18355286.961590216</v>
      </c>
      <c r="I40" s="189">
        <f t="shared" si="12"/>
        <v>17009439.65874766</v>
      </c>
      <c r="J40" s="189">
        <f t="shared" si="12"/>
        <v>15419913.669357985</v>
      </c>
    </row>
    <row r="41" spans="3:10" ht="15.75">
      <c r="C41" s="180" t="s">
        <v>189</v>
      </c>
      <c r="E41" s="185">
        <f t="shared" si="12"/>
        <v>11994482.887425851</v>
      </c>
      <c r="F41" s="185">
        <f t="shared" si="12"/>
        <v>13074730.53942585</v>
      </c>
      <c r="G41" s="185">
        <f t="shared" si="12"/>
        <v>12885205.46142585</v>
      </c>
      <c r="H41" s="185">
        <f t="shared" si="12"/>
        <v>12370210.00342585</v>
      </c>
      <c r="I41" s="185">
        <f t="shared" si="12"/>
        <v>11463127.68842585</v>
      </c>
      <c r="J41" s="185">
        <f t="shared" si="12"/>
        <v>10709915.07242585</v>
      </c>
    </row>
    <row r="42" spans="3:10" ht="15.75">
      <c r="C42" s="180" t="s">
        <v>191</v>
      </c>
      <c r="E42" s="190">
        <f aca="true" t="shared" si="13" ref="E42:J42">E40/E39</f>
        <v>23.77745887640379</v>
      </c>
      <c r="F42" s="190">
        <f t="shared" si="13"/>
        <v>24.13101897846433</v>
      </c>
      <c r="G42" s="190">
        <f t="shared" si="13"/>
        <v>24.324570225915128</v>
      </c>
      <c r="H42" s="190">
        <f t="shared" si="13"/>
        <v>24.952190537715044</v>
      </c>
      <c r="I42" s="190">
        <f t="shared" si="13"/>
        <v>25.05801863978131</v>
      </c>
      <c r="J42" s="190">
        <f t="shared" si="13"/>
        <v>24.426918154736715</v>
      </c>
    </row>
    <row r="43" spans="3:10" ht="15.75">
      <c r="C43" s="180" t="s">
        <v>193</v>
      </c>
      <c r="E43" s="190">
        <f aca="true" t="shared" si="14" ref="E43:J43">E40/E41</f>
        <v>1.4287731957469882</v>
      </c>
      <c r="F43" s="190">
        <f t="shared" si="14"/>
        <v>1.4437923281451404</v>
      </c>
      <c r="G43" s="190">
        <f t="shared" si="14"/>
        <v>1.449731196413405</v>
      </c>
      <c r="H43" s="190">
        <f t="shared" si="14"/>
        <v>1.4838298587094996</v>
      </c>
      <c r="I43" s="190">
        <f t="shared" si="14"/>
        <v>1.4838393256250508</v>
      </c>
      <c r="J43" s="190">
        <f t="shared" si="14"/>
        <v>1.4397792666963976</v>
      </c>
    </row>
    <row r="45" ht="15.75">
      <c r="B45" s="180" t="s">
        <v>199</v>
      </c>
    </row>
    <row r="46" spans="3:10" ht="15.75">
      <c r="C46" s="180" t="s">
        <v>185</v>
      </c>
      <c r="E46" s="185">
        <v>217612</v>
      </c>
      <c r="F46" s="185">
        <v>287682</v>
      </c>
      <c r="G46" s="185">
        <v>278402</v>
      </c>
      <c r="H46" s="185">
        <v>287685</v>
      </c>
      <c r="I46" s="185">
        <v>278404</v>
      </c>
      <c r="J46" s="185">
        <v>287685</v>
      </c>
    </row>
    <row r="47" spans="3:10" ht="15.75">
      <c r="C47" s="180" t="s">
        <v>187</v>
      </c>
      <c r="E47" s="189">
        <f aca="true" t="shared" si="15" ref="E47:J47">E46*E42</f>
        <v>5174260.3810119815</v>
      </c>
      <c r="F47" s="189">
        <f t="shared" si="15"/>
        <v>6942059.801762575</v>
      </c>
      <c r="G47" s="189">
        <f t="shared" si="15"/>
        <v>6772009.000035224</v>
      </c>
      <c r="H47" s="189">
        <f t="shared" si="15"/>
        <v>7178370.934842552</v>
      </c>
      <c r="I47" s="189">
        <f t="shared" si="15"/>
        <v>6976252.621389676</v>
      </c>
      <c r="J47" s="189">
        <f t="shared" si="15"/>
        <v>7027257.949345432</v>
      </c>
    </row>
    <row r="48" spans="3:10" ht="15.75">
      <c r="C48" s="180" t="s">
        <v>189</v>
      </c>
      <c r="E48" s="185">
        <f aca="true" t="shared" si="16" ref="E48:J48">E46*2*E49/1000</f>
        <v>3607789.348</v>
      </c>
      <c r="F48" s="185">
        <f t="shared" si="16"/>
        <v>4769479.878</v>
      </c>
      <c r="G48" s="185">
        <f t="shared" si="16"/>
        <v>4615626.758</v>
      </c>
      <c r="H48" s="185">
        <f t="shared" si="16"/>
        <v>4769529.615</v>
      </c>
      <c r="I48" s="185">
        <f t="shared" si="16"/>
        <v>4615659.916</v>
      </c>
      <c r="J48" s="185">
        <f t="shared" si="16"/>
        <v>4769529.615</v>
      </c>
    </row>
    <row r="49" spans="3:10" ht="15.75">
      <c r="C49" s="180" t="s">
        <v>196</v>
      </c>
      <c r="E49" s="185">
        <f aca="true" t="shared" si="17" ref="E49:J49">E95*E19+(1-E95)*E27</f>
        <v>8289.5</v>
      </c>
      <c r="F49" s="185">
        <f t="shared" si="17"/>
        <v>8289.5</v>
      </c>
      <c r="G49" s="185">
        <f t="shared" si="17"/>
        <v>8289.5</v>
      </c>
      <c r="H49" s="185">
        <f t="shared" si="17"/>
        <v>8289.5</v>
      </c>
      <c r="I49" s="185">
        <f t="shared" si="17"/>
        <v>8289.5</v>
      </c>
      <c r="J49" s="185">
        <f t="shared" si="17"/>
        <v>8289.5</v>
      </c>
    </row>
    <row r="50" spans="3:10" ht="15.75">
      <c r="C50" s="180" t="s">
        <v>191</v>
      </c>
      <c r="E50" s="190">
        <f aca="true" t="shared" si="18" ref="E50:J50">E47/E46</f>
        <v>23.77745887640379</v>
      </c>
      <c r="F50" s="190">
        <f t="shared" si="18"/>
        <v>24.13101897846433</v>
      </c>
      <c r="G50" s="190">
        <f t="shared" si="18"/>
        <v>24.324570225915128</v>
      </c>
      <c r="H50" s="190">
        <f t="shared" si="18"/>
        <v>24.952190537715044</v>
      </c>
      <c r="I50" s="190">
        <f t="shared" si="18"/>
        <v>25.05801863978131</v>
      </c>
      <c r="J50" s="190">
        <f t="shared" si="18"/>
        <v>24.426918154736715</v>
      </c>
    </row>
    <row r="51" spans="3:10" ht="15.75">
      <c r="C51" s="180" t="s">
        <v>193</v>
      </c>
      <c r="E51" s="190">
        <f aca="true" t="shared" si="19" ref="E51:J51">E47/E48</f>
        <v>1.4341913792390246</v>
      </c>
      <c r="F51" s="190">
        <f t="shared" si="19"/>
        <v>1.4555171589640106</v>
      </c>
      <c r="G51" s="190">
        <f t="shared" si="19"/>
        <v>1.4671916415896693</v>
      </c>
      <c r="H51" s="190">
        <f t="shared" si="19"/>
        <v>1.5050479846622258</v>
      </c>
      <c r="I51" s="190">
        <f t="shared" si="19"/>
        <v>1.511431246744756</v>
      </c>
      <c r="J51" s="190">
        <f t="shared" si="19"/>
        <v>1.473364989127011</v>
      </c>
    </row>
    <row r="53" ht="15.75">
      <c r="B53" s="180" t="s">
        <v>200</v>
      </c>
    </row>
    <row r="54" spans="3:10" ht="15.75">
      <c r="C54" s="180" t="s">
        <v>185</v>
      </c>
      <c r="E54" s="185">
        <f aca="true" t="shared" si="20" ref="E54:J56">E39-E46</f>
        <v>503129.2590000001</v>
      </c>
      <c r="F54" s="185">
        <f t="shared" si="20"/>
        <v>494597.2590000001</v>
      </c>
      <c r="G54" s="185">
        <f t="shared" si="20"/>
        <v>489549.2590000001</v>
      </c>
      <c r="H54" s="185">
        <f t="shared" si="20"/>
        <v>447933.2590000001</v>
      </c>
      <c r="I54" s="185">
        <f t="shared" si="20"/>
        <v>400398.2590000001</v>
      </c>
      <c r="J54" s="185">
        <f t="shared" si="20"/>
        <v>343582.2590000001</v>
      </c>
    </row>
    <row r="55" spans="3:10" ht="15.75">
      <c r="C55" s="180" t="s">
        <v>187</v>
      </c>
      <c r="E55" s="185">
        <f t="shared" si="20"/>
        <v>11963135.265388016</v>
      </c>
      <c r="F55" s="185">
        <f t="shared" si="20"/>
        <v>11935135.84362544</v>
      </c>
      <c r="G55" s="185">
        <f t="shared" si="20"/>
        <v>11908075.329590216</v>
      </c>
      <c r="H55" s="185">
        <f t="shared" si="20"/>
        <v>11176916.026747663</v>
      </c>
      <c r="I55" s="185">
        <f t="shared" si="20"/>
        <v>10033187.037357986</v>
      </c>
      <c r="J55" s="185">
        <f t="shared" si="20"/>
        <v>8392655.720012553</v>
      </c>
    </row>
    <row r="56" spans="3:10" ht="15.75">
      <c r="C56" s="180" t="s">
        <v>189</v>
      </c>
      <c r="E56" s="185">
        <f t="shared" si="20"/>
        <v>8386693.539425851</v>
      </c>
      <c r="F56" s="185">
        <f t="shared" si="20"/>
        <v>8305250.66142585</v>
      </c>
      <c r="G56" s="185">
        <f t="shared" si="20"/>
        <v>8269578.70342585</v>
      </c>
      <c r="H56" s="185">
        <f t="shared" si="20"/>
        <v>7600680.388425849</v>
      </c>
      <c r="I56" s="185">
        <f t="shared" si="20"/>
        <v>6847467.77242585</v>
      </c>
      <c r="J56" s="185">
        <f t="shared" si="20"/>
        <v>5940385.4574258495</v>
      </c>
    </row>
    <row r="57" spans="3:10" ht="15.75">
      <c r="C57" s="180" t="s">
        <v>191</v>
      </c>
      <c r="E57" s="190">
        <f aca="true" t="shared" si="21" ref="E57:J57">E55/E54</f>
        <v>23.777458876403795</v>
      </c>
      <c r="F57" s="190">
        <f t="shared" si="21"/>
        <v>24.13101897846433</v>
      </c>
      <c r="G57" s="190">
        <f t="shared" si="21"/>
        <v>24.32457022591513</v>
      </c>
      <c r="H57" s="190">
        <f t="shared" si="21"/>
        <v>24.95219053771504</v>
      </c>
      <c r="I57" s="190">
        <f t="shared" si="21"/>
        <v>25.05801863978131</v>
      </c>
      <c r="J57" s="190">
        <f t="shared" si="21"/>
        <v>24.42691815473671</v>
      </c>
    </row>
    <row r="58" spans="3:10" ht="15.75">
      <c r="C58" s="180" t="s">
        <v>193</v>
      </c>
      <c r="E58" s="194">
        <f aca="true" t="shared" si="22" ref="E58:J58">E55/E56</f>
        <v>1.426442400589614</v>
      </c>
      <c r="F58" s="194">
        <f t="shared" si="22"/>
        <v>1.43705907626109</v>
      </c>
      <c r="G58" s="194">
        <f t="shared" si="22"/>
        <v>1.4399857304286905</v>
      </c>
      <c r="H58" s="194">
        <f t="shared" si="22"/>
        <v>1.470515198056167</v>
      </c>
      <c r="I58" s="194">
        <f t="shared" si="22"/>
        <v>1.4652404904716378</v>
      </c>
      <c r="J58" s="194">
        <f t="shared" si="22"/>
        <v>1.4128133233376656</v>
      </c>
    </row>
    <row r="60" ht="15.75">
      <c r="B60" s="180" t="s">
        <v>201</v>
      </c>
    </row>
    <row r="61" spans="3:5" ht="15.75">
      <c r="C61" s="180" t="s">
        <v>202</v>
      </c>
      <c r="E61" s="185">
        <v>701891</v>
      </c>
    </row>
    <row r="62" spans="3:5" ht="15.75">
      <c r="C62" s="180" t="s">
        <v>203</v>
      </c>
      <c r="E62" s="185">
        <v>328587</v>
      </c>
    </row>
    <row r="63" spans="3:5" ht="15.75">
      <c r="C63" s="180" t="s">
        <v>204</v>
      </c>
      <c r="E63" s="185">
        <f>E61+E62</f>
        <v>1030478</v>
      </c>
    </row>
    <row r="64" spans="3:5" ht="15.75">
      <c r="C64" s="180" t="s">
        <v>205</v>
      </c>
      <c r="E64" s="185">
        <f>K91</f>
        <v>7824.829293702816</v>
      </c>
    </row>
    <row r="65" spans="3:5" ht="15.75">
      <c r="C65" s="180" t="s">
        <v>206</v>
      </c>
      <c r="E65" s="185">
        <f>K86</f>
        <v>9371.172080650553</v>
      </c>
    </row>
    <row r="66" spans="3:5" ht="15.75">
      <c r="C66" s="180" t="s">
        <v>207</v>
      </c>
      <c r="E66" s="185">
        <f>E61/E63*E64+E62/E63*E65</f>
        <v>8317.909337463863</v>
      </c>
    </row>
    <row r="69" spans="2:6" ht="15.75">
      <c r="B69" s="180" t="s">
        <v>870</v>
      </c>
      <c r="E69" s="181" t="s">
        <v>208</v>
      </c>
      <c r="F69" s="181" t="s">
        <v>209</v>
      </c>
    </row>
    <row r="70" spans="2:6" ht="15.75">
      <c r="B70" s="180" t="s">
        <v>210</v>
      </c>
      <c r="E70" s="185">
        <v>479991.841</v>
      </c>
      <c r="F70" s="189">
        <v>11494585.07</v>
      </c>
    </row>
    <row r="71" spans="2:6" ht="15.75">
      <c r="B71" s="180" t="s">
        <v>211</v>
      </c>
      <c r="E71" s="185">
        <f>E70-E72</f>
        <v>460572.259</v>
      </c>
      <c r="F71" s="189">
        <f>F70-F72</f>
        <v>11023929.11</v>
      </c>
    </row>
    <row r="72" spans="2:6" ht="15.75">
      <c r="B72" s="180" t="s">
        <v>212</v>
      </c>
      <c r="E72" s="185">
        <f>E73*6</f>
        <v>19419.582</v>
      </c>
      <c r="F72" s="185">
        <f>F73*6</f>
        <v>470655.96</v>
      </c>
    </row>
    <row r="73" spans="2:6" ht="15.75">
      <c r="B73" s="180" t="s">
        <v>213</v>
      </c>
      <c r="E73" s="185">
        <f>1620.537+1616.06</f>
        <v>3236.5969999999998</v>
      </c>
      <c r="F73" s="189">
        <f>39275.23+39167.43</f>
        <v>78442.66</v>
      </c>
    </row>
    <row r="74" spans="5:6" ht="15.75">
      <c r="E74" s="196"/>
      <c r="F74" s="189"/>
    </row>
    <row r="75" spans="2:6" ht="15.75">
      <c r="B75" s="180" t="s">
        <v>197</v>
      </c>
      <c r="E75" s="196"/>
      <c r="F75" s="189"/>
    </row>
    <row r="76" spans="3:10" ht="15.75">
      <c r="C76" s="180" t="s">
        <v>214</v>
      </c>
      <c r="E76" s="185">
        <v>178192</v>
      </c>
      <c r="F76" s="185">
        <v>200000</v>
      </c>
      <c r="G76" s="185">
        <v>189000</v>
      </c>
      <c r="H76" s="185">
        <v>156000</v>
      </c>
      <c r="I76" s="185">
        <v>156000</v>
      </c>
      <c r="J76" s="185">
        <v>156000</v>
      </c>
    </row>
    <row r="77" spans="3:10" ht="15.75">
      <c r="C77" s="180" t="s">
        <v>215</v>
      </c>
      <c r="E77" s="185">
        <f>K85+E76</f>
        <v>818386</v>
      </c>
      <c r="F77" s="185">
        <f>E77+F76</f>
        <v>1018386</v>
      </c>
      <c r="G77" s="185">
        <f>F77+G76</f>
        <v>1207386</v>
      </c>
      <c r="H77" s="185">
        <f>G77+H76</f>
        <v>1363386</v>
      </c>
      <c r="I77" s="185">
        <f>H77+I76</f>
        <v>1519386</v>
      </c>
      <c r="J77" s="185">
        <f>I77+J76</f>
        <v>1675386</v>
      </c>
    </row>
    <row r="78" spans="3:10" ht="15.75">
      <c r="C78" s="180" t="s">
        <v>216</v>
      </c>
      <c r="E78" s="185">
        <f aca="true" t="shared" si="23" ref="E78:J78">E24</f>
        <v>84369</v>
      </c>
      <c r="F78" s="185">
        <f t="shared" si="23"/>
        <v>103550</v>
      </c>
      <c r="G78" s="185">
        <f t="shared" si="23"/>
        <v>97854</v>
      </c>
      <c r="H78" s="185">
        <f t="shared" si="23"/>
        <v>80769</v>
      </c>
      <c r="I78" s="185">
        <f t="shared" si="23"/>
        <v>80769</v>
      </c>
      <c r="J78" s="185">
        <f t="shared" si="23"/>
        <v>80769</v>
      </c>
    </row>
    <row r="79" spans="3:10" ht="15.75">
      <c r="C79" s="180" t="s">
        <v>215</v>
      </c>
      <c r="E79" s="185">
        <f>303466+E78</f>
        <v>387835</v>
      </c>
      <c r="F79" s="185">
        <f>E79+F78</f>
        <v>491385</v>
      </c>
      <c r="G79" s="185">
        <f>F79+G78</f>
        <v>589239</v>
      </c>
      <c r="H79" s="185">
        <f>G79+H78</f>
        <v>670008</v>
      </c>
      <c r="I79" s="185">
        <f>H79+I78</f>
        <v>750777</v>
      </c>
      <c r="J79" s="185">
        <f>I79+J78</f>
        <v>831546</v>
      </c>
    </row>
    <row r="80" spans="5:10" ht="15.75">
      <c r="E80" s="185"/>
      <c r="F80" s="185"/>
      <c r="G80" s="185"/>
      <c r="H80" s="185"/>
      <c r="I80" s="185"/>
      <c r="J80" s="185"/>
    </row>
    <row r="81" spans="5:10" ht="15.75">
      <c r="E81" s="185"/>
      <c r="F81" s="185"/>
      <c r="G81" s="185"/>
      <c r="H81" s="185"/>
      <c r="I81" s="185"/>
      <c r="J81" s="185"/>
    </row>
    <row r="82" ht="15.75">
      <c r="B82" s="913" t="s">
        <v>217</v>
      </c>
    </row>
    <row r="83" spans="5:11" ht="15.75">
      <c r="E83" s="181" t="s">
        <v>218</v>
      </c>
      <c r="F83" s="181" t="s">
        <v>219</v>
      </c>
      <c r="G83" s="181" t="s">
        <v>220</v>
      </c>
      <c r="H83" s="181" t="s">
        <v>221</v>
      </c>
      <c r="I83" s="181" t="s">
        <v>222</v>
      </c>
      <c r="J83" s="181" t="s">
        <v>175</v>
      </c>
      <c r="K83" s="181" t="s">
        <v>3</v>
      </c>
    </row>
    <row r="84" ht="15.75">
      <c r="B84" s="180" t="s">
        <v>223</v>
      </c>
    </row>
    <row r="85" spans="3:11" ht="15.75">
      <c r="C85" s="180" t="s">
        <v>185</v>
      </c>
      <c r="E85" s="185">
        <v>152225</v>
      </c>
      <c r="F85" s="185">
        <v>98220</v>
      </c>
      <c r="G85" s="185">
        <v>100496</v>
      </c>
      <c r="H85" s="185">
        <v>96798</v>
      </c>
      <c r="I85" s="185">
        <v>93547</v>
      </c>
      <c r="J85" s="185">
        <v>98908</v>
      </c>
      <c r="K85" s="185">
        <f>SUM(E85:J85)</f>
        <v>640194</v>
      </c>
    </row>
    <row r="86" spans="3:11" ht="15.75">
      <c r="C86" s="180" t="s">
        <v>196</v>
      </c>
      <c r="E86" s="185">
        <v>9391</v>
      </c>
      <c r="F86" s="185">
        <v>9435</v>
      </c>
      <c r="G86" s="185">
        <v>9445</v>
      </c>
      <c r="H86" s="185">
        <v>9321</v>
      </c>
      <c r="I86" s="185">
        <v>9306</v>
      </c>
      <c r="J86" s="185">
        <v>9313</v>
      </c>
      <c r="K86" s="185">
        <f>K87/K85/2*1000</f>
        <v>9371.172080650553</v>
      </c>
    </row>
    <row r="87" spans="3:11" ht="15.75">
      <c r="C87" s="180" t="s">
        <v>189</v>
      </c>
      <c r="E87" s="185">
        <f aca="true" t="shared" si="24" ref="E87:J87">E85*2*E86/1000</f>
        <v>2859089.95</v>
      </c>
      <c r="F87" s="185">
        <f t="shared" si="24"/>
        <v>1853411.4</v>
      </c>
      <c r="G87" s="185">
        <f t="shared" si="24"/>
        <v>1898369.44</v>
      </c>
      <c r="H87" s="185">
        <f t="shared" si="24"/>
        <v>1804508.316</v>
      </c>
      <c r="I87" s="185">
        <f t="shared" si="24"/>
        <v>1741096.764</v>
      </c>
      <c r="J87" s="185">
        <f t="shared" si="24"/>
        <v>1842260.408</v>
      </c>
      <c r="K87" s="185">
        <f>SUM(E87:J87)</f>
        <v>11998736.277999999</v>
      </c>
    </row>
    <row r="89" ht="15.75">
      <c r="B89" s="180" t="s">
        <v>224</v>
      </c>
    </row>
    <row r="90" spans="3:11" ht="15.75">
      <c r="C90" s="180" t="s">
        <v>185</v>
      </c>
      <c r="E90" s="185">
        <v>317150</v>
      </c>
      <c r="F90" s="185">
        <v>309697</v>
      </c>
      <c r="G90" s="185">
        <v>227080</v>
      </c>
      <c r="H90" s="185">
        <v>319031</v>
      </c>
      <c r="I90" s="185">
        <v>350881</v>
      </c>
      <c r="J90" s="185">
        <v>450599</v>
      </c>
      <c r="K90" s="185">
        <f>SUM(E90:J90)</f>
        <v>1974438</v>
      </c>
    </row>
    <row r="91" spans="3:11" ht="15.75">
      <c r="C91" s="180" t="s">
        <v>196</v>
      </c>
      <c r="E91" s="185">
        <v>7765</v>
      </c>
      <c r="F91" s="185">
        <v>7901</v>
      </c>
      <c r="G91" s="185">
        <v>7741</v>
      </c>
      <c r="H91" s="185">
        <v>7710</v>
      </c>
      <c r="I91" s="185">
        <v>7947</v>
      </c>
      <c r="J91" s="185">
        <v>7843</v>
      </c>
      <c r="K91" s="185">
        <f>K92/K90/2*1000</f>
        <v>7824.829293702816</v>
      </c>
    </row>
    <row r="92" spans="3:11" ht="15.75">
      <c r="C92" s="180" t="s">
        <v>189</v>
      </c>
      <c r="E92" s="185">
        <f aca="true" t="shared" si="25" ref="E92:J92">E90*2*E91/1000</f>
        <v>4925339.5</v>
      </c>
      <c r="F92" s="185">
        <f t="shared" si="25"/>
        <v>4893831.994</v>
      </c>
      <c r="G92" s="185">
        <f t="shared" si="25"/>
        <v>3515652.56</v>
      </c>
      <c r="H92" s="185">
        <f t="shared" si="25"/>
        <v>4919458.02</v>
      </c>
      <c r="I92" s="185">
        <f t="shared" si="25"/>
        <v>5576902.614</v>
      </c>
      <c r="J92" s="185">
        <f t="shared" si="25"/>
        <v>7068095.914</v>
      </c>
      <c r="K92" s="185">
        <f>SUM(E92:J92)</f>
        <v>30899280.602</v>
      </c>
    </row>
    <row r="94" spans="5:11" ht="15.75">
      <c r="E94" s="181" t="s">
        <v>176</v>
      </c>
      <c r="F94" s="181" t="s">
        <v>177</v>
      </c>
      <c r="G94" s="181" t="s">
        <v>178</v>
      </c>
      <c r="H94" s="181" t="s">
        <v>179</v>
      </c>
      <c r="I94" s="181" t="s">
        <v>180</v>
      </c>
      <c r="J94" s="181" t="s">
        <v>181</v>
      </c>
      <c r="K94" s="181"/>
    </row>
    <row r="95" spans="2:11" ht="15.75">
      <c r="B95" s="180" t="s">
        <v>225</v>
      </c>
      <c r="E95" s="197">
        <v>0.7</v>
      </c>
      <c r="F95" s="197">
        <v>0.7</v>
      </c>
      <c r="G95" s="197">
        <v>0.7</v>
      </c>
      <c r="H95" s="197">
        <v>0.7</v>
      </c>
      <c r="I95" s="197">
        <v>0.7</v>
      </c>
      <c r="J95" s="197">
        <v>0.7</v>
      </c>
      <c r="K95" s="197"/>
    </row>
    <row r="96" ht="15.75">
      <c r="C96" s="180" t="s">
        <v>226</v>
      </c>
    </row>
  </sheetData>
  <printOptions/>
  <pageMargins left="0.5" right="0.5" top="0.5" bottom="0.5" header="0.25" footer="0.25"/>
  <pageSetup fitToHeight="1" fitToWidth="1" horizontalDpi="600" verticalDpi="600" orientation="portrait" scale="47" r:id="rId1"/>
  <headerFooter alignWithMargins="0">
    <oddHeader>&amp;C&amp;A</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J35"/>
  <sheetViews>
    <sheetView workbookViewId="0" topLeftCell="A1">
      <selection activeCell="A1" sqref="A1"/>
    </sheetView>
  </sheetViews>
  <sheetFormatPr defaultColWidth="9.140625" defaultRowHeight="12.75"/>
  <cols>
    <col min="5" max="5" width="11.7109375" style="0" customWidth="1"/>
    <col min="6" max="6" width="10.7109375" style="0" customWidth="1"/>
    <col min="8" max="8" width="11.7109375" style="0" customWidth="1"/>
    <col min="9" max="9" width="12.421875" style="0" customWidth="1"/>
    <col min="10" max="10" width="11.7109375" style="0" customWidth="1"/>
  </cols>
  <sheetData>
    <row r="1" spans="4:10" ht="18">
      <c r="D1" s="226" t="s">
        <v>252</v>
      </c>
      <c r="E1" s="227"/>
      <c r="F1" s="227"/>
      <c r="G1" s="227"/>
      <c r="H1" s="227"/>
      <c r="I1" s="227"/>
      <c r="J1" s="227"/>
    </row>
    <row r="5" spans="4:10" ht="12.75">
      <c r="D5" s="200"/>
      <c r="E5" s="228"/>
      <c r="F5" s="228" t="s">
        <v>253</v>
      </c>
      <c r="G5" s="228"/>
      <c r="H5" s="229">
        <v>36525</v>
      </c>
      <c r="I5" s="122" t="s">
        <v>254</v>
      </c>
      <c r="J5" s="2" t="s">
        <v>255</v>
      </c>
    </row>
    <row r="6" spans="4:10" ht="12.75">
      <c r="D6" s="202" t="s">
        <v>256</v>
      </c>
      <c r="E6" s="230" t="s">
        <v>170</v>
      </c>
      <c r="F6" s="230" t="s">
        <v>257</v>
      </c>
      <c r="G6" s="230"/>
      <c r="H6" s="230" t="s">
        <v>170</v>
      </c>
      <c r="I6" s="122" t="s">
        <v>258</v>
      </c>
      <c r="J6" s="2" t="s">
        <v>170</v>
      </c>
    </row>
    <row r="7" spans="1:10" ht="15">
      <c r="A7" s="231" t="s">
        <v>259</v>
      </c>
      <c r="D7" s="232">
        <v>36311</v>
      </c>
      <c r="E7" s="205">
        <v>25032747</v>
      </c>
      <c r="F7" s="205">
        <v>1534349</v>
      </c>
      <c r="G7" s="205"/>
      <c r="H7" s="205">
        <f>+E7+F7</f>
        <v>26567096</v>
      </c>
      <c r="I7" s="233">
        <f>2655000*0.475</f>
        <v>1261125</v>
      </c>
      <c r="J7" s="234">
        <f>+H7-I7</f>
        <v>25305971</v>
      </c>
    </row>
    <row r="8" ht="12.75">
      <c r="J8" s="8"/>
    </row>
    <row r="9" ht="12.75">
      <c r="J9" s="8"/>
    </row>
    <row r="10" spans="1:10" ht="15">
      <c r="A10" s="231" t="s">
        <v>260</v>
      </c>
      <c r="B10" s="231"/>
      <c r="J10" s="8"/>
    </row>
    <row r="11" ht="12.75">
      <c r="J11" s="8"/>
    </row>
    <row r="12" spans="1:10" ht="12.75">
      <c r="A12" t="s">
        <v>261</v>
      </c>
      <c r="J12" s="8"/>
    </row>
    <row r="13" ht="12.75">
      <c r="J13" s="235"/>
    </row>
    <row r="14" spans="1:10" ht="12.75">
      <c r="A14" t="s">
        <v>262</v>
      </c>
      <c r="D14" s="232">
        <v>36311</v>
      </c>
      <c r="E14" s="119">
        <v>4083827.614</v>
      </c>
      <c r="F14" s="119">
        <f>+H14-E14</f>
        <v>232130.38599999994</v>
      </c>
      <c r="H14" s="119">
        <v>4315958</v>
      </c>
      <c r="I14" s="119">
        <v>185850</v>
      </c>
      <c r="J14" s="235">
        <f>H14-I14</f>
        <v>4130108</v>
      </c>
    </row>
    <row r="15" ht="12.75">
      <c r="J15" s="235"/>
    </row>
    <row r="16" spans="1:10" ht="12.75">
      <c r="A16" t="s">
        <v>263</v>
      </c>
      <c r="D16" s="232">
        <v>36311</v>
      </c>
      <c r="E16" s="119">
        <v>1452004.542</v>
      </c>
      <c r="F16" s="119">
        <f>+H16-E16</f>
        <v>115431.4580000001</v>
      </c>
      <c r="H16" s="119">
        <v>1567436</v>
      </c>
      <c r="I16" s="119">
        <v>66375</v>
      </c>
      <c r="J16" s="235">
        <f>H16-I16</f>
        <v>1501061</v>
      </c>
    </row>
    <row r="17" ht="12.75">
      <c r="J17" s="235"/>
    </row>
    <row r="18" spans="1:10" ht="12.75">
      <c r="A18" t="s">
        <v>264</v>
      </c>
      <c r="D18" s="232">
        <v>36311</v>
      </c>
      <c r="E18" s="119">
        <v>4639704.48600001</v>
      </c>
      <c r="F18" s="119">
        <f>+H18-E18</f>
        <v>333141.5139999902</v>
      </c>
      <c r="H18" s="119">
        <v>4972846</v>
      </c>
      <c r="I18" s="119">
        <v>212400</v>
      </c>
      <c r="J18" s="235">
        <f>H18-I18</f>
        <v>4760446</v>
      </c>
    </row>
    <row r="19" ht="12.75">
      <c r="J19" s="8"/>
    </row>
    <row r="20" ht="12.75">
      <c r="J20" s="8"/>
    </row>
    <row r="21" spans="1:10" ht="12.75">
      <c r="A21" t="s">
        <v>265</v>
      </c>
      <c r="J21" s="8"/>
    </row>
    <row r="22" ht="12.75">
      <c r="J22" s="8"/>
    </row>
    <row r="23" spans="1:10" ht="12.75">
      <c r="A23" t="s">
        <v>266</v>
      </c>
      <c r="D23" s="232">
        <v>36311</v>
      </c>
      <c r="E23" s="205">
        <v>9968874</v>
      </c>
      <c r="F23" s="119">
        <f>+H23-E23</f>
        <v>668899</v>
      </c>
      <c r="H23" s="205">
        <v>10637773</v>
      </c>
      <c r="I23" s="205">
        <v>398250</v>
      </c>
      <c r="J23" s="235">
        <f>H23-I23</f>
        <v>10239523</v>
      </c>
    </row>
    <row r="24" ht="12.75">
      <c r="J24" s="8"/>
    </row>
    <row r="25" spans="1:10" ht="12.75">
      <c r="A25" t="s">
        <v>267</v>
      </c>
      <c r="D25" s="232">
        <v>36311</v>
      </c>
      <c r="E25" s="205">
        <v>4398399</v>
      </c>
      <c r="F25" s="119">
        <f>+H25-E25</f>
        <v>351871</v>
      </c>
      <c r="H25" s="205">
        <v>4750270</v>
      </c>
      <c r="I25" s="205">
        <v>212400</v>
      </c>
      <c r="J25" s="235">
        <f>H25-I25</f>
        <v>4537870</v>
      </c>
    </row>
    <row r="26" ht="12.75">
      <c r="J26" s="8"/>
    </row>
    <row r="27" spans="1:10" ht="12.75">
      <c r="A27" t="s">
        <v>268</v>
      </c>
      <c r="D27" s="232">
        <v>36311</v>
      </c>
      <c r="E27" s="205">
        <v>4430589</v>
      </c>
      <c r="F27" s="119">
        <f>+H27-E27</f>
        <v>349233</v>
      </c>
      <c r="H27" s="205">
        <v>4779822</v>
      </c>
      <c r="I27" s="205">
        <v>212400</v>
      </c>
      <c r="J27" s="235">
        <f>H27-I27</f>
        <v>4567422</v>
      </c>
    </row>
    <row r="28" ht="12.75">
      <c r="J28" s="8"/>
    </row>
    <row r="29" spans="1:10" ht="12.75">
      <c r="A29" t="s">
        <v>269</v>
      </c>
      <c r="D29" s="232">
        <v>36311</v>
      </c>
      <c r="E29" s="205">
        <v>2286462</v>
      </c>
      <c r="F29" s="119">
        <f>+H29-E29</f>
        <v>177782</v>
      </c>
      <c r="H29" s="205">
        <v>2464244</v>
      </c>
      <c r="I29" s="205">
        <v>106200</v>
      </c>
      <c r="J29" s="235">
        <f>H29-I29</f>
        <v>2358044</v>
      </c>
    </row>
    <row r="30" ht="12.75">
      <c r="J30" s="8"/>
    </row>
    <row r="31" ht="12.75">
      <c r="J31" s="234">
        <f>SUM(J7:J29)</f>
        <v>57400445</v>
      </c>
    </row>
    <row r="32" ht="12.75">
      <c r="J32" s="8"/>
    </row>
    <row r="33" ht="12.75">
      <c r="J33" s="8"/>
    </row>
    <row r="34" ht="12.75">
      <c r="J34" s="8"/>
    </row>
    <row r="35" ht="12.75">
      <c r="J35" s="8"/>
    </row>
  </sheetData>
  <printOptions/>
  <pageMargins left="0.75" right="0.75" top="1" bottom="1" header="0.5" footer="0.5"/>
  <pageSetup fitToHeight="1" fitToWidth="1" horizontalDpi="600" verticalDpi="600" orientation="landscape"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dimension ref="A2:AO115"/>
  <sheetViews>
    <sheetView workbookViewId="0" topLeftCell="A50">
      <selection activeCell="A1" sqref="A1"/>
    </sheetView>
  </sheetViews>
  <sheetFormatPr defaultColWidth="9.140625" defaultRowHeight="12.75" outlineLevelCol="1"/>
  <cols>
    <col min="1" max="1" width="4.57421875" style="122" customWidth="1"/>
    <col min="2" max="2" width="4.57421875" style="0" customWidth="1"/>
    <col min="3" max="3" width="5.00390625" style="0" customWidth="1"/>
    <col min="4" max="4" width="11.00390625" style="0" customWidth="1"/>
    <col min="5" max="5" width="24.8515625" style="0" customWidth="1"/>
    <col min="6" max="6" width="12.57421875" style="0" customWidth="1"/>
    <col min="7" max="7" width="10.7109375" style="0" customWidth="1"/>
    <col min="8" max="8" width="8.8515625" style="0" hidden="1" customWidth="1" outlineLevel="1"/>
    <col min="9" max="9" width="13.421875" style="0" hidden="1" customWidth="1" outlineLevel="1"/>
    <col min="10" max="10" width="9.140625" style="0" hidden="1" customWidth="1" outlineLevel="1"/>
    <col min="11" max="11" width="10.00390625" style="0" bestFit="1" customWidth="1" collapsed="1"/>
    <col min="12" max="20" width="9.28125" style="0" bestFit="1" customWidth="1"/>
    <col min="21" max="34" width="10.00390625" style="0" bestFit="1" customWidth="1"/>
    <col min="40" max="40" width="9.8515625" style="0" bestFit="1" customWidth="1"/>
  </cols>
  <sheetData>
    <row r="1" ht="12.75"/>
    <row r="2" spans="2:38" ht="23.25">
      <c r="B2" s="55" t="s">
        <v>84</v>
      </c>
      <c r="C2" s="56"/>
      <c r="D2" s="56"/>
      <c r="E2" s="57"/>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row>
    <row r="3" spans="2:38" ht="18.75">
      <c r="B3" s="86" t="s">
        <v>85</v>
      </c>
      <c r="C3" s="56"/>
      <c r="D3" s="56"/>
      <c r="E3" s="56"/>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row>
    <row r="4" spans="2:38" ht="18.75">
      <c r="B4" s="86" t="s">
        <v>86</v>
      </c>
      <c r="C4" s="56"/>
      <c r="D4" s="56"/>
      <c r="E4" s="56"/>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row>
    <row r="5" spans="2:38" ht="18.75">
      <c r="B5" s="86" t="s">
        <v>87</v>
      </c>
      <c r="C5" s="56"/>
      <c r="D5" s="56"/>
      <c r="E5" s="56"/>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row>
    <row r="6" spans="2:38" ht="18.75">
      <c r="B6" s="79" t="s">
        <v>88</v>
      </c>
      <c r="C6" s="58"/>
      <c r="D6" s="58"/>
      <c r="E6" s="58"/>
      <c r="F6" s="58"/>
      <c r="G6" s="58"/>
      <c r="H6" s="65"/>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row>
    <row r="7" spans="2:38" ht="12.75">
      <c r="B7" s="65" t="str">
        <f>IF(Inputs!E81="L","Centralia Dispatching Curve LOW",IF(Inputs!E81="M","Centralia Dispatching Curve MEDIUM",IF(Inputs!E81="H","Centralia Dispatching Curve HIGH")))</f>
        <v>Centralia Dispatching Curve MEDIUM</v>
      </c>
      <c r="C7" s="58"/>
      <c r="D7" s="58"/>
      <c r="E7" s="58"/>
      <c r="F7" s="58"/>
      <c r="G7" s="58"/>
      <c r="H7" s="65"/>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row>
    <row r="8" spans="2:40" ht="12.75">
      <c r="B8" s="58"/>
      <c r="C8" s="58"/>
      <c r="D8" s="58"/>
      <c r="E8" s="58"/>
      <c r="F8" s="58"/>
      <c r="G8" s="58"/>
      <c r="H8" s="65"/>
      <c r="I8" s="58"/>
      <c r="J8" s="58"/>
      <c r="K8" s="88">
        <f>2000</f>
        <v>2000</v>
      </c>
      <c r="L8" s="88">
        <f aca="true" t="shared" si="0" ref="L8:AN8">K8+1</f>
        <v>2001</v>
      </c>
      <c r="M8" s="88">
        <f t="shared" si="0"/>
        <v>2002</v>
      </c>
      <c r="N8" s="88">
        <f t="shared" si="0"/>
        <v>2003</v>
      </c>
      <c r="O8" s="88">
        <f t="shared" si="0"/>
        <v>2004</v>
      </c>
      <c r="P8" s="88">
        <f t="shared" si="0"/>
        <v>2005</v>
      </c>
      <c r="Q8" s="88">
        <f t="shared" si="0"/>
        <v>2006</v>
      </c>
      <c r="R8" s="88">
        <f t="shared" si="0"/>
        <v>2007</v>
      </c>
      <c r="S8" s="88">
        <f t="shared" si="0"/>
        <v>2008</v>
      </c>
      <c r="T8" s="88">
        <f t="shared" si="0"/>
        <v>2009</v>
      </c>
      <c r="U8" s="88">
        <f t="shared" si="0"/>
        <v>2010</v>
      </c>
      <c r="V8" s="88">
        <f t="shared" si="0"/>
        <v>2011</v>
      </c>
      <c r="W8" s="88">
        <f t="shared" si="0"/>
        <v>2012</v>
      </c>
      <c r="X8" s="88">
        <f t="shared" si="0"/>
        <v>2013</v>
      </c>
      <c r="Y8" s="88">
        <f t="shared" si="0"/>
        <v>2014</v>
      </c>
      <c r="Z8" s="88">
        <f t="shared" si="0"/>
        <v>2015</v>
      </c>
      <c r="AA8" s="88">
        <f t="shared" si="0"/>
        <v>2016</v>
      </c>
      <c r="AB8" s="88">
        <f t="shared" si="0"/>
        <v>2017</v>
      </c>
      <c r="AC8" s="88">
        <f t="shared" si="0"/>
        <v>2018</v>
      </c>
      <c r="AD8" s="88">
        <f t="shared" si="0"/>
        <v>2019</v>
      </c>
      <c r="AE8" s="88">
        <f t="shared" si="0"/>
        <v>2020</v>
      </c>
      <c r="AF8" s="88">
        <f t="shared" si="0"/>
        <v>2021</v>
      </c>
      <c r="AG8" s="88">
        <f t="shared" si="0"/>
        <v>2022</v>
      </c>
      <c r="AH8" s="88">
        <f t="shared" si="0"/>
        <v>2023</v>
      </c>
      <c r="AI8" s="88">
        <f t="shared" si="0"/>
        <v>2024</v>
      </c>
      <c r="AJ8" s="88">
        <f t="shared" si="0"/>
        <v>2025</v>
      </c>
      <c r="AK8" s="88">
        <f t="shared" si="0"/>
        <v>2026</v>
      </c>
      <c r="AL8" s="88">
        <f t="shared" si="0"/>
        <v>2027</v>
      </c>
      <c r="AM8" s="88">
        <f t="shared" si="0"/>
        <v>2028</v>
      </c>
      <c r="AN8" s="88">
        <f t="shared" si="0"/>
        <v>2029</v>
      </c>
    </row>
    <row r="9" spans="2:40" ht="12.75">
      <c r="B9" s="104" t="s">
        <v>108</v>
      </c>
      <c r="C9" s="105"/>
      <c r="D9" s="106"/>
      <c r="E9" s="106"/>
      <c r="F9" s="106"/>
      <c r="G9" s="107"/>
      <c r="H9" s="65"/>
      <c r="I9" s="58"/>
      <c r="J9" s="5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9"/>
      <c r="AN9" s="109"/>
    </row>
    <row r="10" spans="1:40" ht="12.75">
      <c r="A10" s="122">
        <v>1</v>
      </c>
      <c r="B10" s="110"/>
      <c r="C10" s="111" t="s">
        <v>109</v>
      </c>
      <c r="D10" s="112"/>
      <c r="E10" s="112"/>
      <c r="F10" s="112"/>
      <c r="G10" s="239"/>
      <c r="H10" s="65"/>
      <c r="I10" s="58"/>
      <c r="J10" s="58"/>
      <c r="K10" s="239">
        <f>(Inputs!J12+Inputs!J13)*Inputs!$G$7</f>
        <v>636.5</v>
      </c>
      <c r="L10" s="239">
        <f>(Inputs!K12+Inputs!K13)*Inputs!$G$7</f>
        <v>636.5</v>
      </c>
      <c r="M10" s="239">
        <f>(Inputs!L12+Inputs!L13)*Inputs!$G$7</f>
        <v>640.4092499999999</v>
      </c>
      <c r="N10" s="239">
        <f>(Inputs!M12+Inputs!M13)*Inputs!$G$7</f>
        <v>644.3185</v>
      </c>
      <c r="O10" s="239">
        <f>(Inputs!N12+Inputs!N13)*Inputs!$G$7</f>
        <v>644.3185</v>
      </c>
      <c r="P10" s="239">
        <f>(Inputs!O12+Inputs!O13)*Inputs!$G$7</f>
        <v>644.3185</v>
      </c>
      <c r="Q10" s="239">
        <f>(Inputs!P12+Inputs!P13)*Inputs!$G$7</f>
        <v>644.3185</v>
      </c>
      <c r="R10" s="239">
        <f>(Inputs!Q12+Inputs!Q13)*Inputs!$G$7</f>
        <v>644.3185</v>
      </c>
      <c r="S10" s="239">
        <f>(Inputs!R12+Inputs!R13)*Inputs!$G$7</f>
        <v>644.3185</v>
      </c>
      <c r="T10" s="239">
        <f>(Inputs!S12+Inputs!S13)*Inputs!$G$7</f>
        <v>644.3185</v>
      </c>
      <c r="U10" s="239">
        <f>(Inputs!T12+Inputs!T13)*Inputs!$G$7</f>
        <v>644.3185</v>
      </c>
      <c r="V10" s="239">
        <f>(Inputs!U12+Inputs!U13)*Inputs!$G$7</f>
        <v>644.3185</v>
      </c>
      <c r="W10" s="239">
        <f>(Inputs!V12+Inputs!V13)*Inputs!$G$7</f>
        <v>644.3185</v>
      </c>
      <c r="X10" s="239">
        <f>(Inputs!W12+Inputs!W13)*Inputs!$G$7</f>
        <v>644.3185</v>
      </c>
      <c r="Y10" s="239">
        <f>(Inputs!X12+Inputs!X13)*Inputs!$G$7</f>
        <v>644.3185</v>
      </c>
      <c r="Z10" s="239">
        <f>(Inputs!Y12+Inputs!Y13)*Inputs!$G$7</f>
        <v>644.3185</v>
      </c>
      <c r="AA10" s="239">
        <f>(Inputs!Z12+Inputs!Z13)*Inputs!$G$7</f>
        <v>644.3185</v>
      </c>
      <c r="AB10" s="239">
        <f>(Inputs!AA12+Inputs!AA13)*Inputs!$G$7</f>
        <v>644.3185</v>
      </c>
      <c r="AC10" s="239">
        <f>(Inputs!AB12+Inputs!AB13)*Inputs!$G$7</f>
        <v>644.3185</v>
      </c>
      <c r="AD10" s="239">
        <f>(Inputs!AC12+Inputs!AC13)*Inputs!$G$7</f>
        <v>644.3185</v>
      </c>
      <c r="AE10" s="239">
        <f>(Inputs!AD12+Inputs!AD13)*Inputs!$G$7</f>
        <v>644.3185</v>
      </c>
      <c r="AF10" s="239">
        <f>(Inputs!AE12+Inputs!AE13)*Inputs!$G$7</f>
        <v>644.3185</v>
      </c>
      <c r="AG10" s="239">
        <f>(Inputs!AF12+Inputs!AF13)*Inputs!$G$7</f>
        <v>644.3185</v>
      </c>
      <c r="AH10" s="239">
        <f>(Inputs!AG12+Inputs!AG13)*Inputs!$G$7</f>
        <v>644.3185</v>
      </c>
      <c r="AI10" s="239">
        <f>(Inputs!AH12+Inputs!AH13)*Inputs!$G$7</f>
        <v>0</v>
      </c>
      <c r="AJ10" s="239">
        <f>(Inputs!AI12+Inputs!AI13)*Inputs!$G$7</f>
        <v>0</v>
      </c>
      <c r="AK10" s="239">
        <f>(Inputs!AJ12+Inputs!AJ13)*Inputs!$G$7</f>
        <v>0</v>
      </c>
      <c r="AL10" s="239">
        <f>(Inputs!AK12+Inputs!AK13)*Inputs!$G$7</f>
        <v>0</v>
      </c>
      <c r="AM10" s="239">
        <f>(Inputs!AL12+Inputs!AL13)*Inputs!$G$7</f>
        <v>0</v>
      </c>
      <c r="AN10" s="239">
        <f>(Inputs!AM12+Inputs!AM13)*Inputs!$G$7</f>
        <v>0</v>
      </c>
    </row>
    <row r="11" spans="1:40" ht="12.75">
      <c r="A11" s="122">
        <f aca="true" t="shared" si="1" ref="A11:A68">A10+1</f>
        <v>2</v>
      </c>
      <c r="B11" s="110"/>
      <c r="C11" s="113" t="s">
        <v>110</v>
      </c>
      <c r="D11" s="112"/>
      <c r="E11" s="114"/>
      <c r="F11" s="114"/>
      <c r="G11" s="240"/>
      <c r="H11" s="65"/>
      <c r="I11" s="58"/>
      <c r="J11" s="58"/>
      <c r="K11" s="240">
        <f>-Inputs!J13*Inputs!$G$7</f>
        <v>0</v>
      </c>
      <c r="L11" s="240">
        <f>-Inputs!K13*Inputs!$G$7</f>
        <v>0</v>
      </c>
      <c r="M11" s="240">
        <f>-Inputs!L13*Inputs!$G$7</f>
        <v>-3.90925</v>
      </c>
      <c r="N11" s="240">
        <f>-Inputs!M13*Inputs!$G$7</f>
        <v>-7.8185</v>
      </c>
      <c r="O11" s="240">
        <f>-Inputs!N13*Inputs!$G$7</f>
        <v>-7.8185</v>
      </c>
      <c r="P11" s="240">
        <f>-Inputs!O13*Inputs!$G$7</f>
        <v>-7.8185</v>
      </c>
      <c r="Q11" s="240">
        <f>-Inputs!P13*Inputs!$G$7</f>
        <v>-7.8185</v>
      </c>
      <c r="R11" s="240">
        <f>-Inputs!Q13*Inputs!$G$7</f>
        <v>-7.8185</v>
      </c>
      <c r="S11" s="240">
        <f>-Inputs!R13*Inputs!$G$7</f>
        <v>-7.8185</v>
      </c>
      <c r="T11" s="240">
        <f>-Inputs!S13*Inputs!$G$7</f>
        <v>-7.8185</v>
      </c>
      <c r="U11" s="240">
        <f>-Inputs!T13*Inputs!$G$7</f>
        <v>-7.8185</v>
      </c>
      <c r="V11" s="240">
        <f>-Inputs!U13*Inputs!$G$7</f>
        <v>-7.8185</v>
      </c>
      <c r="W11" s="240">
        <f>-Inputs!V13*Inputs!$G$7</f>
        <v>-7.8185</v>
      </c>
      <c r="X11" s="240">
        <f>-Inputs!W13*Inputs!$G$7</f>
        <v>-7.8185</v>
      </c>
      <c r="Y11" s="240">
        <f>-Inputs!X13*Inputs!$G$7</f>
        <v>-7.8185</v>
      </c>
      <c r="Z11" s="240">
        <f>-Inputs!Y13*Inputs!$G$7</f>
        <v>-7.8185</v>
      </c>
      <c r="AA11" s="240">
        <f>-Inputs!Z13*Inputs!$G$7</f>
        <v>-7.8185</v>
      </c>
      <c r="AB11" s="240">
        <f>-Inputs!AA13*Inputs!$G$7</f>
        <v>-7.8185</v>
      </c>
      <c r="AC11" s="240">
        <f>-Inputs!AB13*Inputs!$G$7</f>
        <v>-7.8185</v>
      </c>
      <c r="AD11" s="240">
        <f>-Inputs!AC13*Inputs!$G$7</f>
        <v>-7.8185</v>
      </c>
      <c r="AE11" s="240">
        <f>-Inputs!AD13*Inputs!$G$7</f>
        <v>-7.8185</v>
      </c>
      <c r="AF11" s="240">
        <f>-Inputs!AE13*Inputs!$G$7</f>
        <v>-7.8185</v>
      </c>
      <c r="AG11" s="240">
        <f>-Inputs!AF13*Inputs!$G$7</f>
        <v>-7.8185</v>
      </c>
      <c r="AH11" s="240">
        <f>-Inputs!AG13*Inputs!$G$7</f>
        <v>-7.8185</v>
      </c>
      <c r="AI11" s="240">
        <f>-Inputs!AH13*Inputs!$G$7</f>
        <v>0</v>
      </c>
      <c r="AJ11" s="240">
        <f>-Inputs!AI13*Inputs!$G$7</f>
        <v>0</v>
      </c>
      <c r="AK11" s="240">
        <f>-Inputs!AJ13*Inputs!$G$7</f>
        <v>0</v>
      </c>
      <c r="AL11" s="240">
        <f>-Inputs!AK13*Inputs!$G$7</f>
        <v>0</v>
      </c>
      <c r="AM11" s="240">
        <f>-Inputs!AL13*Inputs!$G$7</f>
        <v>0</v>
      </c>
      <c r="AN11" s="240">
        <f>-Inputs!AM13*Inputs!$G$7</f>
        <v>0</v>
      </c>
    </row>
    <row r="12" spans="1:40" ht="12.75">
      <c r="A12" s="122">
        <f t="shared" si="1"/>
        <v>3</v>
      </c>
      <c r="B12" s="110"/>
      <c r="C12" s="111"/>
      <c r="D12" s="115" t="s">
        <v>111</v>
      </c>
      <c r="E12" s="112"/>
      <c r="F12" s="112"/>
      <c r="G12" s="121"/>
      <c r="H12" s="65"/>
      <c r="I12" s="58"/>
      <c r="J12" s="58"/>
      <c r="K12" s="121">
        <f aca="true" t="shared" si="2" ref="K12:AN12">K10+K11</f>
        <v>636.5</v>
      </c>
      <c r="L12" s="121">
        <f t="shared" si="2"/>
        <v>636.5</v>
      </c>
      <c r="M12" s="121">
        <f t="shared" si="2"/>
        <v>636.4999999999999</v>
      </c>
      <c r="N12" s="121">
        <f t="shared" si="2"/>
        <v>636.5</v>
      </c>
      <c r="O12" s="121">
        <f t="shared" si="2"/>
        <v>636.5</v>
      </c>
      <c r="P12" s="121">
        <f t="shared" si="2"/>
        <v>636.5</v>
      </c>
      <c r="Q12" s="121">
        <f t="shared" si="2"/>
        <v>636.5</v>
      </c>
      <c r="R12" s="121">
        <f t="shared" si="2"/>
        <v>636.5</v>
      </c>
      <c r="S12" s="121">
        <f t="shared" si="2"/>
        <v>636.5</v>
      </c>
      <c r="T12" s="121">
        <f t="shared" si="2"/>
        <v>636.5</v>
      </c>
      <c r="U12" s="121">
        <f t="shared" si="2"/>
        <v>636.5</v>
      </c>
      <c r="V12" s="121">
        <f t="shared" si="2"/>
        <v>636.5</v>
      </c>
      <c r="W12" s="121">
        <f t="shared" si="2"/>
        <v>636.5</v>
      </c>
      <c r="X12" s="121">
        <f t="shared" si="2"/>
        <v>636.5</v>
      </c>
      <c r="Y12" s="121">
        <f t="shared" si="2"/>
        <v>636.5</v>
      </c>
      <c r="Z12" s="121">
        <f t="shared" si="2"/>
        <v>636.5</v>
      </c>
      <c r="AA12" s="121">
        <f t="shared" si="2"/>
        <v>636.5</v>
      </c>
      <c r="AB12" s="121">
        <f t="shared" si="2"/>
        <v>636.5</v>
      </c>
      <c r="AC12" s="121">
        <f t="shared" si="2"/>
        <v>636.5</v>
      </c>
      <c r="AD12" s="121">
        <f t="shared" si="2"/>
        <v>636.5</v>
      </c>
      <c r="AE12" s="121">
        <f t="shared" si="2"/>
        <v>636.5</v>
      </c>
      <c r="AF12" s="121">
        <f t="shared" si="2"/>
        <v>636.5</v>
      </c>
      <c r="AG12" s="121">
        <f t="shared" si="2"/>
        <v>636.5</v>
      </c>
      <c r="AH12" s="121">
        <f t="shared" si="2"/>
        <v>636.5</v>
      </c>
      <c r="AI12" s="121">
        <f t="shared" si="2"/>
        <v>0</v>
      </c>
      <c r="AJ12" s="121">
        <f t="shared" si="2"/>
        <v>0</v>
      </c>
      <c r="AK12" s="121">
        <f t="shared" si="2"/>
        <v>0</v>
      </c>
      <c r="AL12" s="121">
        <f t="shared" si="2"/>
        <v>0</v>
      </c>
      <c r="AM12" s="121">
        <f t="shared" si="2"/>
        <v>0</v>
      </c>
      <c r="AN12" s="121">
        <f t="shared" si="2"/>
        <v>0</v>
      </c>
    </row>
    <row r="13" spans="1:40" ht="12.75">
      <c r="A13" s="122">
        <f t="shared" si="1"/>
        <v>4</v>
      </c>
      <c r="B13" s="110"/>
      <c r="C13" s="111" t="s">
        <v>112</v>
      </c>
      <c r="D13" s="112"/>
      <c r="E13" s="112"/>
      <c r="F13" s="112"/>
      <c r="G13" s="241"/>
      <c r="H13" s="65"/>
      <c r="I13" s="58"/>
      <c r="J13" s="58"/>
      <c r="K13" s="241">
        <f>IF(K12=0,0,Inputs!J14*(K10/K12))</f>
        <v>10358</v>
      </c>
      <c r="L13" s="241">
        <f>IF(L12=0,0,Inputs!K14*(L10/L12))</f>
        <v>10358</v>
      </c>
      <c r="M13" s="241">
        <f>IF(M12=0,0,Inputs!L14*(M10/M12))</f>
        <v>10421.61667164179</v>
      </c>
      <c r="N13" s="241">
        <f>IF(N12=0,0,Inputs!M14*(N10/N12))</f>
        <v>10485.233343283582</v>
      </c>
      <c r="O13" s="241">
        <f>IF(O12=0,0,Inputs!N14*(O10/O12))</f>
        <v>10485.233343283582</v>
      </c>
      <c r="P13" s="241">
        <f>IF(P12=0,0,Inputs!O14*(P10/P12))</f>
        <v>10485.233343283582</v>
      </c>
      <c r="Q13" s="241">
        <f>IF(Q12=0,0,Inputs!P14*(Q10/Q12))</f>
        <v>10485.233343283582</v>
      </c>
      <c r="R13" s="241">
        <f>IF(R12=0,0,Inputs!Q14*(R10/R12))</f>
        <v>10485.233343283582</v>
      </c>
      <c r="S13" s="241">
        <f>IF(S12=0,0,Inputs!R14*(S10/S12))</f>
        <v>10485.233343283582</v>
      </c>
      <c r="T13" s="241">
        <f>IF(T12=0,0,Inputs!S14*(T10/T12))</f>
        <v>10485.233343283582</v>
      </c>
      <c r="U13" s="241">
        <f>IF(U12=0,0,Inputs!T14*(U10/U12))</f>
        <v>10485.233343283582</v>
      </c>
      <c r="V13" s="241">
        <f>IF(V12=0,0,Inputs!U14*(V10/V12))</f>
        <v>10485.233343283582</v>
      </c>
      <c r="W13" s="241">
        <f>IF(W12=0,0,Inputs!V14*(W10/W12))</f>
        <v>10485.233343283582</v>
      </c>
      <c r="X13" s="241">
        <f>IF(X12=0,0,Inputs!W14*(X10/X12))</f>
        <v>10485.233343283582</v>
      </c>
      <c r="Y13" s="241">
        <f>IF(Y12=0,0,Inputs!X14*(Y10/Y12))</f>
        <v>10485.233343283582</v>
      </c>
      <c r="Z13" s="241">
        <f>IF(Z12=0,0,Inputs!Y14*(Z10/Z12))</f>
        <v>10485.233343283582</v>
      </c>
      <c r="AA13" s="241">
        <f>IF(AA12=0,0,Inputs!Z14*(AA10/AA12))</f>
        <v>10485.233343283582</v>
      </c>
      <c r="AB13" s="241">
        <f>IF(AB12=0,0,Inputs!AA14*(AB10/AB12))</f>
        <v>10485.233343283582</v>
      </c>
      <c r="AC13" s="241">
        <f>IF(AC12=0,0,Inputs!AB14*(AC10/AC12))</f>
        <v>10485.233343283582</v>
      </c>
      <c r="AD13" s="241">
        <f>IF(AD12=0,0,Inputs!AC14*(AD10/AD12))</f>
        <v>10485.233343283582</v>
      </c>
      <c r="AE13" s="241">
        <f>IF(AE12=0,0,Inputs!AD14*(AE10/AE12))</f>
        <v>10485.233343283582</v>
      </c>
      <c r="AF13" s="241">
        <f>IF(AF12=0,0,Inputs!AE14*(AF10/AF12))</f>
        <v>10485.233343283582</v>
      </c>
      <c r="AG13" s="241">
        <f>IF(AG12=0,0,Inputs!AF14*(AG10/AG12))</f>
        <v>10485.233343283582</v>
      </c>
      <c r="AH13" s="241">
        <f>IF(AH12=0,0,Inputs!AG14*(AH10/AH12))</f>
        <v>10485.233343283582</v>
      </c>
      <c r="AI13" s="241">
        <f>IF(AI12=0,0,Inputs!AH14*(AI10/AI12))</f>
        <v>0</v>
      </c>
      <c r="AJ13" s="241">
        <f>IF(AJ12=0,0,Inputs!AI14*(AJ10/AJ12))</f>
        <v>0</v>
      </c>
      <c r="AK13" s="241">
        <f>IF(AK12=0,0,Inputs!AJ14*(AK10/AK12))</f>
        <v>0</v>
      </c>
      <c r="AL13" s="241">
        <f>IF(AL12=0,0,Inputs!AK14*(AL10/AL12))</f>
        <v>0</v>
      </c>
      <c r="AM13" s="241">
        <f>IF(AM12=0,0,Inputs!AL14*(AM10/AM12))</f>
        <v>0</v>
      </c>
      <c r="AN13" s="241">
        <f>IF(AN12=0,0,Inputs!AM14*(AN10/AN12))</f>
        <v>0</v>
      </c>
    </row>
    <row r="14" spans="1:40" ht="15.75">
      <c r="A14" s="122">
        <f t="shared" si="1"/>
        <v>5</v>
      </c>
      <c r="B14" s="116"/>
      <c r="C14" s="111" t="s">
        <v>113</v>
      </c>
      <c r="D14" s="111"/>
      <c r="E14" s="111"/>
      <c r="F14" s="112"/>
      <c r="G14" s="242"/>
      <c r="H14" s="65"/>
      <c r="I14" s="58"/>
      <c r="J14" s="58"/>
      <c r="K14" s="242">
        <f>IF(Inputs!$E$81="L",Inputs!J17,IF(Inputs!$E$81="M",Inputs!J16,IF(Inputs!$E$81="H",Inputs!J15)))</f>
        <v>0.6946292341712662</v>
      </c>
      <c r="L14" s="242">
        <f>IF(Inputs!$E$81="L",Inputs!K17,IF(Inputs!$E$81="M",Inputs!K16,IF(Inputs!$E$81="H",Inputs!K15)))</f>
        <v>0.6953690708867518</v>
      </c>
      <c r="M14" s="242">
        <f>IF(Inputs!$E$81="L",Inputs!L17,IF(Inputs!$E$81="M",Inputs!L16,IF(Inputs!$E$81="H",Inputs!L15)))</f>
        <v>0.6936633790528343</v>
      </c>
      <c r="N14" s="242">
        <f>IF(Inputs!$E$81="L",Inputs!M17,IF(Inputs!$E$81="M",Inputs!M16,IF(Inputs!$E$81="H",Inputs!M15)))</f>
        <v>0.6983596371140175</v>
      </c>
      <c r="O14" s="242">
        <f>IF(Inputs!$E$81="L",Inputs!N17,IF(Inputs!$E$81="M",Inputs!N16,IF(Inputs!$E$81="H",Inputs!N15)))</f>
        <v>0.6940868503845057</v>
      </c>
      <c r="P14" s="242">
        <f>IF(Inputs!$E$81="L",Inputs!O17,IF(Inputs!$E$81="M",Inputs!O16,IF(Inputs!$E$81="H",Inputs!O15)))</f>
        <v>0.6896358368562892</v>
      </c>
      <c r="Q14" s="242">
        <f>IF(Inputs!$E$81="L",Inputs!P17,IF(Inputs!$E$81="M",Inputs!P16,IF(Inputs!$E$81="H",Inputs!P15)))</f>
        <v>0.7134348030732229</v>
      </c>
      <c r="R14" s="242">
        <f>IF(Inputs!$E$81="L",Inputs!Q17,IF(Inputs!$E$81="M",Inputs!Q16,IF(Inputs!$E$81="H",Inputs!Q15)))</f>
        <v>0.7107005659689637</v>
      </c>
      <c r="S14" s="242">
        <f>IF(Inputs!$E$81="L",Inputs!R17,IF(Inputs!$E$81="M",Inputs!R16,IF(Inputs!$E$81="H",Inputs!R15)))</f>
        <v>0.7203665255037728</v>
      </c>
      <c r="T14" s="242">
        <f>IF(Inputs!$E$81="L",Inputs!S17,IF(Inputs!$E$81="M",Inputs!S16,IF(Inputs!$E$81="H",Inputs!S15)))</f>
        <v>0.7221473026068439</v>
      </c>
      <c r="U14" s="242">
        <f>IF(Inputs!$E$81="L",Inputs!T17,IF(Inputs!$E$81="M",Inputs!T16,IF(Inputs!$E$81="H",Inputs!T15)))</f>
        <v>0.7312095864580732</v>
      </c>
      <c r="V14" s="242">
        <f>IF(Inputs!$E$81="L",Inputs!U17,IF(Inputs!$E$81="M",Inputs!U16,IF(Inputs!$E$81="H",Inputs!U15)))</f>
        <v>0.7410189737363996</v>
      </c>
      <c r="W14" s="242">
        <f>IF(Inputs!$E$81="L",Inputs!V17,IF(Inputs!$E$81="M",Inputs!V16,IF(Inputs!$E$81="H",Inputs!V15)))</f>
        <v>0.7540465551330972</v>
      </c>
      <c r="X14" s="242">
        <f>IF(Inputs!$E$81="L",Inputs!W17,IF(Inputs!$E$81="M",Inputs!W16,IF(Inputs!$E$81="H",Inputs!W15)))</f>
        <v>0.7561572802493478</v>
      </c>
      <c r="Y14" s="242">
        <f>IF(Inputs!$E$81="L",Inputs!X17,IF(Inputs!$E$81="M",Inputs!X16,IF(Inputs!$E$81="H",Inputs!X15)))</f>
        <v>0.7562112725978608</v>
      </c>
      <c r="Z14" s="242">
        <f>IF(Inputs!$E$81="L",Inputs!Y17,IF(Inputs!$E$81="M",Inputs!Y16,IF(Inputs!$E$81="H",Inputs!Y15)))</f>
        <v>0.7562862520054301</v>
      </c>
      <c r="AA14" s="242">
        <f>IF(Inputs!$E$81="L",Inputs!Z17,IF(Inputs!$E$81="M",Inputs!Z16,IF(Inputs!$E$81="H",Inputs!Z15)))</f>
        <v>0.7562307589709419</v>
      </c>
      <c r="AB14" s="242">
        <f>IF(Inputs!$E$81="L",Inputs!AA17,IF(Inputs!$E$81="M",Inputs!AA16,IF(Inputs!$E$81="H",Inputs!AA15)))</f>
        <v>0.7586339325945889</v>
      </c>
      <c r="AC14" s="242">
        <f>IF(Inputs!$E$81="L",Inputs!AB17,IF(Inputs!$E$81="M",Inputs!AB16,IF(Inputs!$E$81="H",Inputs!AB15)))</f>
        <v>0.7595315329665441</v>
      </c>
      <c r="AD14" s="242">
        <f>IF(Inputs!$E$81="L",Inputs!AC17,IF(Inputs!$E$81="M",Inputs!AC16,IF(Inputs!$E$81="H",Inputs!AC15)))</f>
        <v>0.7595315329665441</v>
      </c>
      <c r="AE14" s="242">
        <f>IF(Inputs!$E$81="L",Inputs!AD17,IF(Inputs!$E$81="M",Inputs!AD16,IF(Inputs!$E$81="H",Inputs!AD15)))</f>
        <v>0.7595315329665441</v>
      </c>
      <c r="AF14" s="242">
        <f>IF(Inputs!$E$81="L",Inputs!AE17,IF(Inputs!$E$81="M",Inputs!AE16,IF(Inputs!$E$81="H",Inputs!AE15)))</f>
        <v>0.7595315329665441</v>
      </c>
      <c r="AG14" s="242">
        <f>IF(Inputs!$E$81="L",Inputs!AF17,IF(Inputs!$E$81="M",Inputs!AF16,IF(Inputs!$E$81="H",Inputs!AF15)))</f>
        <v>0.7595315329665441</v>
      </c>
      <c r="AH14" s="242">
        <f>IF(Inputs!$E$81="L",Inputs!AG17,IF(Inputs!$E$81="M",Inputs!AG16,IF(Inputs!$E$81="H",Inputs!AG15)))</f>
        <v>0.7595315329665441</v>
      </c>
      <c r="AI14" s="242">
        <f>IF(Inputs!$E$81="L",Inputs!AH17,IF(Inputs!$E$81="M",Inputs!AH16,IF(Inputs!$E$81="H",Inputs!AH15)))</f>
        <v>0</v>
      </c>
      <c r="AJ14" s="242">
        <f>IF(Inputs!$E$81="L",Inputs!AI17,IF(Inputs!$E$81="M",Inputs!AI16,IF(Inputs!$E$81="H",Inputs!AI15)))</f>
        <v>0</v>
      </c>
      <c r="AK14" s="242">
        <f>IF(Inputs!$E$81="L",Inputs!AJ17,IF(Inputs!$E$81="M",Inputs!AJ16,IF(Inputs!$E$81="H",Inputs!AJ15)))</f>
        <v>0</v>
      </c>
      <c r="AL14" s="242">
        <f>IF(Inputs!$E$81="L",Inputs!AK17,IF(Inputs!$E$81="M",Inputs!AK16,IF(Inputs!$E$81="H",Inputs!AK15)))</f>
        <v>0</v>
      </c>
      <c r="AM14" s="242">
        <f>IF(Inputs!$E$81="L",Inputs!AL17,IF(Inputs!$E$81="M",Inputs!AL16,IF(Inputs!$E$81="H",Inputs!AL15)))</f>
        <v>0</v>
      </c>
      <c r="AN14" s="242">
        <f>IF(Inputs!$E$81="L",Inputs!AM17,IF(Inputs!$E$81="M",Inputs!AM16,IF(Inputs!$E$81="H",Inputs!AM15)))</f>
        <v>0</v>
      </c>
    </row>
    <row r="15" spans="1:40" ht="12.75">
      <c r="A15" s="122">
        <f t="shared" si="1"/>
        <v>6</v>
      </c>
      <c r="B15" s="105"/>
      <c r="C15" s="111" t="s">
        <v>114</v>
      </c>
      <c r="D15" s="111"/>
      <c r="E15" s="111"/>
      <c r="F15" s="112"/>
      <c r="G15" s="620"/>
      <c r="H15" s="65"/>
      <c r="I15" s="58"/>
      <c r="J15" s="58"/>
      <c r="K15" s="620">
        <f>K$12*8760*K$13*K$14/1000</f>
        <v>40117279.8395784</v>
      </c>
      <c r="L15" s="620">
        <f aca="true" t="shared" si="3" ref="L15:AN15">L$12*8760*L$13*L$14/1000</f>
        <v>40160008.010364555</v>
      </c>
      <c r="M15" s="620">
        <f t="shared" si="3"/>
        <v>40307547.663155876</v>
      </c>
      <c r="N15" s="620">
        <f t="shared" si="3"/>
        <v>40828154.04431958</v>
      </c>
      <c r="O15" s="620">
        <f t="shared" si="3"/>
        <v>40578354.39164786</v>
      </c>
      <c r="P15" s="620">
        <f t="shared" si="3"/>
        <v>40318135.07723507</v>
      </c>
      <c r="Q15" s="620">
        <f t="shared" si="3"/>
        <v>41709492.49132612</v>
      </c>
      <c r="R15" s="620">
        <f t="shared" si="3"/>
        <v>41549640.96533055</v>
      </c>
      <c r="S15" s="620">
        <f t="shared" si="3"/>
        <v>42114741.32895439</v>
      </c>
      <c r="T15" s="620">
        <f t="shared" si="3"/>
        <v>42218850.78491213</v>
      </c>
      <c r="U15" s="620">
        <f t="shared" si="3"/>
        <v>42748658.49630902</v>
      </c>
      <c r="V15" s="620">
        <f t="shared" si="3"/>
        <v>43322144.06677379</v>
      </c>
      <c r="W15" s="620">
        <f t="shared" si="3"/>
        <v>44083774.7106743</v>
      </c>
      <c r="X15" s="620">
        <f t="shared" si="3"/>
        <v>44207173.89586723</v>
      </c>
      <c r="Y15" s="620">
        <f t="shared" si="3"/>
        <v>44210330.44702677</v>
      </c>
      <c r="Z15" s="620">
        <f t="shared" si="3"/>
        <v>44214713.963254936</v>
      </c>
      <c r="AA15" s="620">
        <f t="shared" si="3"/>
        <v>44211469.677588835</v>
      </c>
      <c r="AB15" s="620">
        <f t="shared" si="3"/>
        <v>44351966.26084926</v>
      </c>
      <c r="AC15" s="620">
        <f t="shared" si="3"/>
        <v>44404442.61301627</v>
      </c>
      <c r="AD15" s="620">
        <f t="shared" si="3"/>
        <v>44404442.61301627</v>
      </c>
      <c r="AE15" s="620">
        <f t="shared" si="3"/>
        <v>44404442.61301627</v>
      </c>
      <c r="AF15" s="620">
        <f t="shared" si="3"/>
        <v>44404442.61301627</v>
      </c>
      <c r="AG15" s="620">
        <f t="shared" si="3"/>
        <v>44404442.61301627</v>
      </c>
      <c r="AH15" s="620">
        <f t="shared" si="3"/>
        <v>44404442.61301627</v>
      </c>
      <c r="AI15" s="123">
        <f t="shared" si="3"/>
        <v>0</v>
      </c>
      <c r="AJ15" s="123">
        <f t="shared" si="3"/>
        <v>0</v>
      </c>
      <c r="AK15" s="123">
        <f t="shared" si="3"/>
        <v>0</v>
      </c>
      <c r="AL15" s="123">
        <f t="shared" si="3"/>
        <v>0</v>
      </c>
      <c r="AM15" s="123">
        <f t="shared" si="3"/>
        <v>0</v>
      </c>
      <c r="AN15" s="123">
        <f t="shared" si="3"/>
        <v>0</v>
      </c>
    </row>
    <row r="16" spans="1:40" ht="15.75">
      <c r="A16" s="122">
        <f t="shared" si="1"/>
        <v>7</v>
      </c>
      <c r="B16" s="116"/>
      <c r="C16" s="111" t="s">
        <v>115</v>
      </c>
      <c r="D16" s="111"/>
      <c r="E16" s="111"/>
      <c r="F16" s="112"/>
      <c r="G16" s="123"/>
      <c r="H16" s="65"/>
      <c r="I16" s="58"/>
      <c r="J16" s="58"/>
      <c r="K16" s="123">
        <f aca="true" t="shared" si="4" ref="K16:AN16">K10*8760*K$14</f>
        <v>3873072.0061380956</v>
      </c>
      <c r="L16" s="123">
        <f t="shared" si="4"/>
        <v>3877197.1433060975</v>
      </c>
      <c r="M16" s="123">
        <f t="shared" si="4"/>
        <v>3891441.1723456155</v>
      </c>
      <c r="N16" s="123">
        <f t="shared" si="4"/>
        <v>3941702.456489629</v>
      </c>
      <c r="O16" s="123">
        <f t="shared" si="4"/>
        <v>3917585.8651909493</v>
      </c>
      <c r="P16" s="123">
        <f t="shared" si="4"/>
        <v>3892463.320837523</v>
      </c>
      <c r="Q16" s="123">
        <f t="shared" si="4"/>
        <v>4026790.161356065</v>
      </c>
      <c r="R16" s="123">
        <f t="shared" si="4"/>
        <v>4011357.4981010375</v>
      </c>
      <c r="S16" s="123">
        <f t="shared" si="4"/>
        <v>4065914.3974661506</v>
      </c>
      <c r="T16" s="123">
        <f t="shared" si="4"/>
        <v>4075965.5131214643</v>
      </c>
      <c r="U16" s="123">
        <f t="shared" si="4"/>
        <v>4127115.1280468255</v>
      </c>
      <c r="V16" s="123">
        <f t="shared" si="4"/>
        <v>4182481.566593337</v>
      </c>
      <c r="W16" s="123">
        <f t="shared" si="4"/>
        <v>4256012.233121674</v>
      </c>
      <c r="X16" s="123">
        <f t="shared" si="4"/>
        <v>4267925.651271213</v>
      </c>
      <c r="Y16" s="123">
        <f t="shared" si="4"/>
        <v>4268230.3965077</v>
      </c>
      <c r="Z16" s="123">
        <f t="shared" si="4"/>
        <v>4268653.597533784</v>
      </c>
      <c r="AA16" s="123">
        <f t="shared" si="4"/>
        <v>4268340.382080405</v>
      </c>
      <c r="AB16" s="123">
        <f t="shared" si="4"/>
        <v>4281904.446886392</v>
      </c>
      <c r="AC16" s="123">
        <f t="shared" si="4"/>
        <v>4286970.709887649</v>
      </c>
      <c r="AD16" s="123">
        <f t="shared" si="4"/>
        <v>4286970.709887649</v>
      </c>
      <c r="AE16" s="123">
        <f t="shared" si="4"/>
        <v>4286970.709887649</v>
      </c>
      <c r="AF16" s="123">
        <f t="shared" si="4"/>
        <v>4286970.709887649</v>
      </c>
      <c r="AG16" s="123">
        <f t="shared" si="4"/>
        <v>4286970.709887649</v>
      </c>
      <c r="AH16" s="123">
        <f t="shared" si="4"/>
        <v>4286970.709887649</v>
      </c>
      <c r="AI16" s="123">
        <f t="shared" si="4"/>
        <v>0</v>
      </c>
      <c r="AJ16" s="123">
        <f t="shared" si="4"/>
        <v>0</v>
      </c>
      <c r="AK16" s="123">
        <f t="shared" si="4"/>
        <v>0</v>
      </c>
      <c r="AL16" s="123">
        <f t="shared" si="4"/>
        <v>0</v>
      </c>
      <c r="AM16" s="123">
        <f t="shared" si="4"/>
        <v>0</v>
      </c>
      <c r="AN16" s="123">
        <f t="shared" si="4"/>
        <v>0</v>
      </c>
    </row>
    <row r="17" spans="1:40" ht="12.75">
      <c r="A17" s="122">
        <f t="shared" si="1"/>
        <v>8</v>
      </c>
      <c r="B17" s="105"/>
      <c r="C17" s="111" t="s">
        <v>110</v>
      </c>
      <c r="D17" s="111"/>
      <c r="E17" s="111"/>
      <c r="F17" s="111"/>
      <c r="G17" s="124"/>
      <c r="H17" s="65"/>
      <c r="I17" s="58"/>
      <c r="J17" s="58"/>
      <c r="K17" s="124">
        <f aca="true" t="shared" si="5" ref="K17:AN17">K11*8760*K$14</f>
        <v>0</v>
      </c>
      <c r="L17" s="124">
        <f t="shared" si="5"/>
        <v>0</v>
      </c>
      <c r="M17" s="124">
        <f t="shared" si="5"/>
        <v>-23754.52322556568</v>
      </c>
      <c r="N17" s="124">
        <f t="shared" si="5"/>
        <v>-47830.69344751728</v>
      </c>
      <c r="O17" s="124">
        <f t="shared" si="5"/>
        <v>-47538.050028045815</v>
      </c>
      <c r="P17" s="124">
        <f t="shared" si="5"/>
        <v>-47233.199844437455</v>
      </c>
      <c r="Q17" s="124">
        <f t="shared" si="5"/>
        <v>-48863.19246857322</v>
      </c>
      <c r="R17" s="124">
        <f t="shared" si="5"/>
        <v>-48675.92440524828</v>
      </c>
      <c r="S17" s="124">
        <f t="shared" si="5"/>
        <v>-49337.94655374493</v>
      </c>
      <c r="T17" s="124">
        <f t="shared" si="5"/>
        <v>-49459.91208438089</v>
      </c>
      <c r="U17" s="124">
        <f t="shared" si="5"/>
        <v>-50080.588449088624</v>
      </c>
      <c r="V17" s="124">
        <f t="shared" si="5"/>
        <v>-50752.43397234443</v>
      </c>
      <c r="W17" s="124">
        <f t="shared" si="5"/>
        <v>-51644.69380385913</v>
      </c>
      <c r="X17" s="124">
        <f t="shared" si="5"/>
        <v>-51789.25749371464</v>
      </c>
      <c r="Y17" s="124">
        <f t="shared" si="5"/>
        <v>-51792.955432903844</v>
      </c>
      <c r="Z17" s="124">
        <f t="shared" si="5"/>
        <v>-51798.09077702703</v>
      </c>
      <c r="AA17" s="124">
        <f t="shared" si="5"/>
        <v>-51794.29005576535</v>
      </c>
      <c r="AB17" s="124">
        <f t="shared" si="5"/>
        <v>-51958.88356143935</v>
      </c>
      <c r="AC17" s="124">
        <f t="shared" si="5"/>
        <v>-52020.36026477058</v>
      </c>
      <c r="AD17" s="124">
        <f t="shared" si="5"/>
        <v>-52020.36026477058</v>
      </c>
      <c r="AE17" s="124">
        <f t="shared" si="5"/>
        <v>-52020.36026477058</v>
      </c>
      <c r="AF17" s="124">
        <f t="shared" si="5"/>
        <v>-52020.36026477058</v>
      </c>
      <c r="AG17" s="124">
        <f t="shared" si="5"/>
        <v>-52020.36026477058</v>
      </c>
      <c r="AH17" s="124">
        <f t="shared" si="5"/>
        <v>-52020.36026477058</v>
      </c>
      <c r="AI17" s="124">
        <f t="shared" si="5"/>
        <v>0</v>
      </c>
      <c r="AJ17" s="124">
        <f t="shared" si="5"/>
        <v>0</v>
      </c>
      <c r="AK17" s="124">
        <f t="shared" si="5"/>
        <v>0</v>
      </c>
      <c r="AL17" s="124">
        <f t="shared" si="5"/>
        <v>0</v>
      </c>
      <c r="AM17" s="124">
        <f t="shared" si="5"/>
        <v>0</v>
      </c>
      <c r="AN17" s="124">
        <f t="shared" si="5"/>
        <v>0</v>
      </c>
    </row>
    <row r="18" spans="1:40" ht="13.5" thickBot="1">
      <c r="A18" s="122">
        <f t="shared" si="1"/>
        <v>9</v>
      </c>
      <c r="B18" s="118"/>
      <c r="C18" s="118"/>
      <c r="D18" s="118" t="s">
        <v>116</v>
      </c>
      <c r="E18" s="118"/>
      <c r="F18" s="118"/>
      <c r="G18" s="125"/>
      <c r="H18" s="65"/>
      <c r="I18" s="58"/>
      <c r="J18" s="58"/>
      <c r="K18" s="125">
        <f aca="true" t="shared" si="6" ref="K18:AN18">K12*8760*K14</f>
        <v>3873072.0061380956</v>
      </c>
      <c r="L18" s="125">
        <f t="shared" si="6"/>
        <v>3877197.1433060975</v>
      </c>
      <c r="M18" s="125">
        <f t="shared" si="6"/>
        <v>3867686.6491200496</v>
      </c>
      <c r="N18" s="125">
        <f t="shared" si="6"/>
        <v>3893871.763042112</v>
      </c>
      <c r="O18" s="125">
        <f t="shared" si="6"/>
        <v>3870047.8151629036</v>
      </c>
      <c r="P18" s="125">
        <f t="shared" si="6"/>
        <v>3845230.1209930857</v>
      </c>
      <c r="Q18" s="125">
        <f t="shared" si="6"/>
        <v>3977926.968887492</v>
      </c>
      <c r="R18" s="125">
        <f t="shared" si="6"/>
        <v>3962681.5736957896</v>
      </c>
      <c r="S18" s="125">
        <f t="shared" si="6"/>
        <v>4016576.450912406</v>
      </c>
      <c r="T18" s="125">
        <f t="shared" si="6"/>
        <v>4026505.6010370837</v>
      </c>
      <c r="U18" s="125">
        <f t="shared" si="6"/>
        <v>4077034.539597737</v>
      </c>
      <c r="V18" s="125">
        <f t="shared" si="6"/>
        <v>4131729.1326209926</v>
      </c>
      <c r="W18" s="125">
        <f t="shared" si="6"/>
        <v>4204367.539317816</v>
      </c>
      <c r="X18" s="125">
        <f t="shared" si="6"/>
        <v>4216136.393777499</v>
      </c>
      <c r="Y18" s="125">
        <f t="shared" si="6"/>
        <v>4216437.441074796</v>
      </c>
      <c r="Z18" s="125">
        <f t="shared" si="6"/>
        <v>4216855.506756756</v>
      </c>
      <c r="AA18" s="125">
        <f t="shared" si="6"/>
        <v>4216546.09202464</v>
      </c>
      <c r="AB18" s="125">
        <f t="shared" si="6"/>
        <v>4229945.563324953</v>
      </c>
      <c r="AC18" s="125">
        <f t="shared" si="6"/>
        <v>4234950.349622878</v>
      </c>
      <c r="AD18" s="125">
        <f t="shared" si="6"/>
        <v>4234950.349622878</v>
      </c>
      <c r="AE18" s="125">
        <f t="shared" si="6"/>
        <v>4234950.349622878</v>
      </c>
      <c r="AF18" s="125">
        <f t="shared" si="6"/>
        <v>4234950.349622878</v>
      </c>
      <c r="AG18" s="125">
        <f t="shared" si="6"/>
        <v>4234950.349622878</v>
      </c>
      <c r="AH18" s="125">
        <f t="shared" si="6"/>
        <v>4234950.349622878</v>
      </c>
      <c r="AI18" s="125">
        <f t="shared" si="6"/>
        <v>0</v>
      </c>
      <c r="AJ18" s="125">
        <f t="shared" si="6"/>
        <v>0</v>
      </c>
      <c r="AK18" s="125">
        <f t="shared" si="6"/>
        <v>0</v>
      </c>
      <c r="AL18" s="125">
        <f t="shared" si="6"/>
        <v>0</v>
      </c>
      <c r="AM18" s="125">
        <f t="shared" si="6"/>
        <v>0</v>
      </c>
      <c r="AN18" s="125">
        <f t="shared" si="6"/>
        <v>0</v>
      </c>
    </row>
    <row r="19" spans="1:38" ht="13.5" thickTop="1">
      <c r="A19" s="122">
        <f t="shared" si="1"/>
        <v>10</v>
      </c>
      <c r="B19" s="58"/>
      <c r="C19" s="58"/>
      <c r="D19" s="58"/>
      <c r="E19" s="58"/>
      <c r="F19" s="58"/>
      <c r="G19" s="58"/>
      <c r="H19" s="65"/>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row>
    <row r="20" spans="1:38" ht="12.75">
      <c r="A20" s="122">
        <f t="shared" si="1"/>
        <v>11</v>
      </c>
      <c r="B20" s="58"/>
      <c r="C20" s="58"/>
      <c r="D20" s="58"/>
      <c r="E20" s="58"/>
      <c r="F20" s="58"/>
      <c r="G20" s="58"/>
      <c r="H20" s="65"/>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row>
    <row r="21" spans="1:38" ht="18.75">
      <c r="A21" s="122">
        <f>A20+1</f>
        <v>12</v>
      </c>
      <c r="B21" s="59" t="s">
        <v>80</v>
      </c>
      <c r="C21" s="58"/>
      <c r="D21" s="58"/>
      <c r="E21" s="58"/>
      <c r="F21" s="58"/>
      <c r="G21" s="58"/>
      <c r="H21" s="65"/>
      <c r="I21" s="58"/>
      <c r="J21" s="58"/>
      <c r="K21" s="87"/>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row>
    <row r="22" spans="1:38" ht="12.75">
      <c r="A22" s="122">
        <f t="shared" si="1"/>
        <v>13</v>
      </c>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row>
    <row r="23" spans="1:38" ht="15.75">
      <c r="A23" s="122">
        <f t="shared" si="1"/>
        <v>14</v>
      </c>
      <c r="B23" s="60"/>
      <c r="C23" s="61"/>
      <c r="D23" s="62"/>
      <c r="E23" s="62"/>
      <c r="F23" s="63" t="s">
        <v>659</v>
      </c>
      <c r="G23" s="90"/>
      <c r="H23" s="87"/>
      <c r="I23" s="65"/>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row>
    <row r="24" spans="1:40" ht="15.75">
      <c r="A24" s="122">
        <f t="shared" si="1"/>
        <v>15</v>
      </c>
      <c r="B24" s="61" t="s">
        <v>53</v>
      </c>
      <c r="C24" s="61"/>
      <c r="D24" s="62"/>
      <c r="E24" s="62"/>
      <c r="F24" s="625" t="s">
        <v>660</v>
      </c>
      <c r="G24" s="64" t="s">
        <v>54</v>
      </c>
      <c r="H24" s="58"/>
      <c r="I24" s="697"/>
      <c r="J24" s="88">
        <v>1999</v>
      </c>
      <c r="K24" s="88">
        <v>2000</v>
      </c>
      <c r="L24" s="88">
        <f aca="true" t="shared" si="7" ref="L24:AH24">K24+1</f>
        <v>2001</v>
      </c>
      <c r="M24" s="88">
        <f t="shared" si="7"/>
        <v>2002</v>
      </c>
      <c r="N24" s="88">
        <f t="shared" si="7"/>
        <v>2003</v>
      </c>
      <c r="O24" s="88">
        <f t="shared" si="7"/>
        <v>2004</v>
      </c>
      <c r="P24" s="88">
        <f t="shared" si="7"/>
        <v>2005</v>
      </c>
      <c r="Q24" s="88">
        <f t="shared" si="7"/>
        <v>2006</v>
      </c>
      <c r="R24" s="88">
        <f t="shared" si="7"/>
        <v>2007</v>
      </c>
      <c r="S24" s="88">
        <f t="shared" si="7"/>
        <v>2008</v>
      </c>
      <c r="T24" s="88">
        <f t="shared" si="7"/>
        <v>2009</v>
      </c>
      <c r="U24" s="88">
        <f t="shared" si="7"/>
        <v>2010</v>
      </c>
      <c r="V24" s="88">
        <f t="shared" si="7"/>
        <v>2011</v>
      </c>
      <c r="W24" s="88">
        <f t="shared" si="7"/>
        <v>2012</v>
      </c>
      <c r="X24" s="88">
        <f t="shared" si="7"/>
        <v>2013</v>
      </c>
      <c r="Y24" s="88">
        <f t="shared" si="7"/>
        <v>2014</v>
      </c>
      <c r="Z24" s="88">
        <f t="shared" si="7"/>
        <v>2015</v>
      </c>
      <c r="AA24" s="88">
        <f t="shared" si="7"/>
        <v>2016</v>
      </c>
      <c r="AB24" s="88">
        <f t="shared" si="7"/>
        <v>2017</v>
      </c>
      <c r="AC24" s="88">
        <f t="shared" si="7"/>
        <v>2018</v>
      </c>
      <c r="AD24" s="88">
        <f t="shared" si="7"/>
        <v>2019</v>
      </c>
      <c r="AE24" s="88">
        <f t="shared" si="7"/>
        <v>2020</v>
      </c>
      <c r="AF24" s="88">
        <f t="shared" si="7"/>
        <v>2021</v>
      </c>
      <c r="AG24" s="88">
        <f t="shared" si="7"/>
        <v>2022</v>
      </c>
      <c r="AH24" s="88">
        <f t="shared" si="7"/>
        <v>2023</v>
      </c>
      <c r="AI24" s="88">
        <f aca="true" t="shared" si="8" ref="AI24:AN24">AH24+1</f>
        <v>2024</v>
      </c>
      <c r="AJ24" s="88">
        <f t="shared" si="8"/>
        <v>2025</v>
      </c>
      <c r="AK24" s="88">
        <f t="shared" si="8"/>
        <v>2026</v>
      </c>
      <c r="AL24" s="88">
        <f t="shared" si="8"/>
        <v>2027</v>
      </c>
      <c r="AM24" s="88">
        <f t="shared" si="8"/>
        <v>2028</v>
      </c>
      <c r="AN24" s="88">
        <f t="shared" si="8"/>
        <v>2029</v>
      </c>
    </row>
    <row r="25" spans="1:40" ht="15.75">
      <c r="A25" s="122">
        <f t="shared" si="1"/>
        <v>16</v>
      </c>
      <c r="B25" s="62"/>
      <c r="C25" s="37" t="s">
        <v>55</v>
      </c>
      <c r="D25" s="37"/>
      <c r="E25" s="62"/>
      <c r="F25" s="84">
        <f>'PPW PPE'!F29/1000</f>
        <v>38709.08834</v>
      </c>
      <c r="G25" s="73">
        <f>AH25</f>
        <v>172715.76659961976</v>
      </c>
      <c r="H25" s="695">
        <f>J25+J26-'Gain Calculation'!D98/1000</f>
        <v>0.001693628277280368</v>
      </c>
      <c r="I25" s="768"/>
      <c r="J25" s="73">
        <f>(F25+'Deferred Tax'!J60)</f>
        <v>42767.5545</v>
      </c>
      <c r="K25" s="73">
        <f>J25+'Deferred Tax'!K60</f>
        <v>50349.461749999995</v>
      </c>
      <c r="L25" s="73">
        <f>K25+'Deferred Tax'!L60</f>
        <v>57820.690865</v>
      </c>
      <c r="M25" s="73">
        <f>L25+'Deferred Tax'!M60</f>
        <v>66112.439931875</v>
      </c>
      <c r="N25" s="73">
        <f>M25+'Deferred Tax'!N60</f>
        <v>72330.03197551749</v>
      </c>
      <c r="O25" s="73">
        <f>N25+'Deferred Tax'!O60</f>
        <v>76735.27345785749</v>
      </c>
      <c r="P25" s="73">
        <f>O25+'Deferred Tax'!P60</f>
        <v>81272.6721846677</v>
      </c>
      <c r="Q25" s="73">
        <f>P25+'Deferred Tax'!Q60</f>
        <v>85946.1928732822</v>
      </c>
      <c r="R25" s="73">
        <f>Q25+'Deferred Tax'!R60</f>
        <v>90759.91918255514</v>
      </c>
      <c r="S25" s="73">
        <f>R25+'Deferred Tax'!S60</f>
        <v>95718.05728110627</v>
      </c>
      <c r="T25" s="73">
        <f>S25+'Deferred Tax'!T60</f>
        <v>100824.93952261393</v>
      </c>
      <c r="U25" s="73">
        <f>T25+'Deferred Tax'!U60</f>
        <v>106085.02823136683</v>
      </c>
      <c r="V25" s="73">
        <f>U25+'Deferred Tax'!V60</f>
        <v>111502.91960138231</v>
      </c>
      <c r="W25" s="73">
        <f>V25+'Deferred Tax'!W60</f>
        <v>117083.34771249825</v>
      </c>
      <c r="X25" s="73">
        <f>W25+'Deferred Tax'!X60</f>
        <v>122831.18866694767</v>
      </c>
      <c r="Y25" s="73">
        <f>X25+'Deferred Tax'!Y60</f>
        <v>128751.46485003058</v>
      </c>
      <c r="Z25" s="73">
        <f>Y25+'Deferred Tax'!Z60</f>
        <v>134849.34931860596</v>
      </c>
      <c r="AA25" s="73">
        <f>Z25+'Deferred Tax'!AA60</f>
        <v>141130.1703212386</v>
      </c>
      <c r="AB25" s="73">
        <f>AA25+'Deferred Tax'!AB60</f>
        <v>147599.41595395023</v>
      </c>
      <c r="AC25" s="73">
        <f>AB25+'Deferred Tax'!AC60</f>
        <v>154262.7389556432</v>
      </c>
      <c r="AD25" s="73">
        <f>AC25+'Deferred Tax'!AD60</f>
        <v>161125.96164738698</v>
      </c>
      <c r="AE25" s="73">
        <f>AD25+'Deferred Tax'!AE60</f>
        <v>166427.80117675904</v>
      </c>
      <c r="AF25" s="73">
        <f>AE25+'Deferred Tax'!AF60</f>
        <v>170068.39765359453</v>
      </c>
      <c r="AG25" s="73">
        <f>AF25+'Deferred Tax'!AG60</f>
        <v>171943.3048391648</v>
      </c>
      <c r="AH25" s="73">
        <f>AG25+'Deferred Tax'!AH60</f>
        <v>172715.76659961976</v>
      </c>
      <c r="AI25" s="73"/>
      <c r="AJ25" s="73"/>
      <c r="AK25" s="73"/>
      <c r="AL25" s="73"/>
      <c r="AM25" s="73"/>
      <c r="AN25" s="73"/>
    </row>
    <row r="26" spans="1:40" ht="15.75">
      <c r="A26" s="122">
        <f t="shared" si="1"/>
        <v>17</v>
      </c>
      <c r="B26" s="62"/>
      <c r="C26" s="37" t="s">
        <v>81</v>
      </c>
      <c r="D26" s="37"/>
      <c r="E26" s="62"/>
      <c r="F26" s="67">
        <v>0</v>
      </c>
      <c r="G26" s="73">
        <f>AH26</f>
        <v>-173430.20976216797</v>
      </c>
      <c r="H26" s="67"/>
      <c r="I26" s="768"/>
      <c r="J26" s="73">
        <f>(F26-'Deferred Tax'!J50)</f>
        <v>-5303.264466371715</v>
      </c>
      <c r="K26" s="73">
        <f>J26-'Deferred Tax'!K50</f>
        <v>-11687.586057396167</v>
      </c>
      <c r="L26" s="73">
        <f>K26-'Deferred Tax'!L50</f>
        <v>-19078.445776854074</v>
      </c>
      <c r="M26" s="73">
        <f>L26-'Deferred Tax'!M50</f>
        <v>-26680.839880616924</v>
      </c>
      <c r="N26" s="73">
        <f>M26-'Deferred Tax'!N50</f>
        <v>-35152.519195010565</v>
      </c>
      <c r="O26" s="73">
        <f>N26-'Deferred Tax'!O50</f>
        <v>-43889.365135293214</v>
      </c>
      <c r="P26" s="73">
        <f>O26-'Deferred Tax'!P50</f>
        <v>-52313.70482653683</v>
      </c>
      <c r="Q26" s="73">
        <f>P26-'Deferred Tax'!Q50</f>
        <v>-59937.096752075755</v>
      </c>
      <c r="R26" s="73">
        <f>Q26-'Deferred Tax'!R50</f>
        <v>-66645.02112879572</v>
      </c>
      <c r="S26" s="73">
        <f>R26-'Deferred Tax'!S50</f>
        <v>-72975.70424961462</v>
      </c>
      <c r="T26" s="73">
        <f>S26-'Deferred Tax'!T50</f>
        <v>-78821.63395816545</v>
      </c>
      <c r="U26" s="73">
        <f>T26-'Deferred Tax'!U50</f>
        <v>-84371.67416616912</v>
      </c>
      <c r="V26" s="73">
        <f>U26-'Deferred Tax'!V50</f>
        <v>-89791.05857131432</v>
      </c>
      <c r="W26" s="73">
        <f>V26-'Deferred Tax'!W50</f>
        <v>-94978.48065730442</v>
      </c>
      <c r="X26" s="73">
        <f>W26-'Deferred Tax'!X50</f>
        <v>-100038.76038257909</v>
      </c>
      <c r="Y26" s="73">
        <f>X26-'Deferred Tax'!Y50</f>
        <v>-105254.81965125064</v>
      </c>
      <c r="Z26" s="73">
        <f>Y26-'Deferred Tax'!Z50</f>
        <v>-110631.33186061928</v>
      </c>
      <c r="AA26" s="73">
        <f>Z26-'Deferred Tax'!AA50</f>
        <v>-116173.1105989059</v>
      </c>
      <c r="AB26" s="73">
        <f>AA26-'Deferred Tax'!AB50</f>
        <v>-122347.19359396369</v>
      </c>
      <c r="AC26" s="73">
        <f>AB26-'Deferred Tax'!AC50</f>
        <v>-128869.10230561056</v>
      </c>
      <c r="AD26" s="73">
        <f>AC26-'Deferred Tax'!AD50</f>
        <v>-135978.04559506898</v>
      </c>
      <c r="AE26" s="73">
        <f>AD26-'Deferred Tax'!AE50</f>
        <v>-143603.27050751707</v>
      </c>
      <c r="AF26" s="73">
        <f>AE26-'Deferred Tax'!AF50</f>
        <v>-151608.57397177638</v>
      </c>
      <c r="AG26" s="73">
        <f>AF26-'Deferred Tax'!AG50</f>
        <v>-159692.8738134729</v>
      </c>
      <c r="AH26" s="73">
        <f>AG26-'Deferred Tax'!AH50</f>
        <v>-173430.20976216797</v>
      </c>
      <c r="AI26" s="73"/>
      <c r="AJ26" s="73"/>
      <c r="AK26" s="73"/>
      <c r="AL26" s="73"/>
      <c r="AM26" s="73"/>
      <c r="AN26" s="73"/>
    </row>
    <row r="27" spans="1:40" ht="15.75">
      <c r="A27" s="122">
        <f>A26+1</f>
        <v>18</v>
      </c>
      <c r="B27" s="62"/>
      <c r="C27" s="37" t="s">
        <v>56</v>
      </c>
      <c r="D27" s="37"/>
      <c r="E27" s="62"/>
      <c r="F27" s="84">
        <f>'Deferred Box Cut'!G9/1000</f>
        <v>11198.71718775</v>
      </c>
      <c r="G27" s="73">
        <f>AH27</f>
        <v>0</v>
      </c>
      <c r="H27" s="67">
        <f>('Gain Calculation'!D36-CMCDefProj99!G26)/1000-J27</f>
        <v>0</v>
      </c>
      <c r="I27" s="768"/>
      <c r="J27" s="238">
        <f>'Deferred Box Cut'!I17/1000</f>
        <v>9839.522230467974</v>
      </c>
      <c r="K27" s="238">
        <f>'Deferred Box Cut'!J17/1000</f>
        <v>8480.327273185945</v>
      </c>
      <c r="L27" s="238">
        <f>'Deferred Box Cut'!K17/1000</f>
        <v>7121.132315903918</v>
      </c>
      <c r="M27" s="238">
        <f>'Deferred Box Cut'!L17/1000</f>
        <v>5761.937358621892</v>
      </c>
      <c r="N27" s="238">
        <f>'Deferred Box Cut'!M17/1000</f>
        <v>4402.742401339864</v>
      </c>
      <c r="O27" s="238">
        <f>'Deferred Box Cut'!N17/1000</f>
        <v>3043.5474440578373</v>
      </c>
      <c r="P27" s="238">
        <f>'Deferred Box Cut'!O17/1000</f>
        <v>1684.35248677581</v>
      </c>
      <c r="Q27" s="238">
        <f>'Deferred Box Cut'!P17/1000</f>
        <v>325.15752949378265</v>
      </c>
      <c r="R27" s="238">
        <f>'Deferred Box Cut'!Q17/1000</f>
        <v>0</v>
      </c>
      <c r="S27" s="238">
        <f>'Deferred Box Cut'!R17/1000</f>
        <v>0</v>
      </c>
      <c r="T27" s="238">
        <f>'Deferred Box Cut'!S17/1000</f>
        <v>0</v>
      </c>
      <c r="U27" s="238">
        <f>'Deferred Box Cut'!T17/1000</f>
        <v>0</v>
      </c>
      <c r="V27" s="238">
        <f>'Deferred Box Cut'!U17/1000</f>
        <v>0</v>
      </c>
      <c r="W27" s="238">
        <f>'Deferred Box Cut'!V17/1000</f>
        <v>0</v>
      </c>
      <c r="X27" s="238">
        <f>'Deferred Box Cut'!W17/1000</f>
        <v>0</v>
      </c>
      <c r="Y27" s="238">
        <f>'Deferred Box Cut'!X17/1000</f>
        <v>0</v>
      </c>
      <c r="Z27" s="238">
        <f>'Deferred Box Cut'!Y17/1000</f>
        <v>0</v>
      </c>
      <c r="AA27" s="238">
        <f>'Deferred Box Cut'!Z17/1000</f>
        <v>0</v>
      </c>
      <c r="AB27" s="238">
        <f>'Deferred Box Cut'!AA17/1000</f>
        <v>0</v>
      </c>
      <c r="AC27" s="238">
        <f>'Deferred Box Cut'!AB17/1000</f>
        <v>0</v>
      </c>
      <c r="AD27" s="238">
        <f>'Deferred Box Cut'!AC17/1000</f>
        <v>0</v>
      </c>
      <c r="AE27" s="238">
        <f>'Deferred Box Cut'!AD17/1000</f>
        <v>0</v>
      </c>
      <c r="AF27" s="238">
        <f>'Deferred Box Cut'!AE17/1000</f>
        <v>0</v>
      </c>
      <c r="AG27" s="238">
        <f>'Deferred Box Cut'!AF17/1000</f>
        <v>0</v>
      </c>
      <c r="AH27" s="238">
        <f>'Deferred Box Cut'!AG17/1000</f>
        <v>0</v>
      </c>
      <c r="AI27" s="238">
        <f>'Deferred Box Cut'!AH17/1000</f>
        <v>0</v>
      </c>
      <c r="AJ27" s="238">
        <f>'Deferred Box Cut'!AI17/1000</f>
        <v>0</v>
      </c>
      <c r="AK27" s="238">
        <f>'Deferred Box Cut'!AJ17/1000</f>
        <v>0</v>
      </c>
      <c r="AL27" s="75">
        <f>'Deferred Box Cut'!AK17/1000</f>
        <v>0</v>
      </c>
      <c r="AM27" s="75">
        <f>'Deferred Box Cut'!AL17/1000</f>
        <v>0</v>
      </c>
      <c r="AN27" s="75">
        <f>'Deferred Box Cut'!AM17/1000</f>
        <v>0</v>
      </c>
    </row>
    <row r="28" spans="1:40" ht="15.75">
      <c r="A28" s="122">
        <f t="shared" si="1"/>
        <v>19</v>
      </c>
      <c r="B28" s="62"/>
      <c r="C28" s="37" t="s">
        <v>57</v>
      </c>
      <c r="D28" s="37"/>
      <c r="E28" s="62"/>
      <c r="F28" s="66">
        <f>8757.84609*Inputs!G7*Inputs!H9</f>
        <v>4038.8125172330087</v>
      </c>
      <c r="G28" s="73">
        <f>AI28</f>
        <v>0</v>
      </c>
      <c r="H28" s="67">
        <f>Inputs!G28*0.475/1000-J28</f>
        <v>0</v>
      </c>
      <c r="I28" s="768"/>
      <c r="J28" s="73">
        <f>IF(J25=0,0,F28*(1+Inputs!$G$9))</f>
        <v>4159.976892749999</v>
      </c>
      <c r="K28" s="73">
        <f>IF(K25=0,0,J28*(1+Inputs!$G$9))</f>
        <v>4284.776199532499</v>
      </c>
      <c r="L28" s="73">
        <f>IF(L25=0,0,K28*(1+Inputs!$G$9))</f>
        <v>4413.319485518474</v>
      </c>
      <c r="M28" s="73">
        <f>IF(M25=0,0,L28*(1+Inputs!$G$9))</f>
        <v>4545.719070084028</v>
      </c>
      <c r="N28" s="73">
        <f>IF(N25=0,0,M28*(1+Inputs!$G$9))</f>
        <v>4682.090642186549</v>
      </c>
      <c r="O28" s="73">
        <f>IF(O25=0,0,N28*(1+Inputs!$G$9))</f>
        <v>4822.5533614521455</v>
      </c>
      <c r="P28" s="73">
        <f>IF(P25=0,0,O28*(1+Inputs!$G$9))</f>
        <v>4967.22996229571</v>
      </c>
      <c r="Q28" s="73">
        <f>IF(Q25=0,0,P28*(1+Inputs!$G$9))</f>
        <v>5116.246861164581</v>
      </c>
      <c r="R28" s="73">
        <f>IF(R25=0,0,Q28*(1+Inputs!$G$9))</f>
        <v>5269.734266999519</v>
      </c>
      <c r="S28" s="73">
        <f>IF(S25=0,0,R28*(1+Inputs!$G$9))</f>
        <v>5427.826295009504</v>
      </c>
      <c r="T28" s="73">
        <f>IF(T25=0,0,S28*(1+Inputs!$G$9))</f>
        <v>5590.661083859789</v>
      </c>
      <c r="U28" s="73">
        <f>IF(U25=0,0,T28*(1+Inputs!$G$9))</f>
        <v>5758.380916375583</v>
      </c>
      <c r="V28" s="73">
        <f>IF(V25=0,0,U28*(1+Inputs!$G$9))</f>
        <v>5931.1323438668505</v>
      </c>
      <c r="W28" s="73">
        <f>IF(W25=0,0,V28*(1+Inputs!$G$9))</f>
        <v>6109.066314182856</v>
      </c>
      <c r="X28" s="73">
        <f>IF(X25=0,0,W28*(1+Inputs!$G$9))</f>
        <v>6292.338303608342</v>
      </c>
      <c r="Y28" s="73">
        <f>IF(Y25=0,0,X28*(1+Inputs!$G$9))</f>
        <v>6481.108452716593</v>
      </c>
      <c r="Z28" s="73">
        <f>IF(Z25=0,0,Y28*(1+Inputs!$G$9))</f>
        <v>6675.541706298091</v>
      </c>
      <c r="AA28" s="73">
        <f>IF(AA25=0,0,Z28*(1+Inputs!$G$9))</f>
        <v>6875.807957487034</v>
      </c>
      <c r="AB28" s="73">
        <f>IF(AB25=0,0,AA28*(1+Inputs!$G$9))</f>
        <v>7082.082196211645</v>
      </c>
      <c r="AC28" s="73">
        <f>IF(AC25=0,0,AB28*(1+Inputs!$G$9))</f>
        <v>7294.544662097995</v>
      </c>
      <c r="AD28" s="73">
        <f>IF(AD25=0,0,AC28*(1+Inputs!$G$9))</f>
        <v>7513.381001960935</v>
      </c>
      <c r="AE28" s="73">
        <f>IF(AE25=0,0,AD28*(1+Inputs!$G$9))</f>
        <v>7738.782432019762</v>
      </c>
      <c r="AF28" s="73">
        <f>IF(AF25=0,0,AE28*(1+Inputs!$G$9))</f>
        <v>7970.945904980355</v>
      </c>
      <c r="AG28" s="73">
        <f>IF(AG25=0,0,AF28*(1+Inputs!$G$9))</f>
        <v>8210.074282129766</v>
      </c>
      <c r="AH28" s="73">
        <f>IF(AH25=0,0,AG28*(1+Inputs!$G$9))</f>
        <v>8456.37651059366</v>
      </c>
      <c r="AI28" s="73">
        <f>IF(AI25=0,0,AH28*(1+Inputs!$G$9))</f>
        <v>0</v>
      </c>
      <c r="AJ28" s="73">
        <f>IF(AJ25=0,0,AI28*(1+Inputs!$G$9))</f>
        <v>0</v>
      </c>
      <c r="AK28" s="73">
        <f>IF(AK25=0,0,AJ28*(1+Inputs!$G$9))</f>
        <v>0</v>
      </c>
      <c r="AL28" s="73">
        <f>IF(AL25=0,0,AK28*(1+Inputs!$G$9))</f>
        <v>0</v>
      </c>
      <c r="AM28" s="73">
        <f>IF(AM25=0,0,AL28*(1+Inputs!$G$9))</f>
        <v>0</v>
      </c>
      <c r="AN28" s="73">
        <f>IF(AN25=0,0,AM28*(1+Inputs!$G$9))</f>
        <v>0</v>
      </c>
    </row>
    <row r="29" spans="1:40" ht="15.75">
      <c r="A29" s="122">
        <f t="shared" si="1"/>
        <v>20</v>
      </c>
      <c r="B29" s="62"/>
      <c r="C29" s="37" t="s">
        <v>58</v>
      </c>
      <c r="D29" s="37"/>
      <c r="E29" s="62"/>
      <c r="F29" s="67">
        <f>-23441.97</f>
        <v>-23441.97</v>
      </c>
      <c r="G29" s="809">
        <f>AN29</f>
        <v>-210.83077745748596</v>
      </c>
      <c r="H29" s="566">
        <f>J29-'Gain Calculation'!D35/1000</f>
        <v>0.0010000000002037268</v>
      </c>
      <c r="I29" s="768"/>
      <c r="J29" s="73">
        <f>F29-'Deferred Tax'!J51+'Deferred Tax'!J46</f>
        <v>-25305.97</v>
      </c>
      <c r="K29" s="73">
        <f>J29-'Deferred Tax'!K51+'Deferred Tax'!K46</f>
        <v>-31742.089211529932</v>
      </c>
      <c r="L29" s="73">
        <f>K29-'Deferred Tax'!L51+'Deferred Tax'!L46</f>
        <v>-38106.28867305986</v>
      </c>
      <c r="M29" s="73">
        <f>L29-'Deferred Tax'!M51+'Deferred Tax'!M46</f>
        <v>-41074.52071208978</v>
      </c>
      <c r="N29" s="73">
        <f>M29-'Deferred Tax'!N51+'Deferred Tax'!N46</f>
        <v>-44027.18139136971</v>
      </c>
      <c r="O29" s="73">
        <f>N29-'Deferred Tax'!O51+'Deferred Tax'!O46</f>
        <v>-46803.41856468214</v>
      </c>
      <c r="P29" s="73">
        <f>O29-'Deferred Tax'!P51+'Deferred Tax'!P46</f>
        <v>-48830.76468599677</v>
      </c>
      <c r="Q29" s="73">
        <f>P29-'Deferred Tax'!Q51+'Deferred Tax'!Q46</f>
        <v>-47148.787348144055</v>
      </c>
      <c r="R29" s="73">
        <f>Q29-'Deferred Tax'!R51+'Deferred Tax'!R46</f>
        <v>-44489.45999628483</v>
      </c>
      <c r="S29" s="73">
        <f>R29-'Deferred Tax'!S51+'Deferred Tax'!S46</f>
        <v>-41981.16330737905</v>
      </c>
      <c r="T29" s="73">
        <f>S29-'Deferred Tax'!T51+'Deferred Tax'!T46</f>
        <v>-39132.61439146019</v>
      </c>
      <c r="U29" s="73">
        <f>T29-'Deferred Tax'!U51+'Deferred Tax'!U46</f>
        <v>-34224.07685137318</v>
      </c>
      <c r="V29" s="73">
        <f>U29-'Deferred Tax'!V51+'Deferred Tax'!V46</f>
        <v>-27481.0833741086</v>
      </c>
      <c r="W29" s="73">
        <f>V29-'Deferred Tax'!W51+'Deferred Tax'!W46</f>
        <v>-20201.041414791234</v>
      </c>
      <c r="X29" s="73">
        <f>W29-'Deferred Tax'!X51+'Deferred Tax'!X46</f>
        <v>-16029.995466879338</v>
      </c>
      <c r="Y29" s="73">
        <f>X29-'Deferred Tax'!Y51+'Deferred Tax'!Y46</f>
        <v>-17093.07718811295</v>
      </c>
      <c r="Z29" s="73">
        <f>Y29-'Deferred Tax'!Z51+'Deferred Tax'!Z46</f>
        <v>-16627.2475850654</v>
      </c>
      <c r="AA29" s="73">
        <f>Z29-'Deferred Tax'!AA51+'Deferred Tax'!AA46</f>
        <v>-25068.140483930787</v>
      </c>
      <c r="AB29" s="73">
        <f>AA29-'Deferred Tax'!AB51+'Deferred Tax'!AB46</f>
        <v>-28240.99476683803</v>
      </c>
      <c r="AC29" s="73">
        <f>AB29-'Deferred Tax'!AC51+'Deferred Tax'!AC46</f>
        <v>-36991.1474408468</v>
      </c>
      <c r="AD29" s="73">
        <f>AC29-'Deferred Tax'!AD51+'Deferred Tax'!AD46</f>
        <v>-45738.801368729924</v>
      </c>
      <c r="AE29" s="73">
        <f>AD29-'Deferred Tax'!AE51+'Deferred Tax'!AE46</f>
        <v>-51744.59783126142</v>
      </c>
      <c r="AF29" s="73">
        <f>AE29-'Deferred Tax'!AF51+'Deferred Tax'!AF46</f>
        <v>-60487.02713087046</v>
      </c>
      <c r="AG29" s="73">
        <f>AF29-'Deferred Tax'!AG51+'Deferred Tax'!AG46</f>
        <v>-60508.407570220086</v>
      </c>
      <c r="AH29" s="73">
        <f>AG29-'Deferred Tax'!AH51+'Deferred Tax'!AH46</f>
        <v>-61810.34961731421</v>
      </c>
      <c r="AI29" s="73">
        <f>AH29-'Deferred Tax'!AI51+'Deferred Tax'!AI46</f>
        <v>-53953.447936286764</v>
      </c>
      <c r="AJ29" s="73">
        <f>AI29-'Deferred Tax'!AJ51+'Deferred Tax'!AJ46</f>
        <v>-53851.00985107843</v>
      </c>
      <c r="AK29" s="73">
        <f>AJ29-'Deferred Tax'!AK51+'Deferred Tax'!AK46</f>
        <v>-53745.49862331385</v>
      </c>
      <c r="AL29" s="73">
        <f>AK29-'Deferred Tax'!AL51+'Deferred Tax'!AL46</f>
        <v>-53636.82205871633</v>
      </c>
      <c r="AM29" s="73">
        <f>AL29-'Deferred Tax'!AM51+'Deferred Tax'!AM46</f>
        <v>-38301.47202836028</v>
      </c>
      <c r="AN29" s="73">
        <f>AM29-'Deferred Tax'!AN51+'Deferred Tax'!AN46</f>
        <v>-210.83077745748596</v>
      </c>
    </row>
    <row r="30" spans="1:40" ht="15.75">
      <c r="A30" s="122">
        <f t="shared" si="1"/>
        <v>21</v>
      </c>
      <c r="B30" s="62"/>
      <c r="C30" s="37" t="s">
        <v>59</v>
      </c>
      <c r="D30" s="37"/>
      <c r="E30" s="62"/>
      <c r="F30" s="89">
        <f>-876.810883257581+79.27</f>
        <v>-797.5408832575811</v>
      </c>
      <c r="G30" s="101">
        <f>AN30</f>
        <v>0</v>
      </c>
      <c r="H30" s="75">
        <f>Tax!I68/1000+J30</f>
        <v>0.00012753709393109602</v>
      </c>
      <c r="I30" s="768"/>
      <c r="J30" s="809">
        <f>F30-'Deferred Tax'!J58</f>
        <v>823.6626060895662</v>
      </c>
      <c r="K30" s="809">
        <f>J30-'Deferred Tax'!K58</f>
        <v>4476.33355268201</v>
      </c>
      <c r="L30" s="809">
        <f>K30-'Deferred Tax'!L58</f>
        <v>7964.1664090986815</v>
      </c>
      <c r="M30" s="809">
        <f>L30-'Deferred Tax'!M58</f>
        <v>9785.995264240102</v>
      </c>
      <c r="N30" s="809">
        <f>M30-'Deferred Tax'!N58</f>
        <v>11656.605496239787</v>
      </c>
      <c r="O30" s="809">
        <f>N30-'Deferred Tax'!O58</f>
        <v>13541.576248697931</v>
      </c>
      <c r="P30" s="809">
        <f>O30-'Deferred Tax'!P58</f>
        <v>15044.769379083415</v>
      </c>
      <c r="Q30" s="809">
        <f>P30-'Deferred Tax'!Q58</f>
        <v>14844.399236998737</v>
      </c>
      <c r="R30" s="809">
        <f>Q30-'Deferred Tax'!R58</f>
        <v>14189.920508700288</v>
      </c>
      <c r="S30" s="809">
        <f>R30-'Deferred Tax'!S58</f>
        <v>13525.32045325041</v>
      </c>
      <c r="T30" s="809">
        <f>S30-'Deferred Tax'!T58</f>
        <v>12631.492423351916</v>
      </c>
      <c r="U30" s="809">
        <f>T30-'Deferred Tax'!U58</f>
        <v>10897.077285747915</v>
      </c>
      <c r="V30" s="809">
        <f>U30-'Deferred Tax'!V58</f>
        <v>8395.945997773784</v>
      </c>
      <c r="W30" s="809">
        <f>V30-'Deferred Tax'!W58</f>
        <v>5549.402419189293</v>
      </c>
      <c r="X30" s="809">
        <f>W30-'Deferred Tax'!X58</f>
        <v>3778.2487159321136</v>
      </c>
      <c r="Y30" s="809">
        <f>X30-'Deferred Tax'!Y58</f>
        <v>3990.431073680762</v>
      </c>
      <c r="Z30" s="809">
        <f>Y30-'Deferred Tax'!Z58</f>
        <v>3617.8325235493194</v>
      </c>
      <c r="AA30" s="809">
        <f>Z30-'Deferred Tax'!AA58</f>
        <v>6622.840446013825</v>
      </c>
      <c r="AB30" s="809">
        <f>AA30-'Deferred Tax'!AB58</f>
        <v>7790.890854732471</v>
      </c>
      <c r="AC30" s="809">
        <f>AB30-'Deferred Tax'!AC58</f>
        <v>11134.730499534657</v>
      </c>
      <c r="AD30" s="809">
        <f>AC30-'Deferred Tax'!AD58</f>
        <v>14620.505246134597</v>
      </c>
      <c r="AE30" s="809">
        <f>AD30-'Deferred Tax'!AE58</f>
        <v>17276.132206497783</v>
      </c>
      <c r="AF30" s="809">
        <f>AE30-'Deferred Tax'!AF58</f>
        <v>21300.288826405096</v>
      </c>
      <c r="AG30" s="809">
        <f>AF30-'Deferred Tax'!AG58</f>
        <v>22365.063618275413</v>
      </c>
      <c r="AH30" s="809">
        <f>AG30-'Deferred Tax'!AH58</f>
        <v>23389.953298681998</v>
      </c>
      <c r="AI30" s="809">
        <f>AH30-'Deferred Tax'!AI58</f>
        <v>20406.609161379067</v>
      </c>
      <c r="AJ30" s="809">
        <f>AI30-'Deferred Tax'!AJ58</f>
        <v>20367.71239604461</v>
      </c>
      <c r="AK30" s="809">
        <f>AJ30-'Deferred Tax'!AK58</f>
        <v>20327.648727750122</v>
      </c>
      <c r="AL30" s="809">
        <f>AK30-'Deferred Tax'!AL58</f>
        <v>20286.383149406796</v>
      </c>
      <c r="AM30" s="809">
        <f>AL30-'Deferred Tax'!AM58</f>
        <v>14463.397389380301</v>
      </c>
      <c r="AN30" s="809">
        <f>AM30-'Deferred Tax'!AN58</f>
        <v>0</v>
      </c>
    </row>
    <row r="31" spans="1:40" ht="15.75">
      <c r="A31" s="122">
        <f t="shared" si="1"/>
        <v>22</v>
      </c>
      <c r="B31" s="62"/>
      <c r="C31" s="37"/>
      <c r="D31" s="37" t="s">
        <v>60</v>
      </c>
      <c r="E31" s="62"/>
      <c r="F31" s="102">
        <f>SUM(F25:F30)</f>
        <v>29707.10716172543</v>
      </c>
      <c r="G31" s="73">
        <f>AN31</f>
        <v>-210.83077745748596</v>
      </c>
      <c r="H31" s="67"/>
      <c r="I31" s="768"/>
      <c r="J31" s="102">
        <f aca="true" t="shared" si="9" ref="J31:AH31">SUM(J25:J30)</f>
        <v>26981.481762935815</v>
      </c>
      <c r="K31" s="102">
        <f t="shared" si="9"/>
        <v>24161.22350647435</v>
      </c>
      <c r="L31" s="102">
        <f t="shared" si="9"/>
        <v>20134.57462560713</v>
      </c>
      <c r="M31" s="102">
        <f t="shared" si="9"/>
        <v>18450.73103211431</v>
      </c>
      <c r="N31" s="102">
        <f t="shared" si="9"/>
        <v>13891.76992890341</v>
      </c>
      <c r="O31" s="102">
        <f t="shared" si="9"/>
        <v>7450.166812090052</v>
      </c>
      <c r="P31" s="102">
        <f t="shared" si="9"/>
        <v>1824.5545002890267</v>
      </c>
      <c r="Q31" s="102">
        <f t="shared" si="9"/>
        <v>-853.8875992805097</v>
      </c>
      <c r="R31" s="102">
        <f t="shared" si="9"/>
        <v>-914.9071668256038</v>
      </c>
      <c r="S31" s="102">
        <f t="shared" si="9"/>
        <v>-285.6635276274792</v>
      </c>
      <c r="T31" s="102">
        <f t="shared" si="9"/>
        <v>1092.8446801999962</v>
      </c>
      <c r="U31" s="102">
        <f t="shared" si="9"/>
        <v>4144.735415948026</v>
      </c>
      <c r="V31" s="102">
        <f t="shared" si="9"/>
        <v>8557.855997600023</v>
      </c>
      <c r="W31" s="102">
        <f t="shared" si="9"/>
        <v>13562.294373774741</v>
      </c>
      <c r="X31" s="102">
        <f t="shared" si="9"/>
        <v>16833.0198370297</v>
      </c>
      <c r="Y31" s="102">
        <f t="shared" si="9"/>
        <v>16875.107537064345</v>
      </c>
      <c r="Z31" s="102">
        <f t="shared" si="9"/>
        <v>17884.144102768696</v>
      </c>
      <c r="AA31" s="102">
        <f t="shared" si="9"/>
        <v>13387.56764190278</v>
      </c>
      <c r="AB31" s="102">
        <f t="shared" si="9"/>
        <v>11884.200644092627</v>
      </c>
      <c r="AC31" s="102">
        <f t="shared" si="9"/>
        <v>6831.764370818491</v>
      </c>
      <c r="AD31" s="102">
        <f t="shared" si="9"/>
        <v>1543.0009316836095</v>
      </c>
      <c r="AE31" s="102">
        <f t="shared" si="9"/>
        <v>-3905.1525235019035</v>
      </c>
      <c r="AF31" s="102">
        <f t="shared" si="9"/>
        <v>-12755.968717666863</v>
      </c>
      <c r="AG31" s="102">
        <f t="shared" si="9"/>
        <v>-17682.838644122992</v>
      </c>
      <c r="AH31" s="102">
        <f t="shared" si="9"/>
        <v>-30678.462970586763</v>
      </c>
      <c r="AI31" s="102">
        <f aca="true" t="shared" si="10" ref="AI31:AN31">SUM(AI25:AI30)</f>
        <v>-33546.838774907694</v>
      </c>
      <c r="AJ31" s="102">
        <f t="shared" si="10"/>
        <v>-33483.29745503382</v>
      </c>
      <c r="AK31" s="102">
        <f t="shared" si="10"/>
        <v>-33417.849895563726</v>
      </c>
      <c r="AL31" s="102">
        <f t="shared" si="10"/>
        <v>-33350.43890930954</v>
      </c>
      <c r="AM31" s="102">
        <f t="shared" si="10"/>
        <v>-23838.07463897998</v>
      </c>
      <c r="AN31" s="102">
        <f t="shared" si="10"/>
        <v>-210.83077745748596</v>
      </c>
    </row>
    <row r="32" spans="1:40" ht="16.5" thickBot="1">
      <c r="A32" s="122">
        <f t="shared" si="1"/>
        <v>23</v>
      </c>
      <c r="B32" s="62"/>
      <c r="C32" s="37"/>
      <c r="D32" s="37" t="s">
        <v>61</v>
      </c>
      <c r="E32" s="62"/>
      <c r="F32" s="657"/>
      <c r="G32" s="67"/>
      <c r="H32" s="67"/>
      <c r="I32" s="768"/>
      <c r="J32" s="103">
        <f>(F31+J31)/2</f>
        <v>28344.294462330625</v>
      </c>
      <c r="K32" s="103">
        <f aca="true" t="shared" si="11" ref="K32:AH32">(J31+K31)/2</f>
        <v>25571.352634705083</v>
      </c>
      <c r="L32" s="103">
        <f t="shared" si="11"/>
        <v>22147.89906604074</v>
      </c>
      <c r="M32" s="103">
        <f t="shared" si="11"/>
        <v>19292.65282886072</v>
      </c>
      <c r="N32" s="103">
        <f t="shared" si="11"/>
        <v>16171.25048050886</v>
      </c>
      <c r="O32" s="103">
        <f t="shared" si="11"/>
        <v>10670.968370496732</v>
      </c>
      <c r="P32" s="103">
        <f t="shared" si="11"/>
        <v>4637.360656189539</v>
      </c>
      <c r="Q32" s="103">
        <f t="shared" si="11"/>
        <v>485.3334505042585</v>
      </c>
      <c r="R32" s="103">
        <f t="shared" si="11"/>
        <v>-884.3973830530567</v>
      </c>
      <c r="S32" s="103">
        <f t="shared" si="11"/>
        <v>-600.2853472265415</v>
      </c>
      <c r="T32" s="103">
        <f t="shared" si="11"/>
        <v>403.5905762862585</v>
      </c>
      <c r="U32" s="103">
        <f t="shared" si="11"/>
        <v>2618.790048074011</v>
      </c>
      <c r="V32" s="103">
        <f t="shared" si="11"/>
        <v>6351.295706774024</v>
      </c>
      <c r="W32" s="103">
        <f t="shared" si="11"/>
        <v>11060.075185687383</v>
      </c>
      <c r="X32" s="103">
        <f t="shared" si="11"/>
        <v>15197.65710540222</v>
      </c>
      <c r="Y32" s="103">
        <f t="shared" si="11"/>
        <v>16854.063687047023</v>
      </c>
      <c r="Z32" s="103">
        <f t="shared" si="11"/>
        <v>17379.62581991652</v>
      </c>
      <c r="AA32" s="103">
        <f t="shared" si="11"/>
        <v>15635.855872335738</v>
      </c>
      <c r="AB32" s="103">
        <f t="shared" si="11"/>
        <v>12635.884142997704</v>
      </c>
      <c r="AC32" s="103">
        <f t="shared" si="11"/>
        <v>9357.98250745556</v>
      </c>
      <c r="AD32" s="103">
        <f t="shared" si="11"/>
        <v>4187.38265125105</v>
      </c>
      <c r="AE32" s="103">
        <f t="shared" si="11"/>
        <v>-1181.075795909147</v>
      </c>
      <c r="AF32" s="103">
        <f t="shared" si="11"/>
        <v>-8330.560620584383</v>
      </c>
      <c r="AG32" s="103">
        <f t="shared" si="11"/>
        <v>-15219.403680894928</v>
      </c>
      <c r="AH32" s="103">
        <f t="shared" si="11"/>
        <v>-24180.650807354876</v>
      </c>
      <c r="AI32" s="103">
        <f aca="true" t="shared" si="12" ref="AI32:AN32">(AH31+AI31)/2</f>
        <v>-32112.65087274723</v>
      </c>
      <c r="AJ32" s="103">
        <f t="shared" si="12"/>
        <v>-33515.06811497075</v>
      </c>
      <c r="AK32" s="103">
        <f t="shared" si="12"/>
        <v>-33450.57367529877</v>
      </c>
      <c r="AL32" s="103">
        <f t="shared" si="12"/>
        <v>-33384.144402436636</v>
      </c>
      <c r="AM32" s="103">
        <f t="shared" si="12"/>
        <v>-28594.256774144756</v>
      </c>
      <c r="AN32" s="103">
        <f t="shared" si="12"/>
        <v>-12024.452708218732</v>
      </c>
    </row>
    <row r="33" spans="1:40" ht="16.5" thickTop="1">
      <c r="A33" s="122">
        <f t="shared" si="1"/>
        <v>24</v>
      </c>
      <c r="B33" s="62"/>
      <c r="C33" s="37"/>
      <c r="D33" s="37"/>
      <c r="E33" s="62"/>
      <c r="F33" s="67"/>
      <c r="G33" s="67"/>
      <c r="H33" s="67"/>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row>
    <row r="34" spans="1:38" ht="15.75">
      <c r="A34" s="122">
        <f t="shared" si="1"/>
        <v>25</v>
      </c>
      <c r="B34" s="58"/>
      <c r="C34" s="58"/>
      <c r="D34" s="58"/>
      <c r="E34" s="62"/>
      <c r="F34" s="70" t="s">
        <v>62</v>
      </c>
      <c r="G34" s="70"/>
      <c r="H34" s="67"/>
      <c r="I34" s="67"/>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67"/>
      <c r="AJ34" s="67"/>
      <c r="AK34" s="67"/>
      <c r="AL34" s="58"/>
    </row>
    <row r="35" spans="1:41" ht="15.75">
      <c r="A35" s="122">
        <f t="shared" si="1"/>
        <v>26</v>
      </c>
      <c r="B35" s="58"/>
      <c r="C35" s="58"/>
      <c r="D35" s="58"/>
      <c r="E35" s="62"/>
      <c r="F35" s="72">
        <v>36526</v>
      </c>
      <c r="G35" s="70" t="s">
        <v>62</v>
      </c>
      <c r="H35" s="67"/>
      <c r="I35" s="67"/>
      <c r="J35" s="73"/>
      <c r="K35" s="809"/>
      <c r="L35" s="809"/>
      <c r="M35" s="809"/>
      <c r="N35" s="809"/>
      <c r="O35" s="809"/>
      <c r="P35" s="809"/>
      <c r="Q35" s="809"/>
      <c r="R35" s="809"/>
      <c r="S35" s="809"/>
      <c r="T35" s="809"/>
      <c r="U35" s="809"/>
      <c r="V35" s="809"/>
      <c r="W35" s="809"/>
      <c r="X35" s="809"/>
      <c r="Y35" s="809"/>
      <c r="Z35" s="809"/>
      <c r="AA35" s="809"/>
      <c r="AB35" s="809"/>
      <c r="AC35" s="809"/>
      <c r="AD35" s="809"/>
      <c r="AE35" s="809"/>
      <c r="AF35" s="809"/>
      <c r="AG35" s="809"/>
      <c r="AH35" s="809"/>
      <c r="AI35" s="809"/>
      <c r="AJ35" s="73"/>
      <c r="AK35" s="73"/>
      <c r="AL35" s="73"/>
      <c r="AM35" s="73"/>
      <c r="AN35" s="73"/>
      <c r="AO35" s="73"/>
    </row>
    <row r="36" spans="1:40" ht="15.75">
      <c r="A36" s="122">
        <f t="shared" si="1"/>
        <v>27</v>
      </c>
      <c r="B36" s="61" t="s">
        <v>63</v>
      </c>
      <c r="C36" s="61"/>
      <c r="D36" s="62"/>
      <c r="E36" s="62"/>
      <c r="F36" s="74" t="str">
        <f>"P.V @ "&amp;FIXED(Disc_*100,1)&amp;"%"</f>
        <v>P.V @ 7.8%</v>
      </c>
      <c r="G36" s="74" t="s">
        <v>3</v>
      </c>
      <c r="H36" s="67"/>
      <c r="I36" s="67"/>
      <c r="J36" s="88"/>
      <c r="K36" s="88">
        <f aca="true" t="shared" si="13" ref="K36:AH36">K$24</f>
        <v>2000</v>
      </c>
      <c r="L36" s="88">
        <f t="shared" si="13"/>
        <v>2001</v>
      </c>
      <c r="M36" s="88">
        <f t="shared" si="13"/>
        <v>2002</v>
      </c>
      <c r="N36" s="88">
        <f t="shared" si="13"/>
        <v>2003</v>
      </c>
      <c r="O36" s="88">
        <f t="shared" si="13"/>
        <v>2004</v>
      </c>
      <c r="P36" s="88">
        <f t="shared" si="13"/>
        <v>2005</v>
      </c>
      <c r="Q36" s="88">
        <f t="shared" si="13"/>
        <v>2006</v>
      </c>
      <c r="R36" s="88">
        <f t="shared" si="13"/>
        <v>2007</v>
      </c>
      <c r="S36" s="88">
        <f t="shared" si="13"/>
        <v>2008</v>
      </c>
      <c r="T36" s="88">
        <f t="shared" si="13"/>
        <v>2009</v>
      </c>
      <c r="U36" s="88">
        <f t="shared" si="13"/>
        <v>2010</v>
      </c>
      <c r="V36" s="88">
        <f t="shared" si="13"/>
        <v>2011</v>
      </c>
      <c r="W36" s="88">
        <f t="shared" si="13"/>
        <v>2012</v>
      </c>
      <c r="X36" s="88">
        <f t="shared" si="13"/>
        <v>2013</v>
      </c>
      <c r="Y36" s="88">
        <f t="shared" si="13"/>
        <v>2014</v>
      </c>
      <c r="Z36" s="88">
        <f t="shared" si="13"/>
        <v>2015</v>
      </c>
      <c r="AA36" s="88">
        <f t="shared" si="13"/>
        <v>2016</v>
      </c>
      <c r="AB36" s="88">
        <f t="shared" si="13"/>
        <v>2017</v>
      </c>
      <c r="AC36" s="88">
        <f t="shared" si="13"/>
        <v>2018</v>
      </c>
      <c r="AD36" s="88">
        <f t="shared" si="13"/>
        <v>2019</v>
      </c>
      <c r="AE36" s="88">
        <f t="shared" si="13"/>
        <v>2020</v>
      </c>
      <c r="AF36" s="88">
        <f t="shared" si="13"/>
        <v>2021</v>
      </c>
      <c r="AG36" s="88">
        <f t="shared" si="13"/>
        <v>2022</v>
      </c>
      <c r="AH36" s="88">
        <f t="shared" si="13"/>
        <v>2023</v>
      </c>
      <c r="AI36" s="88">
        <f aca="true" t="shared" si="14" ref="AI36:AN36">AI$24</f>
        <v>2024</v>
      </c>
      <c r="AJ36" s="88">
        <f t="shared" si="14"/>
        <v>2025</v>
      </c>
      <c r="AK36" s="88">
        <f t="shared" si="14"/>
        <v>2026</v>
      </c>
      <c r="AL36" s="88">
        <f t="shared" si="14"/>
        <v>2027</v>
      </c>
      <c r="AM36" s="88">
        <f t="shared" si="14"/>
        <v>2028</v>
      </c>
      <c r="AN36" s="88">
        <f t="shared" si="14"/>
        <v>2029</v>
      </c>
    </row>
    <row r="37" spans="1:40" ht="15.75">
      <c r="A37" s="122">
        <f t="shared" si="1"/>
        <v>28</v>
      </c>
      <c r="B37" s="62"/>
      <c r="C37" s="37" t="s">
        <v>64</v>
      </c>
      <c r="D37" s="37"/>
      <c r="E37" s="90"/>
      <c r="F37" s="73">
        <f>NPV(Disc_,K37:AN37)*(1+Disc_/2)</f>
        <v>-7579.179742142922</v>
      </c>
      <c r="G37" s="73">
        <f>SUM(K37:AN37)</f>
        <v>-16737.239350329473</v>
      </c>
      <c r="H37" s="67"/>
      <c r="I37" s="75"/>
      <c r="J37" s="84"/>
      <c r="K37" s="84">
        <f>-'Recovery from NOB''s'!F10</f>
        <v>-730.05</v>
      </c>
      <c r="L37" s="84">
        <f>-'Recovery from NOB''s'!G10</f>
        <v>-738.811</v>
      </c>
      <c r="M37" s="84">
        <f>-'Recovery from NOB''s'!H10</f>
        <v>-726.74722</v>
      </c>
      <c r="N37" s="84">
        <f>-'Recovery from NOB''s'!I10</f>
        <v>-614.8621644</v>
      </c>
      <c r="O37" s="84">
        <f>-'Recovery from NOB''s'!J10</f>
        <v>-600.454143384</v>
      </c>
      <c r="P37" s="84">
        <f>-'Recovery from NOB''s'!K10</f>
        <v>-621.55291104672</v>
      </c>
      <c r="Q37" s="84">
        <f>-'Recovery from NOB''s'!L10</f>
        <v>-630.9839692676544</v>
      </c>
      <c r="R37" s="84">
        <f>-'Recovery from NOB''s'!M10</f>
        <v>-640.6036486530074</v>
      </c>
      <c r="S37" s="84">
        <f>-'Recovery from NOB''s'!N10</f>
        <v>-637.5860514040928</v>
      </c>
      <c r="T37" s="84">
        <f>-'Recovery from NOB''s'!O10</f>
        <v>-634.2515088057603</v>
      </c>
      <c r="U37" s="84">
        <f>-'Recovery from NOB''s'!P10</f>
        <v>-643.9365389818756</v>
      </c>
      <c r="V37" s="84">
        <f>-'Recovery from NOB''s'!Q10</f>
        <v>-653.815269761513</v>
      </c>
      <c r="W37" s="84">
        <f>-'Recovery from NOB''s'!R10</f>
        <v>-677.7788228072031</v>
      </c>
      <c r="X37" s="84">
        <f>-'Recovery from NOB''s'!S10</f>
        <v>-688.3343992633472</v>
      </c>
      <c r="Y37" s="84">
        <f>-'Recovery from NOB''s'!T10</f>
        <v>-699.1010872486142</v>
      </c>
      <c r="Z37" s="84">
        <f>-'Recovery from NOB''s'!U10</f>
        <v>-710.0831089935864</v>
      </c>
      <c r="AA37" s="84">
        <f>-'Recovery from NOB''s'!V10</f>
        <v>-706.252767702716</v>
      </c>
      <c r="AB37" s="84">
        <f>-'Recovery from NOB''s'!W10</f>
        <v>-732.7104665969274</v>
      </c>
      <c r="AC37" s="84">
        <f>-'Recovery from NOB''s'!X10</f>
        <v>-744.3646759288658</v>
      </c>
      <c r="AD37" s="84">
        <f>-'Recovery from NOB''s'!Y10</f>
        <v>-756.2519694474431</v>
      </c>
      <c r="AE37" s="84">
        <f>-'Recovery from NOB''s'!Z10</f>
        <v>-768.3770088363921</v>
      </c>
      <c r="AF37" s="84">
        <f>-'Recovery from NOB''s'!AA10</f>
        <v>-780.7445490131199</v>
      </c>
      <c r="AG37" s="84">
        <f>-'Recovery from NOB''s'!AB10</f>
        <v>-793.3594399933824</v>
      </c>
      <c r="AH37" s="84">
        <f>-'Recovery from NOB''s'!AC10</f>
        <v>-806.2266287932498</v>
      </c>
      <c r="AI37" s="66"/>
      <c r="AJ37" s="66"/>
      <c r="AK37" s="66"/>
      <c r="AL37" s="66"/>
      <c r="AM37" s="66"/>
      <c r="AN37" s="66"/>
    </row>
    <row r="38" spans="1:40" ht="15.75">
      <c r="A38" s="122">
        <f t="shared" si="1"/>
        <v>29</v>
      </c>
      <c r="B38" s="62"/>
      <c r="C38" s="37" t="s">
        <v>825</v>
      </c>
      <c r="D38" s="37"/>
      <c r="E38" s="90"/>
      <c r="F38" s="73">
        <f>NPV(Disc_,K38:AN38)*(1+Disc_/2)</f>
        <v>7903.235484186993</v>
      </c>
      <c r="G38" s="73">
        <f>SUM(K38:AN38)</f>
        <v>-1165.4313022697581</v>
      </c>
      <c r="H38" s="67"/>
      <c r="I38" s="75"/>
      <c r="J38" s="73"/>
      <c r="K38" s="73">
        <f>K32*Inputs!$H$73+K32*(Inputs!$H$74+Inputs!$H$75)</f>
        <v>2324.894193133906</v>
      </c>
      <c r="L38" s="73">
        <f>L32*Inputs!$H$73+L32*(Inputs!$H$74+Inputs!$H$75)</f>
        <v>2013.6409154543667</v>
      </c>
      <c r="M38" s="73">
        <f>M32*Inputs!$H$73+M32*(Inputs!$H$74+Inputs!$H$75)</f>
        <v>1754.0478664821323</v>
      </c>
      <c r="N38" s="73">
        <f>N32*Inputs!$H$73+N32*(Inputs!$H$74+Inputs!$H$75)</f>
        <v>1470.2564574868659</v>
      </c>
      <c r="O38" s="73">
        <f>O32*Inputs!$H$73+O32*(Inputs!$H$74+Inputs!$H$75)</f>
        <v>970.1822486313522</v>
      </c>
      <c r="P38" s="73">
        <f>P32*Inputs!$H$73+P32*(Inputs!$H$74+Inputs!$H$75)</f>
        <v>421.619185150588</v>
      </c>
      <c r="Q38" s="73">
        <f>Q32*Inputs!$H$73+Q32*(Inputs!$H$74+Inputs!$H$75)</f>
        <v>44.12550782627013</v>
      </c>
      <c r="R38" s="73">
        <f>R32*Inputs!$H$73+R32*(Inputs!$H$74+Inputs!$H$75)</f>
        <v>-80.40757052062716</v>
      </c>
      <c r="S38" s="73">
        <f>S32*Inputs!$H$73+S32*(Inputs!$H$74+Inputs!$H$75)</f>
        <v>-54.576695176314914</v>
      </c>
      <c r="T38" s="73">
        <f>T32*Inputs!$H$73+T32*(Inputs!$H$74+Inputs!$H$75)</f>
        <v>36.69361572754794</v>
      </c>
      <c r="U38" s="73">
        <f>U32*Inputs!$H$73+U32*(Inputs!$H$74+Inputs!$H$75)</f>
        <v>238.09494408758906</v>
      </c>
      <c r="V38" s="73">
        <f>V32*Inputs!$H$73+V32*(Inputs!$H$74+Inputs!$H$75)</f>
        <v>577.4465949648242</v>
      </c>
      <c r="W38" s="73">
        <f>W32*Inputs!$H$73+W32*(Inputs!$H$74+Inputs!$H$75)</f>
        <v>1005.5590309263106</v>
      </c>
      <c r="X38" s="73">
        <f>X32*Inputs!$H$73+X32*(Inputs!$H$74+Inputs!$H$75)</f>
        <v>1381.7393728963905</v>
      </c>
      <c r="Y38" s="73">
        <f>Y32*Inputs!$H$73+Y32*(Inputs!$H$74+Inputs!$H$75)</f>
        <v>1532.336413973846</v>
      </c>
      <c r="Z38" s="73">
        <f>Z32*Inputs!$H$73+Z32*(Inputs!$H$74+Inputs!$H$75)</f>
        <v>1580.1194299251044</v>
      </c>
      <c r="AA38" s="73">
        <f>AA32*Inputs!$H$73+AA32*(Inputs!$H$74+Inputs!$H$75)</f>
        <v>1421.5794933325508</v>
      </c>
      <c r="AB38" s="73">
        <f>AB32*Inputs!$H$73+AB32*(Inputs!$H$74+Inputs!$H$75)</f>
        <v>1148.8283036423336</v>
      </c>
      <c r="AC38" s="73">
        <f>AC32*Inputs!$H$73+AC32*(Inputs!$H$74+Inputs!$H$75)</f>
        <v>850.8083049742438</v>
      </c>
      <c r="AD38" s="73">
        <f>AD32*Inputs!$H$73+AD32*(Inputs!$H$74+Inputs!$H$75)</f>
        <v>380.7081208958309</v>
      </c>
      <c r="AE38" s="73">
        <f>AE32*Inputs!$H$73+AE32*(Inputs!$H$74+Inputs!$H$75)</f>
        <v>-107.38095472640414</v>
      </c>
      <c r="AF38" s="73">
        <f>AF32*Inputs!$H$73+AF32*(Inputs!$H$74+Inputs!$H$75)</f>
        <v>-757.3972440574412</v>
      </c>
      <c r="AG38" s="73">
        <f>AG32*Inputs!$H$73+AG32*(Inputs!$H$74+Inputs!$H$75)</f>
        <v>-1383.7165263073105</v>
      </c>
      <c r="AH38" s="73">
        <f>AH32*Inputs!$H$73+AH32*(Inputs!$H$74+Inputs!$H$75)</f>
        <v>-2198.454475651026</v>
      </c>
      <c r="AI38" s="73">
        <f>AI32*Inputs!$H$73+AI32*(Inputs!$H$74+Inputs!$H$75)</f>
        <v>-2919.6154230363627</v>
      </c>
      <c r="AJ38" s="73">
        <f>AJ32*Inputs!$H$73+AJ32*(Inputs!$H$74+Inputs!$H$75)</f>
        <v>-3047.1202816714613</v>
      </c>
      <c r="AK38" s="73">
        <f>AK32*Inputs!$H$73+AK32*(Inputs!$H$74+Inputs!$H$75)</f>
        <v>-3041.2565813649194</v>
      </c>
      <c r="AL38" s="73">
        <f>AL32*Inputs!$H$73+AL32*(Inputs!$H$74+Inputs!$H$75)</f>
        <v>-3035.2169700491813</v>
      </c>
      <c r="AM38" s="73">
        <f>AM32*Inputs!$H$73+AM32*(Inputs!$H$74+Inputs!$H$75)</f>
        <v>-2599.730349851151</v>
      </c>
      <c r="AN38" s="73">
        <f>AN32*Inputs!$H$73+AN32*(Inputs!$H$74+Inputs!$H$75)</f>
        <v>-1093.238229369614</v>
      </c>
    </row>
    <row r="39" spans="1:40" ht="15.75">
      <c r="A39" s="122">
        <f t="shared" si="1"/>
        <v>30</v>
      </c>
      <c r="B39" s="62"/>
      <c r="C39" s="37" t="s">
        <v>65</v>
      </c>
      <c r="D39" s="37"/>
      <c r="E39" s="90"/>
      <c r="F39" s="73">
        <f>NPV(Disc_,K39:AN39)*(1+Disc_/2)</f>
        <v>-8814.681250669015</v>
      </c>
      <c r="G39" s="73">
        <f>SUM(K39:AN39)</f>
        <v>823.6626060895669</v>
      </c>
      <c r="H39" s="67"/>
      <c r="I39" s="75"/>
      <c r="J39" s="73"/>
      <c r="K39" s="73">
        <f>'Deferred Tax'!K58</f>
        <v>-3652.6709465924437</v>
      </c>
      <c r="L39" s="73">
        <f>'Deferred Tax'!L58</f>
        <v>-3487.832856416672</v>
      </c>
      <c r="M39" s="73">
        <f>'Deferred Tax'!M58</f>
        <v>-1821.8288551414207</v>
      </c>
      <c r="N39" s="73">
        <f>'Deferred Tax'!N58</f>
        <v>-1870.6102319996844</v>
      </c>
      <c r="O39" s="73">
        <f>'Deferred Tax'!O58</f>
        <v>-1884.9707524581452</v>
      </c>
      <c r="P39" s="73">
        <f>'Deferred Tax'!P58</f>
        <v>-1503.1931303854838</v>
      </c>
      <c r="Q39" s="73">
        <f>'Deferred Tax'!Q58</f>
        <v>200.37014208467667</v>
      </c>
      <c r="R39" s="73">
        <f>'Deferred Tax'!R58</f>
        <v>654.4787282984491</v>
      </c>
      <c r="S39" s="73">
        <f>'Deferred Tax'!S58</f>
        <v>664.6000554498789</v>
      </c>
      <c r="T39" s="73">
        <f>'Deferred Tax'!T58</f>
        <v>893.8280298984945</v>
      </c>
      <c r="U39" s="73">
        <f>'Deferred Tax'!U58</f>
        <v>1734.4151376040013</v>
      </c>
      <c r="V39" s="73">
        <f>'Deferred Tax'!V58</f>
        <v>2501.1312879741313</v>
      </c>
      <c r="W39" s="73">
        <f>'Deferred Tax'!W58</f>
        <v>2846.543578584491</v>
      </c>
      <c r="X39" s="73">
        <f>'Deferred Tax'!X58</f>
        <v>1771.1537032571794</v>
      </c>
      <c r="Y39" s="73">
        <f>'Deferred Tax'!Y58</f>
        <v>-212.18235774864843</v>
      </c>
      <c r="Z39" s="73">
        <f>'Deferred Tax'!Z58</f>
        <v>372.5985501314427</v>
      </c>
      <c r="AA39" s="73">
        <f>'Deferred Tax'!AA58</f>
        <v>-3005.007922464506</v>
      </c>
      <c r="AB39" s="73">
        <f>'Deferred Tax'!AB58</f>
        <v>-1168.0504087186457</v>
      </c>
      <c r="AC39" s="73">
        <f>'Deferred Tax'!AC58</f>
        <v>-3343.8396448021854</v>
      </c>
      <c r="AD39" s="73">
        <f>'Deferred Tax'!AD58</f>
        <v>-3485.7747465999396</v>
      </c>
      <c r="AE39" s="73">
        <f>'Deferred Tax'!AE58</f>
        <v>-2655.6269603631863</v>
      </c>
      <c r="AF39" s="73">
        <f>'Deferred Tax'!AF58</f>
        <v>-4024.156619907313</v>
      </c>
      <c r="AG39" s="73">
        <f>'Deferred Tax'!AG58</f>
        <v>-1064.7747918703164</v>
      </c>
      <c r="AH39" s="73">
        <f>'Deferred Tax'!AH58</f>
        <v>-1024.889680406583</v>
      </c>
      <c r="AI39" s="73">
        <f>'Deferred Tax'!AI58</f>
        <v>2983.3441373029323</v>
      </c>
      <c r="AJ39" s="73">
        <f>'Deferred Tax'!AJ58</f>
        <v>38.89676533445596</v>
      </c>
      <c r="AK39" s="73">
        <f>'Deferred Tax'!AK58</f>
        <v>40.06366829448963</v>
      </c>
      <c r="AL39" s="73">
        <f>'Deferred Tax'!AL58</f>
        <v>41.26557834332432</v>
      </c>
      <c r="AM39" s="73">
        <f>'Deferred Tax'!AM58</f>
        <v>5822.985760026494</v>
      </c>
      <c r="AN39" s="73">
        <f>'Deferred Tax'!AN58</f>
        <v>14463.3973893803</v>
      </c>
    </row>
    <row r="40" spans="1:40" ht="15.75">
      <c r="A40" s="122">
        <f t="shared" si="1"/>
        <v>31</v>
      </c>
      <c r="B40" s="62"/>
      <c r="C40" s="37" t="s">
        <v>66</v>
      </c>
      <c r="D40" s="37"/>
      <c r="E40" s="90"/>
      <c r="F40" s="101">
        <f>NPV(Disc_,K40:AN40)*(1+Disc_/2)</f>
        <v>13458.265039047154</v>
      </c>
      <c r="G40" s="73">
        <f>SUM(K40:AN40)</f>
        <v>3431.172111000091</v>
      </c>
      <c r="H40" s="67"/>
      <c r="I40" s="75"/>
      <c r="J40" s="73"/>
      <c r="K40" s="101">
        <f>Tax!E124</f>
        <v>4048.0588837589908</v>
      </c>
      <c r="L40" s="101">
        <f>Tax!F124</f>
        <v>4016.9408635102945</v>
      </c>
      <c r="M40" s="101">
        <f>Tax!G124</f>
        <v>2765.109414752789</v>
      </c>
      <c r="N40" s="101">
        <f>Tax!H124</f>
        <v>2727.41272149178</v>
      </c>
      <c r="O40" s="101">
        <f>Tax!I124</f>
        <v>2552.587543647084</v>
      </c>
      <c r="P40" s="101">
        <f>Tax!J124</f>
        <v>1952.5011636366148</v>
      </c>
      <c r="Q40" s="101">
        <f>Tax!K124</f>
        <v>82.07161591654685</v>
      </c>
      <c r="R40" s="101">
        <f>Tax!L124</f>
        <v>-444.35000602244</v>
      </c>
      <c r="S40" s="101">
        <f>Tax!M124</f>
        <v>-456.1235696683251</v>
      </c>
      <c r="T40" s="101">
        <f>Tax!N124</f>
        <v>-664.6015359040484</v>
      </c>
      <c r="U40" s="101">
        <f>Tax!O124</f>
        <v>-1435.3149420515008</v>
      </c>
      <c r="V40" s="101">
        <f>Tax!P124</f>
        <v>-2074.553858768774</v>
      </c>
      <c r="W40" s="101">
        <f>Tax!Q124</f>
        <v>-2259.295559615586</v>
      </c>
      <c r="X40" s="101">
        <f>Tax!R124</f>
        <v>-1042.1252019842964</v>
      </c>
      <c r="Y40" s="101">
        <f>Tax!S124</f>
        <v>1003.4436971611118</v>
      </c>
      <c r="Z40" s="101">
        <f>Tax!T124</f>
        <v>441.34902221922886</v>
      </c>
      <c r="AA40" s="101">
        <f>Tax!U124</f>
        <v>3760.5320203365677</v>
      </c>
      <c r="AB40" s="101">
        <f>Tax!V124</f>
        <v>1836.70849870143</v>
      </c>
      <c r="AC40" s="101">
        <f>Tax!W124</f>
        <v>3906.7195639417923</v>
      </c>
      <c r="AD40" s="101">
        <f>Tax!X124</f>
        <v>3882.8151369014186</v>
      </c>
      <c r="AE40" s="101">
        <f>Tax!Y124</f>
        <v>2878.0130974475455</v>
      </c>
      <c r="AF40" s="101">
        <f>Tax!Z124</f>
        <v>4005.802417588637</v>
      </c>
      <c r="AG40" s="101">
        <f>Tax!AA124</f>
        <v>806.8498516116781</v>
      </c>
      <c r="AH40" s="101">
        <f>Tax!AB124</f>
        <v>602.314718241217</v>
      </c>
      <c r="AI40" s="101">
        <f>Tax!AC124</f>
        <v>-4109.865860927935</v>
      </c>
      <c r="AJ40" s="101">
        <f>Tax!AD124</f>
        <v>-1214.615719521693</v>
      </c>
      <c r="AK40" s="101">
        <f>Tax!AE124</f>
        <v>-1213.5201375927834</v>
      </c>
      <c r="AL40" s="101">
        <f>Tax!AF124</f>
        <v>-1212.3916882060064</v>
      </c>
      <c r="AM40" s="101">
        <f>Tax!AG124</f>
        <v>-6826.081130590331</v>
      </c>
      <c r="AN40" s="101">
        <f>Tax!AH124</f>
        <v>-14885.218909010924</v>
      </c>
    </row>
    <row r="41" spans="1:40" ht="16.5" thickBot="1">
      <c r="A41" s="122">
        <f t="shared" si="1"/>
        <v>32</v>
      </c>
      <c r="B41" s="62"/>
      <c r="C41" s="37"/>
      <c r="D41" s="37" t="s">
        <v>67</v>
      </c>
      <c r="E41" s="90"/>
      <c r="F41" s="126">
        <f>NPV(Disc_,K41:AN41)*(1+Disc_/2)</f>
        <v>4967.639530422213</v>
      </c>
      <c r="G41" s="127">
        <f>SUM(K41:AN41)</f>
        <v>-13647.83593550958</v>
      </c>
      <c r="H41" s="67"/>
      <c r="I41" s="75"/>
      <c r="J41" s="73"/>
      <c r="K41" s="135">
        <f>SUM(K37:K40)</f>
        <v>1990.2321303004533</v>
      </c>
      <c r="L41" s="135">
        <f aca="true" t="shared" si="15" ref="L41:AN41">SUM(L37:L40)</f>
        <v>1803.9379225479893</v>
      </c>
      <c r="M41" s="135">
        <f t="shared" si="15"/>
        <v>1970.5812060935004</v>
      </c>
      <c r="N41" s="135">
        <f t="shared" si="15"/>
        <v>1712.1967825789613</v>
      </c>
      <c r="O41" s="135">
        <f t="shared" si="15"/>
        <v>1037.3448964362913</v>
      </c>
      <c r="P41" s="135">
        <f t="shared" si="15"/>
        <v>249.37430735499902</v>
      </c>
      <c r="Q41" s="135">
        <f t="shared" si="15"/>
        <v>-304.41670344016075</v>
      </c>
      <c r="R41" s="135">
        <f t="shared" si="15"/>
        <v>-510.88249689762546</v>
      </c>
      <c r="S41" s="135">
        <f t="shared" si="15"/>
        <v>-483.68626079885394</v>
      </c>
      <c r="T41" s="135">
        <f t="shared" si="15"/>
        <v>-368.3313990837663</v>
      </c>
      <c r="U41" s="135">
        <f t="shared" si="15"/>
        <v>-106.74139934178606</v>
      </c>
      <c r="V41" s="135">
        <f t="shared" si="15"/>
        <v>350.2087544086685</v>
      </c>
      <c r="W41" s="135">
        <f t="shared" si="15"/>
        <v>915.0282270880125</v>
      </c>
      <c r="X41" s="135">
        <f t="shared" si="15"/>
        <v>1422.4334749059262</v>
      </c>
      <c r="Y41" s="135">
        <f t="shared" si="15"/>
        <v>1624.4966661376952</v>
      </c>
      <c r="Z41" s="135">
        <f t="shared" si="15"/>
        <v>1683.9838932821897</v>
      </c>
      <c r="AA41" s="135">
        <f t="shared" si="15"/>
        <v>1470.8508235018967</v>
      </c>
      <c r="AB41" s="135">
        <f t="shared" si="15"/>
        <v>1084.7759270281904</v>
      </c>
      <c r="AC41" s="135">
        <f t="shared" si="15"/>
        <v>669.3235481849852</v>
      </c>
      <c r="AD41" s="135">
        <f t="shared" si="15"/>
        <v>21.496541749866992</v>
      </c>
      <c r="AE41" s="135">
        <f t="shared" si="15"/>
        <v>-653.371826478437</v>
      </c>
      <c r="AF41" s="135">
        <f t="shared" si="15"/>
        <v>-1556.4959953892371</v>
      </c>
      <c r="AG41" s="135">
        <f t="shared" si="15"/>
        <v>-2435.0009065593313</v>
      </c>
      <c r="AH41" s="135">
        <f t="shared" si="15"/>
        <v>-3427.2560666096415</v>
      </c>
      <c r="AI41" s="135">
        <f t="shared" si="15"/>
        <v>-4046.137146661365</v>
      </c>
      <c r="AJ41" s="135">
        <f t="shared" si="15"/>
        <v>-4222.839235858698</v>
      </c>
      <c r="AK41" s="135">
        <f t="shared" si="15"/>
        <v>-4214.713050663213</v>
      </c>
      <c r="AL41" s="135">
        <f t="shared" si="15"/>
        <v>-4206.343079911863</v>
      </c>
      <c r="AM41" s="135">
        <f t="shared" si="15"/>
        <v>-3602.8257204149877</v>
      </c>
      <c r="AN41" s="135">
        <f t="shared" si="15"/>
        <v>-1515.0597490002383</v>
      </c>
    </row>
    <row r="42" spans="1:38" ht="15.75">
      <c r="A42" s="122">
        <f t="shared" si="1"/>
        <v>33</v>
      </c>
      <c r="B42" s="58"/>
      <c r="C42" s="61"/>
      <c r="D42" s="61"/>
      <c r="E42" s="62"/>
      <c r="F42" s="73"/>
      <c r="G42" s="136"/>
      <c r="H42" s="67"/>
      <c r="I42" s="75"/>
      <c r="J42" s="73"/>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row>
    <row r="43" spans="1:40" ht="15.75">
      <c r="A43" s="122">
        <f t="shared" si="1"/>
        <v>34</v>
      </c>
      <c r="B43" s="58"/>
      <c r="C43" s="58"/>
      <c r="D43" s="58"/>
      <c r="E43" s="62"/>
      <c r="F43" s="67"/>
      <c r="G43" s="67"/>
      <c r="H43" s="67"/>
      <c r="I43" s="75"/>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row>
    <row r="44" spans="1:40" ht="18.75">
      <c r="A44" s="122">
        <f t="shared" si="1"/>
        <v>35</v>
      </c>
      <c r="B44" s="59" t="s">
        <v>83</v>
      </c>
      <c r="C44" s="58"/>
      <c r="D44" s="58"/>
      <c r="E44" s="58"/>
      <c r="F44" s="58"/>
      <c r="G44" s="58"/>
      <c r="H44" s="67"/>
      <c r="I44" s="58"/>
      <c r="J44" s="79"/>
      <c r="K44" s="80"/>
      <c r="L44" s="80"/>
      <c r="M44" s="58"/>
      <c r="N44" s="58"/>
      <c r="O44" s="58"/>
      <c r="P44" s="58"/>
      <c r="Q44" s="58"/>
      <c r="R44" s="58"/>
      <c r="S44" s="58"/>
      <c r="T44" s="58"/>
      <c r="U44" s="58"/>
      <c r="V44" s="58"/>
      <c r="W44" s="58"/>
      <c r="X44" s="58"/>
      <c r="Y44" s="58"/>
      <c r="Z44" s="58"/>
      <c r="AA44" s="58"/>
      <c r="AB44" s="58"/>
      <c r="AC44" s="58"/>
      <c r="AD44" s="58"/>
      <c r="AE44" s="58"/>
      <c r="AF44" s="58"/>
      <c r="AG44" s="58"/>
      <c r="AH44" s="58"/>
      <c r="AI44" s="58"/>
      <c r="AJ44" s="67"/>
      <c r="AK44" s="67"/>
      <c r="AL44" s="58"/>
      <c r="AM44" s="58"/>
      <c r="AN44" s="58"/>
    </row>
    <row r="45" spans="1:40" ht="15.75">
      <c r="A45" s="122">
        <f t="shared" si="1"/>
        <v>36</v>
      </c>
      <c r="B45" s="60"/>
      <c r="C45" s="61"/>
      <c r="D45" s="62"/>
      <c r="E45" s="62"/>
      <c r="F45" s="63" t="s">
        <v>659</v>
      </c>
      <c r="G45" s="87"/>
      <c r="H45" s="67"/>
      <c r="I45" s="87"/>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67"/>
      <c r="AK45" s="67"/>
      <c r="AL45" s="58"/>
      <c r="AM45" s="58"/>
      <c r="AN45" s="58"/>
    </row>
    <row r="46" spans="1:40" ht="15.75">
      <c r="A46" s="122">
        <f t="shared" si="1"/>
        <v>37</v>
      </c>
      <c r="B46" s="61" t="s">
        <v>53</v>
      </c>
      <c r="C46" s="61"/>
      <c r="D46" s="62"/>
      <c r="E46" s="62"/>
      <c r="F46" s="625" t="s">
        <v>660</v>
      </c>
      <c r="G46" s="64" t="s">
        <v>54</v>
      </c>
      <c r="H46" s="67"/>
      <c r="I46" s="88"/>
      <c r="J46" s="88">
        <v>1999</v>
      </c>
      <c r="K46" s="88">
        <f aca="true" t="shared" si="16" ref="K46:AH46">J46+1</f>
        <v>2000</v>
      </c>
      <c r="L46" s="88">
        <f t="shared" si="16"/>
        <v>2001</v>
      </c>
      <c r="M46" s="88">
        <f t="shared" si="16"/>
        <v>2002</v>
      </c>
      <c r="N46" s="88">
        <f t="shared" si="16"/>
        <v>2003</v>
      </c>
      <c r="O46" s="88">
        <f t="shared" si="16"/>
        <v>2004</v>
      </c>
      <c r="P46" s="88">
        <f t="shared" si="16"/>
        <v>2005</v>
      </c>
      <c r="Q46" s="88">
        <f t="shared" si="16"/>
        <v>2006</v>
      </c>
      <c r="R46" s="88">
        <f t="shared" si="16"/>
        <v>2007</v>
      </c>
      <c r="S46" s="88">
        <f t="shared" si="16"/>
        <v>2008</v>
      </c>
      <c r="T46" s="88">
        <f t="shared" si="16"/>
        <v>2009</v>
      </c>
      <c r="U46" s="88">
        <f t="shared" si="16"/>
        <v>2010</v>
      </c>
      <c r="V46" s="88">
        <f t="shared" si="16"/>
        <v>2011</v>
      </c>
      <c r="W46" s="88">
        <f t="shared" si="16"/>
        <v>2012</v>
      </c>
      <c r="X46" s="88">
        <f t="shared" si="16"/>
        <v>2013</v>
      </c>
      <c r="Y46" s="88">
        <f t="shared" si="16"/>
        <v>2014</v>
      </c>
      <c r="Z46" s="88">
        <f t="shared" si="16"/>
        <v>2015</v>
      </c>
      <c r="AA46" s="88">
        <f t="shared" si="16"/>
        <v>2016</v>
      </c>
      <c r="AB46" s="88">
        <f t="shared" si="16"/>
        <v>2017</v>
      </c>
      <c r="AC46" s="88">
        <f t="shared" si="16"/>
        <v>2018</v>
      </c>
      <c r="AD46" s="88">
        <f t="shared" si="16"/>
        <v>2019</v>
      </c>
      <c r="AE46" s="88">
        <f t="shared" si="16"/>
        <v>2020</v>
      </c>
      <c r="AF46" s="88">
        <f t="shared" si="16"/>
        <v>2021</v>
      </c>
      <c r="AG46" s="88">
        <f t="shared" si="16"/>
        <v>2022</v>
      </c>
      <c r="AH46" s="88">
        <f t="shared" si="16"/>
        <v>2023</v>
      </c>
      <c r="AI46" s="88">
        <f aca="true" t="shared" si="17" ref="AI46:AN46">AH46+1</f>
        <v>2024</v>
      </c>
      <c r="AJ46" s="88">
        <f t="shared" si="17"/>
        <v>2025</v>
      </c>
      <c r="AK46" s="88">
        <f t="shared" si="17"/>
        <v>2026</v>
      </c>
      <c r="AL46" s="88">
        <f t="shared" si="17"/>
        <v>2027</v>
      </c>
      <c r="AM46" s="88">
        <f t="shared" si="17"/>
        <v>2028</v>
      </c>
      <c r="AN46" s="88">
        <f t="shared" si="17"/>
        <v>2029</v>
      </c>
    </row>
    <row r="47" spans="1:40" ht="15.75">
      <c r="A47" s="122">
        <f t="shared" si="1"/>
        <v>38</v>
      </c>
      <c r="B47" s="62"/>
      <c r="C47" s="37" t="s">
        <v>68</v>
      </c>
      <c r="D47" s="37"/>
      <c r="E47" s="62"/>
      <c r="F47" s="84">
        <f>'PPW PPE'!F16/1000</f>
        <v>66952.77983</v>
      </c>
      <c r="G47" s="73">
        <f>AH47</f>
        <v>230708.68051290273</v>
      </c>
      <c r="H47" s="67">
        <f>(J47+J48)-('Gain Calculation'!D31+'Gain Calculation'!D32)/1000</f>
        <v>0.023410972142301034</v>
      </c>
      <c r="I47" s="75"/>
      <c r="J47" s="73">
        <f>(F47+J110)</f>
        <v>70526.330705</v>
      </c>
      <c r="K47" s="73">
        <f aca="true" t="shared" si="18" ref="K47:AN47">IF(K59=0,0,J47+K110)</f>
        <v>71372.733205</v>
      </c>
      <c r="L47" s="73">
        <f t="shared" si="18"/>
        <v>146839.95247894916</v>
      </c>
      <c r="M47" s="73">
        <f t="shared" si="18"/>
        <v>185642.97582640708</v>
      </c>
      <c r="N47" s="73">
        <f t="shared" si="18"/>
        <v>188007.05080637158</v>
      </c>
      <c r="O47" s="73">
        <f t="shared" si="18"/>
        <v>189934.34395489533</v>
      </c>
      <c r="P47" s="73">
        <f t="shared" si="18"/>
        <v>191919.45589787478</v>
      </c>
      <c r="Q47" s="73">
        <f t="shared" si="18"/>
        <v>193964.1211991436</v>
      </c>
      <c r="R47" s="73">
        <f t="shared" si="18"/>
        <v>196070.12645945052</v>
      </c>
      <c r="S47" s="73">
        <f t="shared" si="18"/>
        <v>198239.31187756665</v>
      </c>
      <c r="T47" s="73">
        <f t="shared" si="18"/>
        <v>200473.57285822625</v>
      </c>
      <c r="U47" s="73">
        <f t="shared" si="18"/>
        <v>202774.86166830565</v>
      </c>
      <c r="V47" s="73">
        <f t="shared" si="18"/>
        <v>205145.18914268742</v>
      </c>
      <c r="W47" s="73">
        <f t="shared" si="18"/>
        <v>207586.62644130064</v>
      </c>
      <c r="X47" s="73">
        <f t="shared" si="18"/>
        <v>210101.30685887227</v>
      </c>
      <c r="Y47" s="73">
        <f t="shared" si="18"/>
        <v>212691.42768897105</v>
      </c>
      <c r="Z47" s="73">
        <f t="shared" si="18"/>
        <v>215359.2521439728</v>
      </c>
      <c r="AA47" s="73">
        <f t="shared" si="18"/>
        <v>218107.11133262457</v>
      </c>
      <c r="AB47" s="73">
        <f t="shared" si="18"/>
        <v>220937.40629693592</v>
      </c>
      <c r="AC47" s="73">
        <f t="shared" si="18"/>
        <v>223852.6101101766</v>
      </c>
      <c r="AD47" s="73">
        <f t="shared" si="18"/>
        <v>226855.2700378145</v>
      </c>
      <c r="AE47" s="73">
        <f t="shared" si="18"/>
        <v>229174.8248319148</v>
      </c>
      <c r="AF47" s="73">
        <f t="shared" si="18"/>
        <v>230369.39555087645</v>
      </c>
      <c r="AG47" s="73">
        <f t="shared" si="18"/>
        <v>230676.99751100907</v>
      </c>
      <c r="AH47" s="73">
        <f t="shared" si="18"/>
        <v>230708.68051290273</v>
      </c>
      <c r="AI47" s="73">
        <f t="shared" si="18"/>
        <v>0</v>
      </c>
      <c r="AJ47" s="73">
        <f t="shared" si="18"/>
        <v>0</v>
      </c>
      <c r="AK47" s="73">
        <f t="shared" si="18"/>
        <v>0</v>
      </c>
      <c r="AL47" s="73">
        <f t="shared" si="18"/>
        <v>0</v>
      </c>
      <c r="AM47" s="73">
        <f t="shared" si="18"/>
        <v>0</v>
      </c>
      <c r="AN47" s="73">
        <f t="shared" si="18"/>
        <v>0</v>
      </c>
    </row>
    <row r="48" spans="1:40" ht="15.75">
      <c r="A48" s="122">
        <f t="shared" si="1"/>
        <v>39</v>
      </c>
      <c r="B48" s="62"/>
      <c r="C48" s="37" t="s">
        <v>81</v>
      </c>
      <c r="D48" s="37"/>
      <c r="E48" s="90"/>
      <c r="F48" s="67">
        <v>0</v>
      </c>
      <c r="G48" s="73">
        <f>AH48</f>
        <v>-286365.58132332336</v>
      </c>
      <c r="H48" s="67"/>
      <c r="I48" s="75"/>
      <c r="J48" s="73">
        <f>(F48-('Book Depr'!K6+'Book Depr'!K7+'Book Depr'!K8+'Book Depr'!K9)*Inputs!$G$7)</f>
        <v>-6300.754924027862</v>
      </c>
      <c r="K48" s="73">
        <f aca="true" t="shared" si="19" ref="K48:AN48">IF(K59=0,0,J48-K59)</f>
        <v>-13259.973972474225</v>
      </c>
      <c r="L48" s="73">
        <f t="shared" si="19"/>
        <v>-23449.222415944103</v>
      </c>
      <c r="M48" s="73">
        <f t="shared" si="19"/>
        <v>-35362.81980020207</v>
      </c>
      <c r="N48" s="73">
        <f t="shared" si="19"/>
        <v>-47396.51507616215</v>
      </c>
      <c r="O48" s="73">
        <f t="shared" si="19"/>
        <v>-59526.5750095484</v>
      </c>
      <c r="P48" s="73">
        <f t="shared" si="19"/>
        <v>-71761.11451888095</v>
      </c>
      <c r="Q48" s="73">
        <f t="shared" si="19"/>
        <v>-84109.24654495066</v>
      </c>
      <c r="R48" s="73">
        <f t="shared" si="19"/>
        <v>-96581.26123339136</v>
      </c>
      <c r="S48" s="73">
        <f t="shared" si="19"/>
        <v>-109188.85001046432</v>
      </c>
      <c r="T48" s="73">
        <f t="shared" si="19"/>
        <v>-121945.38951958125</v>
      </c>
      <c r="U48" s="73">
        <f t="shared" si="19"/>
        <v>-134866.3068008467</v>
      </c>
      <c r="V48" s="73">
        <f t="shared" si="19"/>
        <v>-147969.55696475692</v>
      </c>
      <c r="W48" s="73">
        <f t="shared" si="19"/>
        <v>-161276.2602368849</v>
      </c>
      <c r="X48" s="73">
        <f t="shared" si="19"/>
        <v>-174811.5708197012</v>
      </c>
      <c r="Y48" s="73">
        <f t="shared" si="19"/>
        <v>-184165.24658767026</v>
      </c>
      <c r="Z48" s="73">
        <f t="shared" si="19"/>
        <v>-193815.34729508395</v>
      </c>
      <c r="AA48" s="73">
        <f t="shared" si="19"/>
        <v>-203808.9304010791</v>
      </c>
      <c r="AB48" s="73">
        <f t="shared" si="19"/>
        <v>-214206.84135911873</v>
      </c>
      <c r="AC48" s="73">
        <f t="shared" si="19"/>
        <v>-225090.61961936514</v>
      </c>
      <c r="AD48" s="73">
        <f t="shared" si="19"/>
        <v>-236574.92986513913</v>
      </c>
      <c r="AE48" s="73">
        <f t="shared" si="19"/>
        <v>-248639.1288094382</v>
      </c>
      <c r="AF48" s="73">
        <f t="shared" si="19"/>
        <v>-261101.51799339114</v>
      </c>
      <c r="AG48" s="73">
        <f t="shared" si="19"/>
        <v>-273717.7081574104</v>
      </c>
      <c r="AH48" s="73">
        <f t="shared" si="19"/>
        <v>-286365.58132332336</v>
      </c>
      <c r="AI48" s="73">
        <f t="shared" si="19"/>
        <v>0</v>
      </c>
      <c r="AJ48" s="73">
        <f t="shared" si="19"/>
        <v>0</v>
      </c>
      <c r="AK48" s="73">
        <f t="shared" si="19"/>
        <v>0</v>
      </c>
      <c r="AL48" s="73">
        <f t="shared" si="19"/>
        <v>0</v>
      </c>
      <c r="AM48" s="73">
        <f t="shared" si="19"/>
        <v>0</v>
      </c>
      <c r="AN48" s="73">
        <f t="shared" si="19"/>
        <v>0</v>
      </c>
    </row>
    <row r="49" spans="1:40" ht="15.75">
      <c r="A49" s="122">
        <f t="shared" si="1"/>
        <v>40</v>
      </c>
      <c r="B49" s="62"/>
      <c r="C49" s="37" t="s">
        <v>57</v>
      </c>
      <c r="D49" s="37"/>
      <c r="E49" s="90"/>
      <c r="F49" s="66">
        <f>6062.99791*Inputs!H9</f>
        <v>5886.405737864078</v>
      </c>
      <c r="G49" s="73">
        <f>AI49</f>
        <v>0</v>
      </c>
      <c r="H49" s="67">
        <f>J49+'Gain Calculation'!D68/1000</f>
        <v>0</v>
      </c>
      <c r="I49" s="75"/>
      <c r="J49" s="73">
        <f>IF(J47=0,0,F49*(1+Inputs!$G$9))</f>
        <v>6062.997910000001</v>
      </c>
      <c r="K49" s="73">
        <f>IF(K47=0,0,J49*(1+Inputs!$G$9))</f>
        <v>6244.887847300001</v>
      </c>
      <c r="L49" s="73">
        <f>IF(L47=0,0,K49*(1+Inputs!$G$9))</f>
        <v>6432.234482719002</v>
      </c>
      <c r="M49" s="73">
        <f>IF(M47=0,0,L49*(1+Inputs!$G$9))</f>
        <v>6625.201517200572</v>
      </c>
      <c r="N49" s="73">
        <f>IF(N47=0,0,M49*(1+Inputs!$G$9))</f>
        <v>6823.95756271659</v>
      </c>
      <c r="O49" s="73">
        <f>IF(O47=0,0,N49*(1+Inputs!$G$9))</f>
        <v>7028.676289598087</v>
      </c>
      <c r="P49" s="73">
        <f>IF(P47=0,0,O49*(1+Inputs!$G$9))</f>
        <v>7239.53657828603</v>
      </c>
      <c r="Q49" s="73">
        <f>IF(Q47=0,0,P49*(1+Inputs!$G$9))</f>
        <v>7456.722675634611</v>
      </c>
      <c r="R49" s="73">
        <f>IF(R47=0,0,Q49*(1+Inputs!$G$9))</f>
        <v>7680.4243559036495</v>
      </c>
      <c r="S49" s="73">
        <f>IF(S47=0,0,R49*(1+Inputs!$G$9))</f>
        <v>7910.837086580759</v>
      </c>
      <c r="T49" s="73">
        <f>IF(T47=0,0,S49*(1+Inputs!$G$9))</f>
        <v>8148.162199178182</v>
      </c>
      <c r="U49" s="73">
        <f>IF(U47=0,0,T49*(1+Inputs!$G$9))</f>
        <v>8392.607065153528</v>
      </c>
      <c r="V49" s="73">
        <f>IF(V47=0,0,U49*(1+Inputs!$G$9))</f>
        <v>8644.385277108135</v>
      </c>
      <c r="W49" s="73">
        <f>IF(W47=0,0,V49*(1+Inputs!$G$9))</f>
        <v>8903.716835421379</v>
      </c>
      <c r="X49" s="73">
        <f>IF(X47=0,0,W49*(1+Inputs!$G$9))</f>
        <v>9170.82834048402</v>
      </c>
      <c r="Y49" s="73">
        <f>IF(Y47=0,0,X49*(1+Inputs!$G$9))</f>
        <v>9445.953190698541</v>
      </c>
      <c r="Z49" s="73">
        <f>IF(Z47=0,0,Y49*(1+Inputs!$G$9))</f>
        <v>9729.331786419498</v>
      </c>
      <c r="AA49" s="73">
        <f>IF(AA47=0,0,Z49*(1+Inputs!$G$9))</f>
        <v>10021.211740012082</v>
      </c>
      <c r="AB49" s="73">
        <f>IF(AB47=0,0,AA49*(1+Inputs!$G$9))</f>
        <v>10321.848092212445</v>
      </c>
      <c r="AC49" s="73">
        <f>IF(AC47=0,0,AB49*(1+Inputs!$G$9))</f>
        <v>10631.50353497882</v>
      </c>
      <c r="AD49" s="73">
        <f>IF(AD47=0,0,AC49*(1+Inputs!$G$9))</f>
        <v>10950.448641028184</v>
      </c>
      <c r="AE49" s="73">
        <f>IF(AE47=0,0,AD49*(1+Inputs!$G$9))</f>
        <v>11278.96210025903</v>
      </c>
      <c r="AF49" s="73">
        <f>IF(AF47=0,0,AE49*(1+Inputs!$G$9))</f>
        <v>11617.3309632668</v>
      </c>
      <c r="AG49" s="73">
        <f>IF(AG47=0,0,AF49*(1+Inputs!$G$9))</f>
        <v>11965.850892164804</v>
      </c>
      <c r="AH49" s="73">
        <f>IF(AH47=0,0,AG49*(1+Inputs!$G$9))</f>
        <v>12324.82641892975</v>
      </c>
      <c r="AI49" s="67"/>
      <c r="AJ49" s="67"/>
      <c r="AK49" s="67"/>
      <c r="AL49" s="67"/>
      <c r="AM49" s="67"/>
      <c r="AN49" s="67"/>
    </row>
    <row r="50" spans="1:40" ht="15.75">
      <c r="A50" s="122">
        <f t="shared" si="1"/>
        <v>41</v>
      </c>
      <c r="B50" s="62"/>
      <c r="C50" s="37" t="s">
        <v>69</v>
      </c>
      <c r="D50" s="37"/>
      <c r="E50" s="90"/>
      <c r="F50" s="66">
        <f>'Inventory Loss'!J55/1000*Inputs!H9</f>
        <v>8148.209436905392</v>
      </c>
      <c r="G50" s="73">
        <f>AI50</f>
        <v>0</v>
      </c>
      <c r="H50" s="75">
        <f>J50+'Gain Calculation'!D70/1000</f>
        <v>-72</v>
      </c>
      <c r="I50" s="75"/>
      <c r="J50" s="73">
        <f>IF(J48=0,0,F50*(1+Inputs!$G$9))</f>
        <v>8392.655720012554</v>
      </c>
      <c r="K50" s="73">
        <f>IF(K48=0,0,J50*(1+Inputs!$G$9))</f>
        <v>8644.435391612931</v>
      </c>
      <c r="L50" s="73">
        <f>IF(L48=0,0,K50*(1+Inputs!$G$9))</f>
        <v>8903.76845336132</v>
      </c>
      <c r="M50" s="73">
        <f>IF(M48=0,0,L50*(1+Inputs!$G$9))</f>
        <v>9170.88150696216</v>
      </c>
      <c r="N50" s="73">
        <f>IF(N48=0,0,M50*(1+Inputs!$G$9))</f>
        <v>9446.007952171025</v>
      </c>
      <c r="O50" s="73">
        <f>IF(O48=0,0,N50*(1+Inputs!$G$9))</f>
        <v>9729.388190736156</v>
      </c>
      <c r="P50" s="73">
        <f>IF(P48=0,0,O50*(1+Inputs!$G$9))</f>
        <v>10021.269836458241</v>
      </c>
      <c r="Q50" s="73">
        <f>IF(Q48=0,0,P50*(1+Inputs!$G$9))</f>
        <v>10321.907931551988</v>
      </c>
      <c r="R50" s="73">
        <f>IF(R48=0,0,Q50*(1+Inputs!$G$9))</f>
        <v>10631.565169498548</v>
      </c>
      <c r="S50" s="73">
        <f>IF(S48=0,0,R50*(1+Inputs!$G$9))</f>
        <v>10950.512124583505</v>
      </c>
      <c r="T50" s="73">
        <f>IF(T48=0,0,S50*(1+Inputs!$G$9))</f>
        <v>11279.027488321011</v>
      </c>
      <c r="U50" s="73">
        <f>IF(U48=0,0,T50*(1+Inputs!$G$9))</f>
        <v>11617.398312970641</v>
      </c>
      <c r="V50" s="73">
        <f>IF(V48=0,0,U50*(1+Inputs!$G$9))</f>
        <v>11965.920262359761</v>
      </c>
      <c r="W50" s="73">
        <f>IF(W48=0,0,V50*(1+Inputs!$G$9))</f>
        <v>12324.897870230554</v>
      </c>
      <c r="X50" s="73">
        <f>IF(X48=0,0,W50*(1+Inputs!$G$9))</f>
        <v>12694.64480633747</v>
      </c>
      <c r="Y50" s="73">
        <f>IF(Y48=0,0,X50*(1+Inputs!$G$9))</f>
        <v>13075.484150527594</v>
      </c>
      <c r="Z50" s="73">
        <f>IF(Z48=0,0,Y50*(1+Inputs!$G$9))</f>
        <v>13467.748675043422</v>
      </c>
      <c r="AA50" s="73">
        <f>IF(AA48=0,0,Z50*(1+Inputs!$G$9))</f>
        <v>13871.781135294725</v>
      </c>
      <c r="AB50" s="73">
        <f>IF(AB48=0,0,AA50*(1+Inputs!$G$9))</f>
        <v>14287.934569353567</v>
      </c>
      <c r="AC50" s="73">
        <f>IF(AC48=0,0,AB50*(1+Inputs!$G$9))</f>
        <v>14716.572606434174</v>
      </c>
      <c r="AD50" s="73">
        <f>IF(AD48=0,0,AC50*(1+Inputs!$G$9))</f>
        <v>15158.0697846272</v>
      </c>
      <c r="AE50" s="73">
        <f>IF(AE48=0,0,AD50*(1+Inputs!$G$9))</f>
        <v>15612.811878166016</v>
      </c>
      <c r="AF50" s="73">
        <f>IF(AF48=0,0,AE50*(1+Inputs!$G$9))</f>
        <v>16081.196234510997</v>
      </c>
      <c r="AG50" s="73">
        <f>IF(AG48=0,0,AF50*(1+Inputs!$G$9))</f>
        <v>16563.63212154633</v>
      </c>
      <c r="AH50" s="73">
        <f>IF(AH48=0,0,AG50*(1+Inputs!$G$9))</f>
        <v>17060.54108519272</v>
      </c>
      <c r="AI50" s="67"/>
      <c r="AJ50" s="67"/>
      <c r="AK50" s="67"/>
      <c r="AL50" s="67"/>
      <c r="AM50" s="67"/>
      <c r="AN50" s="67"/>
    </row>
    <row r="51" spans="1:40" ht="15.75">
      <c r="A51" s="122">
        <f t="shared" si="1"/>
        <v>42</v>
      </c>
      <c r="B51" s="62"/>
      <c r="C51" s="37" t="s">
        <v>59</v>
      </c>
      <c r="D51" s="37"/>
      <c r="E51" s="90"/>
      <c r="F51" s="66">
        <f>-(Tax!I12+Tax!I15)/1000+'Deferred Tax'!J33</f>
        <v>-12037.695954567025</v>
      </c>
      <c r="G51" s="73">
        <f>AN51</f>
        <v>0</v>
      </c>
      <c r="H51" s="67">
        <f>('Gain Calculation'!D76+'Gain Calculation'!D79)/1000+J51</f>
        <v>0</v>
      </c>
      <c r="I51" s="75"/>
      <c r="J51" s="73">
        <f>F51-'Deferred Tax'!J33</f>
        <v>-11739.898774415002</v>
      </c>
      <c r="K51" s="73">
        <f>J51-'Deferred Tax'!K33</f>
        <v>-11279.775091707643</v>
      </c>
      <c r="L51" s="73">
        <f>K51-'Deferred Tax'!L33</f>
        <v>-10682.460287170621</v>
      </c>
      <c r="M51" s="73">
        <f>L51-'Deferred Tax'!M33</f>
        <v>-10904.695794902073</v>
      </c>
      <c r="N51" s="73">
        <f>M51-'Deferred Tax'!N33</f>
        <v>-11442.235434929153</v>
      </c>
      <c r="O51" s="73">
        <f>N51-'Deferred Tax'!O33</f>
        <v>-11785.665637763772</v>
      </c>
      <c r="P51" s="73">
        <f>O51-'Deferred Tax'!P33</f>
        <v>-11939.13317391528</v>
      </c>
      <c r="Q51" s="73">
        <f>P51-'Deferred Tax'!Q33</f>
        <v>-11535.824064032236</v>
      </c>
      <c r="R51" s="73">
        <f>Q51-'Deferred Tax'!R33</f>
        <v>-10900.782154783166</v>
      </c>
      <c r="S51" s="73">
        <f>R51-'Deferred Tax'!S33</f>
        <v>-10062.36883775481</v>
      </c>
      <c r="T51" s="73">
        <f>S51-'Deferred Tax'!T33</f>
        <v>-9143.911083291616</v>
      </c>
      <c r="U51" s="73">
        <f>T51-'Deferred Tax'!U33</f>
        <v>-7808.362267418605</v>
      </c>
      <c r="V51" s="73">
        <f>U51-'Deferred Tax'!V33</f>
        <v>-6447.047747858882</v>
      </c>
      <c r="W51" s="73">
        <f>V51-'Deferred Tax'!W33</f>
        <v>-4921.973228306869</v>
      </c>
      <c r="X51" s="73">
        <f>W51-'Deferred Tax'!X33</f>
        <v>-3211.752615516798</v>
      </c>
      <c r="Y51" s="73">
        <f>X51-'Deferred Tax'!Y33</f>
        <v>-3107.2782997444237</v>
      </c>
      <c r="Z51" s="73">
        <f>Y51-'Deferred Tax'!Z33</f>
        <v>-2939.89393075569</v>
      </c>
      <c r="AA51" s="73">
        <f>Z51-'Deferred Tax'!AA33</f>
        <v>-2693.1812820454907</v>
      </c>
      <c r="AB51" s="73">
        <f>AA51-'Deferred Tax'!AB33</f>
        <v>-2346.203911679772</v>
      </c>
      <c r="AC51" s="73">
        <f>AB51-'Deferred Tax'!AC33</f>
        <v>-1869.76850007388</v>
      </c>
      <c r="AD51" s="73">
        <f>AC51-'Deferred Tax'!AD33</f>
        <v>-1192.6805328240825</v>
      </c>
      <c r="AE51" s="73">
        <f>AD51-'Deferred Tax'!AE33</f>
        <v>-305.7872192779563</v>
      </c>
      <c r="AF51" s="73">
        <f>AE51-'Deferred Tax'!AF33</f>
        <v>1315.3360065234651</v>
      </c>
      <c r="AG51" s="73">
        <f>AF51-'Deferred Tax'!AG33</f>
        <v>3906.4489121190063</v>
      </c>
      <c r="AH51" s="73">
        <f>AG51-'Deferred Tax'!AH33</f>
        <v>0</v>
      </c>
      <c r="AI51" s="73">
        <f>AH51-'Deferred Tax'!AI33</f>
        <v>0</v>
      </c>
      <c r="AJ51" s="73">
        <f>AI51-'Deferred Tax'!AJ33</f>
        <v>0</v>
      </c>
      <c r="AK51" s="73">
        <f>AJ51-'Deferred Tax'!AK33</f>
        <v>0</v>
      </c>
      <c r="AL51" s="73">
        <f>AK51-'Deferred Tax'!AL33</f>
        <v>0</v>
      </c>
      <c r="AM51" s="73">
        <f>AL51-'Deferred Tax'!AM33</f>
        <v>0</v>
      </c>
      <c r="AN51" s="73">
        <f>AM51-'Deferred Tax'!AN33</f>
        <v>0</v>
      </c>
    </row>
    <row r="52" spans="1:40" ht="15.75">
      <c r="A52" s="122">
        <f t="shared" si="1"/>
        <v>43</v>
      </c>
      <c r="B52" s="62"/>
      <c r="C52" s="37"/>
      <c r="D52" s="37" t="s">
        <v>60</v>
      </c>
      <c r="E52" s="90"/>
      <c r="F52" s="102">
        <f>SUM(F47:F51)</f>
        <v>68949.69905020244</v>
      </c>
      <c r="G52" s="73">
        <f>AK52</f>
        <v>0</v>
      </c>
      <c r="H52" s="67"/>
      <c r="I52" s="75"/>
      <c r="J52" s="102">
        <f aca="true" t="shared" si="20" ref="J52:AH52">SUM(J47:J51)</f>
        <v>66941.33063656969</v>
      </c>
      <c r="K52" s="102">
        <f t="shared" si="20"/>
        <v>61722.30737973106</v>
      </c>
      <c r="L52" s="102">
        <f t="shared" si="20"/>
        <v>128044.27271191475</v>
      </c>
      <c r="M52" s="102">
        <f t="shared" si="20"/>
        <v>155171.54325546566</v>
      </c>
      <c r="N52" s="102">
        <f t="shared" si="20"/>
        <v>145438.2658101679</v>
      </c>
      <c r="O52" s="102">
        <f t="shared" si="20"/>
        <v>135380.1677879174</v>
      </c>
      <c r="P52" s="102">
        <f t="shared" si="20"/>
        <v>125480.01461982283</v>
      </c>
      <c r="Q52" s="102">
        <f t="shared" si="20"/>
        <v>116097.68119734732</v>
      </c>
      <c r="R52" s="102">
        <f t="shared" si="20"/>
        <v>106900.07259667819</v>
      </c>
      <c r="S52" s="102">
        <f t="shared" si="20"/>
        <v>97849.44224051178</v>
      </c>
      <c r="T52" s="102">
        <f t="shared" si="20"/>
        <v>88811.46194285258</v>
      </c>
      <c r="U52" s="102">
        <f t="shared" si="20"/>
        <v>80110.1979781645</v>
      </c>
      <c r="V52" s="102">
        <f t="shared" si="20"/>
        <v>71338.88996953951</v>
      </c>
      <c r="W52" s="102">
        <f t="shared" si="20"/>
        <v>62617.00768176081</v>
      </c>
      <c r="X52" s="102">
        <f t="shared" si="20"/>
        <v>53943.45657047574</v>
      </c>
      <c r="Y52" s="102">
        <f t="shared" si="20"/>
        <v>47940.340142782494</v>
      </c>
      <c r="Z52" s="102">
        <f t="shared" si="20"/>
        <v>41801.091379596066</v>
      </c>
      <c r="AA52" s="102">
        <f t="shared" si="20"/>
        <v>35497.99252480679</v>
      </c>
      <c r="AB52" s="102">
        <f t="shared" si="20"/>
        <v>28994.143687703432</v>
      </c>
      <c r="AC52" s="102">
        <f t="shared" si="20"/>
        <v>22240.298132150587</v>
      </c>
      <c r="AD52" s="102">
        <f t="shared" si="20"/>
        <v>15196.178065506681</v>
      </c>
      <c r="AE52" s="102">
        <f t="shared" si="20"/>
        <v>7121.682781623684</v>
      </c>
      <c r="AF52" s="102">
        <f t="shared" si="20"/>
        <v>-1718.2592382134294</v>
      </c>
      <c r="AG52" s="102">
        <f t="shared" si="20"/>
        <v>-10604.778720571168</v>
      </c>
      <c r="AH52" s="102">
        <f t="shared" si="20"/>
        <v>-26271.533306298163</v>
      </c>
      <c r="AI52" s="102">
        <f aca="true" t="shared" si="21" ref="AI52:AN52">SUM(AI47:AI51)</f>
        <v>0</v>
      </c>
      <c r="AJ52" s="102">
        <f t="shared" si="21"/>
        <v>0</v>
      </c>
      <c r="AK52" s="102">
        <f t="shared" si="21"/>
        <v>0</v>
      </c>
      <c r="AL52" s="102">
        <f t="shared" si="21"/>
        <v>0</v>
      </c>
      <c r="AM52" s="102">
        <f t="shared" si="21"/>
        <v>0</v>
      </c>
      <c r="AN52" s="102">
        <f t="shared" si="21"/>
        <v>0</v>
      </c>
    </row>
    <row r="53" spans="1:40" ht="16.5" thickBot="1">
      <c r="A53" s="122">
        <f t="shared" si="1"/>
        <v>44</v>
      </c>
      <c r="B53" s="62"/>
      <c r="C53" s="37"/>
      <c r="D53" s="37" t="s">
        <v>61</v>
      </c>
      <c r="E53" s="62"/>
      <c r="F53" s="67"/>
      <c r="G53" s="67"/>
      <c r="H53" s="67"/>
      <c r="I53" s="75"/>
      <c r="J53" s="103">
        <f>(F52+J52)/2</f>
        <v>67945.51484338607</v>
      </c>
      <c r="K53" s="103">
        <f aca="true" t="shared" si="22" ref="K53:AH53">(J52+K52)/2</f>
        <v>64331.81900815037</v>
      </c>
      <c r="L53" s="103">
        <f t="shared" si="22"/>
        <v>94883.2900458229</v>
      </c>
      <c r="M53" s="103">
        <f t="shared" si="22"/>
        <v>141607.9079836902</v>
      </c>
      <c r="N53" s="103">
        <f t="shared" si="22"/>
        <v>150304.90453281678</v>
      </c>
      <c r="O53" s="103">
        <f t="shared" si="22"/>
        <v>140409.21679904265</v>
      </c>
      <c r="P53" s="103">
        <f t="shared" si="22"/>
        <v>130430.0912038701</v>
      </c>
      <c r="Q53" s="103">
        <f t="shared" si="22"/>
        <v>120788.84790858507</v>
      </c>
      <c r="R53" s="103">
        <f t="shared" si="22"/>
        <v>111498.87689701276</v>
      </c>
      <c r="S53" s="103">
        <f t="shared" si="22"/>
        <v>102374.75741859499</v>
      </c>
      <c r="T53" s="103">
        <f t="shared" si="22"/>
        <v>93330.45209168218</v>
      </c>
      <c r="U53" s="103">
        <f t="shared" si="22"/>
        <v>84460.82996050853</v>
      </c>
      <c r="V53" s="103">
        <f t="shared" si="22"/>
        <v>75724.543973852</v>
      </c>
      <c r="W53" s="103">
        <f t="shared" si="22"/>
        <v>66977.94882565016</v>
      </c>
      <c r="X53" s="103">
        <f t="shared" si="22"/>
        <v>58280.23212611828</v>
      </c>
      <c r="Y53" s="103">
        <f t="shared" si="22"/>
        <v>50941.89835662911</v>
      </c>
      <c r="Z53" s="103">
        <f t="shared" si="22"/>
        <v>44870.715761189276</v>
      </c>
      <c r="AA53" s="103">
        <f t="shared" si="22"/>
        <v>38649.54195220143</v>
      </c>
      <c r="AB53" s="103">
        <f t="shared" si="22"/>
        <v>32246.06810625511</v>
      </c>
      <c r="AC53" s="103">
        <f t="shared" si="22"/>
        <v>25617.22090992701</v>
      </c>
      <c r="AD53" s="103">
        <f t="shared" si="22"/>
        <v>18718.238098828635</v>
      </c>
      <c r="AE53" s="103">
        <f t="shared" si="22"/>
        <v>11158.930423565183</v>
      </c>
      <c r="AF53" s="103">
        <f t="shared" si="22"/>
        <v>2701.711771705127</v>
      </c>
      <c r="AG53" s="103">
        <f t="shared" si="22"/>
        <v>-6161.518979392299</v>
      </c>
      <c r="AH53" s="103">
        <f t="shared" si="22"/>
        <v>-18438.156013434666</v>
      </c>
      <c r="AI53" s="103">
        <f aca="true" t="shared" si="23" ref="AI53:AN53">(AH52+AI52)/2</f>
        <v>-13135.766653149081</v>
      </c>
      <c r="AJ53" s="103">
        <f t="shared" si="23"/>
        <v>0</v>
      </c>
      <c r="AK53" s="103">
        <f t="shared" si="23"/>
        <v>0</v>
      </c>
      <c r="AL53" s="103">
        <f t="shared" si="23"/>
        <v>0</v>
      </c>
      <c r="AM53" s="103">
        <f t="shared" si="23"/>
        <v>0</v>
      </c>
      <c r="AN53" s="103">
        <f t="shared" si="23"/>
        <v>0</v>
      </c>
    </row>
    <row r="54" spans="1:38" ht="16.5" thickTop="1">
      <c r="A54" s="122">
        <f t="shared" si="1"/>
        <v>45</v>
      </c>
      <c r="B54" s="62"/>
      <c r="C54" s="37"/>
      <c r="D54" s="37"/>
      <c r="E54" s="62"/>
      <c r="F54" s="67"/>
      <c r="G54" s="67"/>
      <c r="H54" s="67"/>
      <c r="I54" s="75"/>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row>
    <row r="55" spans="1:38" ht="12.75">
      <c r="A55" s="122">
        <f t="shared" si="1"/>
        <v>46</v>
      </c>
      <c r="B55" s="58"/>
      <c r="C55" s="58"/>
      <c r="D55" s="58"/>
      <c r="E55" s="58"/>
      <c r="F55" s="70" t="s">
        <v>70</v>
      </c>
      <c r="G55" s="70"/>
      <c r="H55" s="67"/>
      <c r="I55" s="75"/>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67"/>
      <c r="AJ55" s="67"/>
      <c r="AK55" s="67"/>
      <c r="AL55" s="58"/>
    </row>
    <row r="56" spans="1:40" ht="12.75">
      <c r="A56" s="122">
        <f t="shared" si="1"/>
        <v>47</v>
      </c>
      <c r="B56" s="58"/>
      <c r="C56" s="58"/>
      <c r="D56" s="58"/>
      <c r="E56" s="58"/>
      <c r="F56" s="72">
        <v>36526</v>
      </c>
      <c r="G56" s="70" t="s">
        <v>70</v>
      </c>
      <c r="H56" s="67"/>
      <c r="I56" s="75"/>
      <c r="J56" s="71"/>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row>
    <row r="57" spans="1:40" ht="17.25">
      <c r="A57" s="122">
        <f t="shared" si="1"/>
        <v>48</v>
      </c>
      <c r="B57" s="61" t="s">
        <v>63</v>
      </c>
      <c r="C57" s="61"/>
      <c r="D57" s="62"/>
      <c r="E57" s="62"/>
      <c r="F57" s="82" t="str">
        <f>"P.V @ "&amp;FIXED(Disc_*100,1)&amp;"%"</f>
        <v>P.V @ 7.8%</v>
      </c>
      <c r="G57" s="82" t="s">
        <v>3</v>
      </c>
      <c r="H57" s="67"/>
      <c r="I57" s="75"/>
      <c r="J57" s="71"/>
      <c r="K57" s="88">
        <f aca="true" t="shared" si="24" ref="K57:AH57">K$24</f>
        <v>2000</v>
      </c>
      <c r="L57" s="88">
        <f t="shared" si="24"/>
        <v>2001</v>
      </c>
      <c r="M57" s="88">
        <f t="shared" si="24"/>
        <v>2002</v>
      </c>
      <c r="N57" s="88">
        <f t="shared" si="24"/>
        <v>2003</v>
      </c>
      <c r="O57" s="88">
        <f t="shared" si="24"/>
        <v>2004</v>
      </c>
      <c r="P57" s="88">
        <f t="shared" si="24"/>
        <v>2005</v>
      </c>
      <c r="Q57" s="88">
        <f t="shared" si="24"/>
        <v>2006</v>
      </c>
      <c r="R57" s="88">
        <f t="shared" si="24"/>
        <v>2007</v>
      </c>
      <c r="S57" s="88">
        <f t="shared" si="24"/>
        <v>2008</v>
      </c>
      <c r="T57" s="88">
        <f t="shared" si="24"/>
        <v>2009</v>
      </c>
      <c r="U57" s="88">
        <f t="shared" si="24"/>
        <v>2010</v>
      </c>
      <c r="V57" s="88">
        <f t="shared" si="24"/>
        <v>2011</v>
      </c>
      <c r="W57" s="88">
        <f t="shared" si="24"/>
        <v>2012</v>
      </c>
      <c r="X57" s="88">
        <f t="shared" si="24"/>
        <v>2013</v>
      </c>
      <c r="Y57" s="88">
        <f t="shared" si="24"/>
        <v>2014</v>
      </c>
      <c r="Z57" s="88">
        <f t="shared" si="24"/>
        <v>2015</v>
      </c>
      <c r="AA57" s="88">
        <f t="shared" si="24"/>
        <v>2016</v>
      </c>
      <c r="AB57" s="88">
        <f t="shared" si="24"/>
        <v>2017</v>
      </c>
      <c r="AC57" s="88">
        <f t="shared" si="24"/>
        <v>2018</v>
      </c>
      <c r="AD57" s="88">
        <f t="shared" si="24"/>
        <v>2019</v>
      </c>
      <c r="AE57" s="88">
        <f t="shared" si="24"/>
        <v>2020</v>
      </c>
      <c r="AF57" s="88">
        <f t="shared" si="24"/>
        <v>2021</v>
      </c>
      <c r="AG57" s="88">
        <f t="shared" si="24"/>
        <v>2022</v>
      </c>
      <c r="AH57" s="88">
        <f t="shared" si="24"/>
        <v>2023</v>
      </c>
      <c r="AI57" s="88">
        <f aca="true" t="shared" si="25" ref="AI57:AN57">AI$24</f>
        <v>2024</v>
      </c>
      <c r="AJ57" s="88">
        <f t="shared" si="25"/>
        <v>2025</v>
      </c>
      <c r="AK57" s="88">
        <f t="shared" si="25"/>
        <v>2026</v>
      </c>
      <c r="AL57" s="88">
        <f t="shared" si="25"/>
        <v>2027</v>
      </c>
      <c r="AM57" s="88">
        <f t="shared" si="25"/>
        <v>2028</v>
      </c>
      <c r="AN57" s="88">
        <f t="shared" si="25"/>
        <v>2029</v>
      </c>
    </row>
    <row r="58" spans="1:40" ht="15.75">
      <c r="A58" s="122">
        <f t="shared" si="1"/>
        <v>49</v>
      </c>
      <c r="B58" s="81"/>
      <c r="C58" s="37" t="s">
        <v>72</v>
      </c>
      <c r="D58" s="37"/>
      <c r="E58" s="90"/>
      <c r="F58" s="73">
        <f aca="true" t="shared" si="26" ref="F58:F63">NPV(Disc_,K58:AN58)*(1+Disc_/2)</f>
        <v>233621.7585057139</v>
      </c>
      <c r="G58" s="73">
        <f aca="true" t="shared" si="27" ref="G58:G63">SUM(J58:AN58)</f>
        <v>566070.9430118626</v>
      </c>
      <c r="H58" s="67"/>
      <c r="I58" s="75"/>
      <c r="J58" s="71"/>
      <c r="K58" s="332">
        <f>'O&amp;M and SO2'!H30+'O&amp;M and SO2'!H7</f>
        <v>17159.638489171775</v>
      </c>
      <c r="L58" s="332">
        <f>'O&amp;M and SO2'!I30+'O&amp;M and SO2'!I7</f>
        <v>20903.42222322497</v>
      </c>
      <c r="M58" s="332">
        <f>'O&amp;M and SO2'!J30+'O&amp;M and SO2'!J7</f>
        <v>18550.1473800367</v>
      </c>
      <c r="N58" s="332">
        <f>'O&amp;M and SO2'!K30+'O&amp;M and SO2'!K7</f>
        <v>12990.577740737164</v>
      </c>
      <c r="O58" s="332">
        <f>'O&amp;M and SO2'!L30+'O&amp;M and SO2'!L7</f>
        <v>15911.385666888471</v>
      </c>
      <c r="P58" s="332">
        <f>'O&amp;M and SO2'!M30+'O&amp;M and SO2'!M7</f>
        <v>16192.743056194808</v>
      </c>
      <c r="Q58" s="332">
        <f>'O&amp;M and SO2'!N30+'O&amp;M and SO2'!N7</f>
        <v>16720.937891929465</v>
      </c>
      <c r="R58" s="332">
        <f>'O&amp;M and SO2'!O30+'O&amp;M and SO2'!O7</f>
        <v>17148.69453460097</v>
      </c>
      <c r="S58" s="332">
        <f>'O&amp;M and SO2'!P30+'O&amp;M and SO2'!P7</f>
        <v>21458.766660013527</v>
      </c>
      <c r="T58" s="332">
        <f>'O&amp;M and SO2'!Q30+'O&amp;M and SO2'!Q7</f>
        <v>22090.651984061205</v>
      </c>
      <c r="U58" s="332">
        <f>'O&amp;M and SO2'!R30+'O&amp;M and SO2'!R7</f>
        <v>22756.141844553287</v>
      </c>
      <c r="V58" s="332">
        <f>'O&amp;M and SO2'!S30+'O&amp;M and SO2'!S7</f>
        <v>23415.388734206972</v>
      </c>
      <c r="W58" s="332">
        <f>'O&amp;M and SO2'!T30+'O&amp;M and SO2'!T7</f>
        <v>24118.84598165608</v>
      </c>
      <c r="X58" s="332">
        <f>'O&amp;M and SO2'!U30+'O&amp;M and SO2'!U7</f>
        <v>24807.504099742873</v>
      </c>
      <c r="Y58" s="332">
        <f>'O&amp;M and SO2'!V30+'O&amp;M and SO2'!V7</f>
        <v>25504.655209637946</v>
      </c>
      <c r="Z58" s="332">
        <f>'O&amp;M and SO2'!W30+'O&amp;M and SO2'!W7</f>
        <v>26221.026451807582</v>
      </c>
      <c r="AA58" s="332">
        <f>'O&amp;M and SO2'!X30+'O&amp;M and SO2'!X7</f>
        <v>26978.561803471744</v>
      </c>
      <c r="AB58" s="332">
        <f>'O&amp;M and SO2'!Y30+'O&amp;M and SO2'!Y7</f>
        <v>27725.30655373881</v>
      </c>
      <c r="AC58" s="332">
        <f>'O&amp;M and SO2'!Z30+'O&amp;M and SO2'!Z7</f>
        <v>28507.19785468632</v>
      </c>
      <c r="AD58" s="332">
        <f>'O&amp;M and SO2'!AA30+'O&amp;M and SO2'!AA7</f>
        <v>29305.55081126827</v>
      </c>
      <c r="AE58" s="332">
        <f>'O&amp;M and SO2'!AB30+'O&amp;M and SO2'!AB7</f>
        <v>30125.877689802328</v>
      </c>
      <c r="AF58" s="332">
        <f>'O&amp;M and SO2'!AC30+'O&amp;M and SO2'!AC7</f>
        <v>30957.59094644084</v>
      </c>
      <c r="AG58" s="332">
        <f>'O&amp;M and SO2'!AD30+'O&amp;M and SO2'!AD7</f>
        <v>31794.381354997677</v>
      </c>
      <c r="AH58" s="332">
        <f>'O&amp;M and SO2'!AE30+'O&amp;M and SO2'!AE7</f>
        <v>34725.94804899282</v>
      </c>
      <c r="AI58" s="332">
        <f>'O&amp;M and SO2'!AF30+'O&amp;M and SO2'!AF7</f>
        <v>0</v>
      </c>
      <c r="AJ58" s="332">
        <f>'O&amp;M and SO2'!AG30+'O&amp;M and SO2'!AG7</f>
        <v>0</v>
      </c>
      <c r="AK58" s="332">
        <f>'O&amp;M and SO2'!AH30+'O&amp;M and SO2'!AH7</f>
        <v>0</v>
      </c>
      <c r="AL58" s="332">
        <f>'O&amp;M and SO2'!AI30+'O&amp;M and SO2'!AI7</f>
        <v>0</v>
      </c>
      <c r="AM58" s="332">
        <f>'O&amp;M and SO2'!AJ30+'O&amp;M and SO2'!AJ7</f>
        <v>0</v>
      </c>
      <c r="AN58" s="332">
        <f>'O&amp;M and SO2'!AK30+'O&amp;M and SO2'!AK7</f>
        <v>0</v>
      </c>
    </row>
    <row r="59" spans="1:40" ht="15.75">
      <c r="A59" s="122">
        <f t="shared" si="1"/>
        <v>50</v>
      </c>
      <c r="B59" s="62"/>
      <c r="C59" s="37" t="s">
        <v>73</v>
      </c>
      <c r="D59" s="37"/>
      <c r="E59" s="90"/>
      <c r="F59" s="73">
        <f t="shared" si="26"/>
        <v>127477.07547272547</v>
      </c>
      <c r="G59" s="73">
        <f t="shared" si="27"/>
        <v>280064.8263992955</v>
      </c>
      <c r="H59" s="67"/>
      <c r="I59" s="75"/>
      <c r="J59" s="71"/>
      <c r="K59" s="73">
        <f>('Book Depr'!L6+'Book Depr'!L7+'Book Depr'!L8+'Book Depr'!L9)*Inputs!$G$7</f>
        <v>6959.219048446363</v>
      </c>
      <c r="L59" s="73">
        <f>('Book Depr'!M6+'Book Depr'!M7+'Book Depr'!M8+'Book Depr'!M9)*Inputs!$G$7</f>
        <v>10189.248443469878</v>
      </c>
      <c r="M59" s="73">
        <f>('Book Depr'!N6+'Book Depr'!N7+'Book Depr'!N8+'Book Depr'!N9)*Inputs!$G$7</f>
        <v>11913.59738425797</v>
      </c>
      <c r="N59" s="73">
        <f>('Book Depr'!O6+'Book Depr'!O7+'Book Depr'!O8+'Book Depr'!O9)*Inputs!$G$7</f>
        <v>12033.695275960072</v>
      </c>
      <c r="O59" s="73">
        <f>('Book Depr'!P6+'Book Depr'!P7+'Book Depr'!P8+'Book Depr'!P9)*Inputs!$G$7</f>
        <v>12130.059933386257</v>
      </c>
      <c r="P59" s="73">
        <f>('Book Depr'!Q6+'Book Depr'!Q7+'Book Depr'!Q8+'Book Depr'!Q9)*Inputs!$G$7</f>
        <v>12234.539509332548</v>
      </c>
      <c r="Q59" s="73">
        <f>('Book Depr'!R6+'Book Depr'!R7+'Book Depr'!R8+'Book Depr'!R9)*Inputs!$G$7</f>
        <v>12348.132026069705</v>
      </c>
      <c r="R59" s="73">
        <f>('Book Depr'!S6+'Book Depr'!S7+'Book Depr'!S8+'Book Depr'!S9)*Inputs!$G$7</f>
        <v>12472.0146884407</v>
      </c>
      <c r="S59" s="73">
        <f>('Book Depr'!T6+'Book Depr'!T7+'Book Depr'!T8+'Book Depr'!T9)*Inputs!$G$7</f>
        <v>12607.588777072959</v>
      </c>
      <c r="T59" s="73">
        <f>('Book Depr'!U6+'Book Depr'!U7+'Book Depr'!U8+'Book Depr'!U9)*Inputs!$G$7</f>
        <v>12756.53950911693</v>
      </c>
      <c r="U59" s="73">
        <f>('Book Depr'!V6+'Book Depr'!V7+'Book Depr'!V8+'Book Depr'!V9)*Inputs!$G$7</f>
        <v>12920.917281265458</v>
      </c>
      <c r="V59" s="73">
        <f>('Book Depr'!W6+'Book Depr'!W7+'Book Depr'!W8+'Book Depr'!W9)*Inputs!$G$7</f>
        <v>13103.250163910212</v>
      </c>
      <c r="W59" s="73">
        <f>('Book Depr'!X6+'Book Depr'!X7+'Book Depr'!X8+'Book Depr'!X9)*Inputs!$G$7</f>
        <v>13306.70327212798</v>
      </c>
      <c r="X59" s="73">
        <f>('Book Depr'!Y6+'Book Depr'!Y7+'Book Depr'!Y8+'Book Depr'!Y9)*Inputs!$G$7</f>
        <v>13535.310582816308</v>
      </c>
      <c r="Y59" s="73">
        <f>('Book Depr'!Z6+'Book Depr'!Z7+'Book Depr'!Z8+'Book Depr'!Z9)*Inputs!$G$7</f>
        <v>9353.675767969044</v>
      </c>
      <c r="Z59" s="73">
        <f>('Book Depr'!AA6+'Book Depr'!AA7+'Book Depr'!AA8+'Book Depr'!AA9)*Inputs!$G$7</f>
        <v>9650.100707413681</v>
      </c>
      <c r="AA59" s="73">
        <f>('Book Depr'!AB6+'Book Depr'!AB7+'Book Depr'!AB8+'Book Depr'!AB9)*Inputs!$G$7</f>
        <v>9993.583105995152</v>
      </c>
      <c r="AB59" s="73">
        <f>('Book Depr'!AC6+'Book Depr'!AC7+'Book Depr'!AC8+'Book Depr'!AC9)*Inputs!$G$7</f>
        <v>10397.91095803963</v>
      </c>
      <c r="AC59" s="73">
        <f>('Book Depr'!AD6+'Book Depr'!AD7+'Book Depr'!AD8+'Book Depr'!AD9)*Inputs!$G$7</f>
        <v>10883.77826024641</v>
      </c>
      <c r="AD59" s="73">
        <f>('Book Depr'!AE6+'Book Depr'!AE7+'Book Depr'!AE8+'Book Depr'!AE9)*Inputs!$G$7</f>
        <v>11484.31024577399</v>
      </c>
      <c r="AE59" s="73">
        <f>('Book Depr'!AF6+'Book Depr'!AF7+'Book Depr'!AF8+'Book Depr'!AF9)*Inputs!$G$7</f>
        <v>12064.19894429906</v>
      </c>
      <c r="AF59" s="73">
        <f>('Book Depr'!AG6+'Book Depr'!AG7+'Book Depr'!AG8+'Book Depr'!AG9)*Inputs!$G$7</f>
        <v>12462.389183952944</v>
      </c>
      <c r="AG59" s="73">
        <f>('Book Depr'!AH6+'Book Depr'!AH7+'Book Depr'!AH8+'Book Depr'!AH9)*Inputs!$G$7</f>
        <v>12616.190164019254</v>
      </c>
      <c r="AH59" s="73">
        <f>('Book Depr'!AI6+'Book Depr'!AI7+'Book Depr'!AI8+'Book Depr'!AI9)*Inputs!$G$7</f>
        <v>12647.873165912957</v>
      </c>
      <c r="AI59" s="73">
        <f>('Book Depr'!AJ6+'Book Depr'!AJ7+'Book Depr'!AJ8+'Book Depr'!AJ9)*Inputs!$G$7</f>
        <v>0</v>
      </c>
      <c r="AJ59" s="73">
        <f>('Book Depr'!AK6+'Book Depr'!AK7+'Book Depr'!AK8+'Book Depr'!AK9)*Inputs!$G$7</f>
        <v>0</v>
      </c>
      <c r="AK59" s="73">
        <f>('Book Depr'!AL6+'Book Depr'!AL7+'Book Depr'!AL8+'Book Depr'!AL9)*Inputs!$G$7</f>
        <v>0</v>
      </c>
      <c r="AL59" s="73">
        <f>('Book Depr'!AM6+'Book Depr'!AM7+'Book Depr'!AM8+'Book Depr'!AM9)*Inputs!$G$7</f>
        <v>0</v>
      </c>
      <c r="AM59" s="73">
        <f>('Book Depr'!AN6+'Book Depr'!AN7+'Book Depr'!AN8+'Book Depr'!AN9)*Inputs!$G$7</f>
        <v>0</v>
      </c>
      <c r="AN59" s="73">
        <f>('Book Depr'!AO6+'Book Depr'!AO7+'Book Depr'!AO8+'Book Depr'!AO9)*Inputs!$G$7</f>
        <v>0</v>
      </c>
    </row>
    <row r="60" spans="1:40" ht="15.75">
      <c r="A60" s="122">
        <f t="shared" si="1"/>
        <v>51</v>
      </c>
      <c r="B60" s="62"/>
      <c r="C60" s="37" t="s">
        <v>825</v>
      </c>
      <c r="D60" s="37"/>
      <c r="E60" s="90"/>
      <c r="F60" s="73">
        <f t="shared" si="26"/>
        <v>89031.26205050592</v>
      </c>
      <c r="G60" s="73">
        <f t="shared" si="27"/>
        <v>147520.92606917064</v>
      </c>
      <c r="H60" s="67"/>
      <c r="I60" s="75"/>
      <c r="J60" s="71"/>
      <c r="K60" s="73">
        <f>K53*Inputs!$H$73+K53*(Inputs!$H$74+Inputs!$H$75)</f>
        <v>5848.915174037495</v>
      </c>
      <c r="L60" s="73">
        <f>L53*Inputs!$H$73+L53*(Inputs!$H$74+Inputs!$H$75)</f>
        <v>8626.591373722922</v>
      </c>
      <c r="M60" s="73">
        <f>M53*Inputs!$H$73+M53*(Inputs!$H$74+Inputs!$H$75)</f>
        <v>12874.696449428506</v>
      </c>
      <c r="N60" s="73">
        <f>N53*Inputs!$H$73+N53*(Inputs!$H$74+Inputs!$H$75)</f>
        <v>13665.409285922273</v>
      </c>
      <c r="O60" s="73">
        <f>O53*Inputs!$H$73+O53*(Inputs!$H$74+Inputs!$H$75)</f>
        <v>12765.713940198015</v>
      </c>
      <c r="P60" s="73">
        <f>P53*Inputs!$H$73+P53*(Inputs!$H$74+Inputs!$H$75)</f>
        <v>11858.432597666164</v>
      </c>
      <c r="Q60" s="73">
        <f>Q53*Inputs!$H$73+Q53*(Inputs!$H$74+Inputs!$H$75)</f>
        <v>10981.870811044904</v>
      </c>
      <c r="R60" s="73">
        <f>R53*Inputs!$H$73+R53*(Inputs!$H$74+Inputs!$H$75)</f>
        <v>10137.245969812453</v>
      </c>
      <c r="S60" s="73">
        <f>S53*Inputs!$H$73+S53*(Inputs!$H$74+Inputs!$H$75)</f>
        <v>9307.700005003226</v>
      </c>
      <c r="T60" s="73">
        <f>T53*Inputs!$H$73+T53*(Inputs!$H$74+Inputs!$H$75)</f>
        <v>8485.410576835391</v>
      </c>
      <c r="U60" s="73">
        <f>U53*Inputs!$H$73+U53*(Inputs!$H$74+Inputs!$H$75)</f>
        <v>7679.002981483118</v>
      </c>
      <c r="V60" s="73">
        <f>V53*Inputs!$H$73+V53*(Inputs!$H$74+Inputs!$H$75)</f>
        <v>6884.7180310511585</v>
      </c>
      <c r="W60" s="73">
        <f>W53*Inputs!$H$73+W53*(Inputs!$H$74+Inputs!$H$75)</f>
        <v>6089.495793094555</v>
      </c>
      <c r="X60" s="73">
        <f>X53*Inputs!$H$73+X53*(Inputs!$H$74+Inputs!$H$75)</f>
        <v>5298.7174820238515</v>
      </c>
      <c r="Y60" s="73">
        <f>Y53*Inputs!$H$73+Y53*(Inputs!$H$74+Inputs!$H$75)</f>
        <v>4631.531439436137</v>
      </c>
      <c r="Z60" s="73">
        <f>Z53*Inputs!$H$73+Z53*(Inputs!$H$74+Inputs!$H$75)</f>
        <v>4079.5521459185456</v>
      </c>
      <c r="AA60" s="73">
        <f>AA53*Inputs!$H$73+AA53*(Inputs!$H$74+Inputs!$H$75)</f>
        <v>3513.935963246893</v>
      </c>
      <c r="AB60" s="73">
        <f>AB53*Inputs!$H$73+AB53*(Inputs!$H$74+Inputs!$H$75)</f>
        <v>2931.745440399053</v>
      </c>
      <c r="AC60" s="73">
        <f>AC53*Inputs!$H$73+AC53*(Inputs!$H$74+Inputs!$H$75)</f>
        <v>2329.064441311071</v>
      </c>
      <c r="AD60" s="73">
        <f>AD53*Inputs!$H$73+AD53*(Inputs!$H$74+Inputs!$H$75)</f>
        <v>1701.8232740102537</v>
      </c>
      <c r="AE60" s="73">
        <f>AE53*Inputs!$H$73+AE53*(Inputs!$H$74+Inputs!$H$75)</f>
        <v>1014.5467435352655</v>
      </c>
      <c r="AF60" s="73">
        <f>AF53*Inputs!$H$73+AF53*(Inputs!$H$74+Inputs!$H$75)</f>
        <v>245.63401472294498</v>
      </c>
      <c r="AG60" s="73">
        <f>AG53*Inputs!$H$73+AG53*(Inputs!$H$74+Inputs!$H$75)</f>
        <v>-560.1924896468706</v>
      </c>
      <c r="AH60" s="73">
        <f>AH53*Inputs!$H$73+AH53*(Inputs!$H$74+Inputs!$H$75)</f>
        <v>-1676.3587933769718</v>
      </c>
      <c r="AI60" s="73">
        <f>AI53*Inputs!$H$73+AI53*(Inputs!$H$74+Inputs!$H$75)</f>
        <v>-1194.2765817096758</v>
      </c>
      <c r="AJ60" s="73">
        <f>AJ53*Inputs!$H$73+AJ53*(Inputs!$H$74+Inputs!$H$75)</f>
        <v>0</v>
      </c>
      <c r="AK60" s="73">
        <f>AK53*Inputs!$H$73+AK53*(Inputs!$H$74+Inputs!$H$75)</f>
        <v>0</v>
      </c>
      <c r="AL60" s="73">
        <f>AL53*Inputs!$H$73+AL53*(Inputs!$H$74+Inputs!$H$75)</f>
        <v>0</v>
      </c>
      <c r="AM60" s="73">
        <f>AM53*Inputs!$H$73+AM53*(Inputs!$H$74+Inputs!$H$75)</f>
        <v>0</v>
      </c>
      <c r="AN60" s="73">
        <f>AN53*Inputs!$H$73+AN53*(Inputs!$H$74+Inputs!$H$75)</f>
        <v>0</v>
      </c>
    </row>
    <row r="61" spans="1:40" ht="15.75">
      <c r="A61" s="122">
        <f t="shared" si="1"/>
        <v>52</v>
      </c>
      <c r="B61" s="62"/>
      <c r="C61" s="37" t="s">
        <v>65</v>
      </c>
      <c r="D61" s="37"/>
      <c r="E61" s="90"/>
      <c r="F61" s="73">
        <f t="shared" si="26"/>
        <v>-4777.515012714978</v>
      </c>
      <c r="G61" s="73">
        <f t="shared" si="27"/>
        <v>-11739.898774415004</v>
      </c>
      <c r="H61" s="67"/>
      <c r="I61" s="75"/>
      <c r="J61" s="71"/>
      <c r="K61" s="73">
        <f>'Deferred Tax'!K33</f>
        <v>-460.123682707359</v>
      </c>
      <c r="L61" s="73">
        <f>'Deferred Tax'!L33</f>
        <v>-597.3148045370217</v>
      </c>
      <c r="M61" s="73">
        <f>'Deferred Tax'!M33</f>
        <v>222.23550773145118</v>
      </c>
      <c r="N61" s="73">
        <f>'Deferred Tax'!N33</f>
        <v>537.5396400270802</v>
      </c>
      <c r="O61" s="73">
        <f>'Deferred Tax'!O33</f>
        <v>343.4302028346191</v>
      </c>
      <c r="P61" s="73">
        <f>'Deferred Tax'!P33</f>
        <v>153.46753615150823</v>
      </c>
      <c r="Q61" s="73">
        <f>'Deferred Tax'!Q33</f>
        <v>-403.3091098830429</v>
      </c>
      <c r="R61" s="73">
        <f>'Deferred Tax'!R33</f>
        <v>-635.0419092490692</v>
      </c>
      <c r="S61" s="73">
        <f>'Deferred Tax'!S33</f>
        <v>-838.4133170283576</v>
      </c>
      <c r="T61" s="73">
        <f>'Deferred Tax'!T33</f>
        <v>-918.4577544631939</v>
      </c>
      <c r="U61" s="73">
        <f>'Deferred Tax'!U33</f>
        <v>-1335.5488158730107</v>
      </c>
      <c r="V61" s="73">
        <f>'Deferred Tax'!V33</f>
        <v>-1361.314519559723</v>
      </c>
      <c r="W61" s="73">
        <f>'Deferred Tax'!W33</f>
        <v>-1525.0745195520133</v>
      </c>
      <c r="X61" s="73">
        <f>'Deferred Tax'!X33</f>
        <v>-1710.2206127900708</v>
      </c>
      <c r="Y61" s="73">
        <f>'Deferred Tax'!Y33</f>
        <v>-104.47431577237407</v>
      </c>
      <c r="Z61" s="73">
        <f>'Deferred Tax'!Z33</f>
        <v>-167.3843689887341</v>
      </c>
      <c r="AA61" s="73">
        <f>'Deferred Tax'!AA33</f>
        <v>-246.7126487101993</v>
      </c>
      <c r="AB61" s="73">
        <f>'Deferred Tax'!AB33</f>
        <v>-346.97737036571885</v>
      </c>
      <c r="AC61" s="73">
        <f>'Deferred Tax'!AC33</f>
        <v>-476.43541160589183</v>
      </c>
      <c r="AD61" s="73">
        <f>'Deferred Tax'!AD33</f>
        <v>-677.0879672497975</v>
      </c>
      <c r="AE61" s="73">
        <f>'Deferred Tax'!AE33</f>
        <v>-886.8933135461263</v>
      </c>
      <c r="AF61" s="73">
        <f>'Deferred Tax'!AF33</f>
        <v>-1621.1232258014215</v>
      </c>
      <c r="AG61" s="73">
        <f>'Deferred Tax'!AG33</f>
        <v>-2591.112905595541</v>
      </c>
      <c r="AH61" s="73">
        <f>'Deferred Tax'!AH33</f>
        <v>3906.4489121190036</v>
      </c>
      <c r="AI61" s="73">
        <f>'Deferred Tax'!AI33</f>
        <v>0</v>
      </c>
      <c r="AJ61" s="73">
        <f>'Deferred Tax'!AJ33</f>
        <v>0</v>
      </c>
      <c r="AK61" s="73">
        <f>'Deferred Tax'!AK33</f>
        <v>0</v>
      </c>
      <c r="AL61" s="73">
        <f>'Deferred Tax'!AL33</f>
        <v>0</v>
      </c>
      <c r="AM61" s="73">
        <f>'Deferred Tax'!AM33</f>
        <v>0</v>
      </c>
      <c r="AN61" s="73">
        <f>'Deferred Tax'!AN33</f>
        <v>0</v>
      </c>
    </row>
    <row r="62" spans="1:40" ht="15.75">
      <c r="A62" s="122">
        <f t="shared" si="1"/>
        <v>53</v>
      </c>
      <c r="B62" s="62"/>
      <c r="C62" s="37" t="s">
        <v>66</v>
      </c>
      <c r="D62" s="37"/>
      <c r="E62" s="90"/>
      <c r="F62" s="73">
        <f t="shared" si="26"/>
        <v>57618.23818758882</v>
      </c>
      <c r="G62" s="73">
        <f t="shared" si="27"/>
        <v>108859.96256584013</v>
      </c>
      <c r="H62" s="67"/>
      <c r="I62" s="75"/>
      <c r="J62" s="71"/>
      <c r="K62" s="101">
        <f>Tax!E92</f>
        <v>4199.49502546734</v>
      </c>
      <c r="L62" s="101">
        <f>Tax!F92</f>
        <v>5543.590571695619</v>
      </c>
      <c r="M62" s="101">
        <f>Tax!G92</f>
        <v>6427.02950279884</v>
      </c>
      <c r="N62" s="101">
        <f>Tax!H92</f>
        <v>6422.641009936342</v>
      </c>
      <c r="O62" s="101">
        <f>Tax!I92</f>
        <v>6270.6485708899045</v>
      </c>
      <c r="P62" s="101">
        <f>Tax!J92</f>
        <v>6111.670075121608</v>
      </c>
      <c r="Q62" s="101">
        <f>Tax!K92</f>
        <v>6331.457104818632</v>
      </c>
      <c r="R62" s="101">
        <f>Tax!L92</f>
        <v>6238.634286857509</v>
      </c>
      <c r="S62" s="101">
        <f>Tax!M92</f>
        <v>6123.394609913522</v>
      </c>
      <c r="T62" s="101">
        <f>Tax!N92</f>
        <v>5887.772498104713</v>
      </c>
      <c r="U62" s="101">
        <f>Tax!O92</f>
        <v>5995.491750370926</v>
      </c>
      <c r="V62" s="101">
        <f>Tax!P92</f>
        <v>5716.757251563104</v>
      </c>
      <c r="W62" s="101">
        <f>Tax!Q92</f>
        <v>5575.883755669698</v>
      </c>
      <c r="X62" s="101">
        <f>Tax!R92</f>
        <v>5458.382995290833</v>
      </c>
      <c r="Y62" s="101">
        <f>Tax!S92</f>
        <v>3549.9931902157323</v>
      </c>
      <c r="Z62" s="101">
        <f>Tax!T92</f>
        <v>3403.1292732713728</v>
      </c>
      <c r="AA62" s="101">
        <f>Tax!U92</f>
        <v>3267.930637287507</v>
      </c>
      <c r="AB62" s="101">
        <f>Tax!V92</f>
        <v>3147.9311721285167</v>
      </c>
      <c r="AC62" s="101">
        <f>Tax!W92</f>
        <v>3050.1004770201876</v>
      </c>
      <c r="AD62" s="101">
        <f>Tax!X92</f>
        <v>3015.2276279085777</v>
      </c>
      <c r="AE62" s="101">
        <f>Tax!Y92</f>
        <v>2966.1199705559316</v>
      </c>
      <c r="AF62" s="101">
        <f>Tax!Z92</f>
        <v>3407.973332248053</v>
      </c>
      <c r="AG62" s="101">
        <f>Tax!AA92</f>
        <v>4068.7010565570495</v>
      </c>
      <c r="AH62" s="101">
        <f>Tax!AB92</f>
        <v>-2859.186423352796</v>
      </c>
      <c r="AI62" s="101">
        <f>Tax!AC92</f>
        <v>-460.8067564985613</v>
      </c>
      <c r="AJ62" s="101">
        <f>Tax!AD92</f>
        <v>0</v>
      </c>
      <c r="AK62" s="101">
        <f>Tax!AE92</f>
        <v>0</v>
      </c>
      <c r="AL62" s="101">
        <f>Tax!AF92</f>
        <v>0</v>
      </c>
      <c r="AM62" s="101">
        <f>Tax!AG92</f>
        <v>0</v>
      </c>
      <c r="AN62" s="101">
        <f>Tax!AH92</f>
        <v>0</v>
      </c>
    </row>
    <row r="63" spans="1:40" ht="16.5" thickBot="1">
      <c r="A63" s="122">
        <f t="shared" si="1"/>
        <v>54</v>
      </c>
      <c r="B63" s="62"/>
      <c r="C63" s="37"/>
      <c r="D63" s="37" t="s">
        <v>67</v>
      </c>
      <c r="E63" s="77"/>
      <c r="F63" s="126">
        <f t="shared" si="26"/>
        <v>502970.81920381915</v>
      </c>
      <c r="G63" s="127">
        <f t="shared" si="27"/>
        <v>1090776.759271754</v>
      </c>
      <c r="H63" s="67"/>
      <c r="I63" s="75"/>
      <c r="J63" s="71"/>
      <c r="K63" s="135">
        <f aca="true" t="shared" si="28" ref="K63:AH63">SUM(K58:K62)</f>
        <v>33707.144054415614</v>
      </c>
      <c r="L63" s="135">
        <f t="shared" si="28"/>
        <v>44665.53780757637</v>
      </c>
      <c r="M63" s="135">
        <f t="shared" si="28"/>
        <v>49987.70622425346</v>
      </c>
      <c r="N63" s="135">
        <f t="shared" si="28"/>
        <v>45649.86295258293</v>
      </c>
      <c r="O63" s="135">
        <f t="shared" si="28"/>
        <v>47421.23831419727</v>
      </c>
      <c r="P63" s="135">
        <f t="shared" si="28"/>
        <v>46550.852774466635</v>
      </c>
      <c r="Q63" s="135">
        <f t="shared" si="28"/>
        <v>45979.088723979665</v>
      </c>
      <c r="R63" s="135">
        <f t="shared" si="28"/>
        <v>45361.547570462564</v>
      </c>
      <c r="S63" s="135">
        <f t="shared" si="28"/>
        <v>48659.03673497487</v>
      </c>
      <c r="T63" s="135">
        <f t="shared" si="28"/>
        <v>48301.91681365505</v>
      </c>
      <c r="U63" s="135">
        <f t="shared" si="28"/>
        <v>48016.005041799785</v>
      </c>
      <c r="V63" s="135">
        <f t="shared" si="28"/>
        <v>47758.799661171724</v>
      </c>
      <c r="W63" s="135">
        <f t="shared" si="28"/>
        <v>47565.8542829963</v>
      </c>
      <c r="X63" s="135">
        <f t="shared" si="28"/>
        <v>47389.694547083796</v>
      </c>
      <c r="Y63" s="135">
        <f t="shared" si="28"/>
        <v>42935.38129148648</v>
      </c>
      <c r="Z63" s="135">
        <f t="shared" si="28"/>
        <v>43186.42420942245</v>
      </c>
      <c r="AA63" s="135">
        <f t="shared" si="28"/>
        <v>43507.29886129109</v>
      </c>
      <c r="AB63" s="135">
        <f t="shared" si="28"/>
        <v>43855.9167539403</v>
      </c>
      <c r="AC63" s="135">
        <f t="shared" si="28"/>
        <v>44293.705621658104</v>
      </c>
      <c r="AD63" s="135">
        <f t="shared" si="28"/>
        <v>44829.823991711295</v>
      </c>
      <c r="AE63" s="135">
        <f t="shared" si="28"/>
        <v>45283.85003464646</v>
      </c>
      <c r="AF63" s="135">
        <f t="shared" si="28"/>
        <v>45452.46425156336</v>
      </c>
      <c r="AG63" s="135">
        <f t="shared" si="28"/>
        <v>45327.96718033157</v>
      </c>
      <c r="AH63" s="135">
        <f t="shared" si="28"/>
        <v>46744.72491029501</v>
      </c>
      <c r="AI63" s="135">
        <f aca="true" t="shared" si="29" ref="AI63:AN63">SUM(AI58:AI62)</f>
        <v>-1655.0833382082371</v>
      </c>
      <c r="AJ63" s="135">
        <f t="shared" si="29"/>
        <v>0</v>
      </c>
      <c r="AK63" s="135">
        <f t="shared" si="29"/>
        <v>0</v>
      </c>
      <c r="AL63" s="135">
        <f t="shared" si="29"/>
        <v>0</v>
      </c>
      <c r="AM63" s="135">
        <f t="shared" si="29"/>
        <v>0</v>
      </c>
      <c r="AN63" s="135">
        <f t="shared" si="29"/>
        <v>0</v>
      </c>
    </row>
    <row r="64" spans="1:40" ht="15.75">
      <c r="A64" s="122">
        <f t="shared" si="1"/>
        <v>55</v>
      </c>
      <c r="B64" s="58"/>
      <c r="C64" s="61"/>
      <c r="D64" s="61"/>
      <c r="E64" s="61"/>
      <c r="F64" s="67"/>
      <c r="G64" s="78"/>
      <c r="H64" s="67"/>
      <c r="I64" s="75"/>
      <c r="J64" s="71"/>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58"/>
      <c r="AM64" s="58"/>
      <c r="AN64" s="58"/>
    </row>
    <row r="65" spans="1:40" ht="15.75">
      <c r="A65" s="122">
        <f t="shared" si="1"/>
        <v>56</v>
      </c>
      <c r="B65" s="58"/>
      <c r="C65" s="61"/>
      <c r="D65" s="61"/>
      <c r="E65" s="61"/>
      <c r="F65" s="67"/>
      <c r="G65" s="78"/>
      <c r="H65" s="67"/>
      <c r="I65" s="75"/>
      <c r="J65" s="71"/>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58"/>
      <c r="AM65" s="58"/>
      <c r="AN65" s="58"/>
    </row>
    <row r="66" spans="1:40" ht="15.75">
      <c r="A66" s="122">
        <f t="shared" si="1"/>
        <v>57</v>
      </c>
      <c r="B66" s="58"/>
      <c r="C66" s="61" t="s">
        <v>793</v>
      </c>
      <c r="D66" s="61"/>
      <c r="E66" s="61"/>
      <c r="F66" s="73">
        <f>NPV(Disc_,K66:AN66)*(1+Disc_/2)</f>
        <v>9941329.80492428</v>
      </c>
      <c r="G66" s="73">
        <f>SUM(J66:AN66)</f>
        <v>26263889.354423933</v>
      </c>
      <c r="H66" s="67"/>
      <c r="I66" s="75"/>
      <c r="J66" s="71"/>
      <c r="K66" s="67">
        <f>IF(Inputs!$E$81="L",('System Net Power Costs'!H14),IF(Inputs!$E$81="M",('System Net Power Costs'!H13),IF(Inputs!$E$81="H",('System Net Power Costs'!H12))))</f>
        <v>473042.80899999995</v>
      </c>
      <c r="L66" s="67">
        <f>IF(Inputs!$E$81="L",('System Net Power Costs'!I14),IF(Inputs!$E$81="M",('System Net Power Costs'!I13),IF(Inputs!$E$81="H",('System Net Power Costs'!I12))))</f>
        <v>526090.206</v>
      </c>
      <c r="M66" s="67">
        <f>IF(Inputs!$E$81="L",('System Net Power Costs'!J14),IF(Inputs!$E$81="M",('System Net Power Costs'!J13),IF(Inputs!$E$81="H",('System Net Power Costs'!J12))))</f>
        <v>537830.589</v>
      </c>
      <c r="N66" s="67">
        <f>IF(Inputs!$E$81="L",('System Net Power Costs'!K14),IF(Inputs!$E$81="M",('System Net Power Costs'!K13),IF(Inputs!$E$81="H",('System Net Power Costs'!K12))))</f>
        <v>568543.984</v>
      </c>
      <c r="O66" s="67">
        <f>IF(Inputs!$E$81="L",('System Net Power Costs'!L14),IF(Inputs!$E$81="M",('System Net Power Costs'!L13),IF(Inputs!$E$81="H",('System Net Power Costs'!L12))))</f>
        <v>623293.134</v>
      </c>
      <c r="P66" s="67">
        <f>IF(Inputs!$E$81="L",('System Net Power Costs'!M14),IF(Inputs!$E$81="M",('System Net Power Costs'!M13),IF(Inputs!$E$81="H",('System Net Power Costs'!M12))))</f>
        <v>695898.281</v>
      </c>
      <c r="Q66" s="67">
        <f>IF(Inputs!$E$81="L",('System Net Power Costs'!N14),IF(Inputs!$E$81="M",('System Net Power Costs'!N13),IF(Inputs!$E$81="H",('System Net Power Costs'!N12))))</f>
        <v>747599.9389999999</v>
      </c>
      <c r="R66" s="67">
        <f>IF(Inputs!$E$81="L",('System Net Power Costs'!O14),IF(Inputs!$E$81="M",('System Net Power Costs'!O13),IF(Inputs!$E$81="H",('System Net Power Costs'!O12))))</f>
        <v>822682.433</v>
      </c>
      <c r="S66" s="67">
        <f>IF(Inputs!$E$81="L",('System Net Power Costs'!P14),IF(Inputs!$E$81="M",('System Net Power Costs'!P13),IF(Inputs!$E$81="H",('System Net Power Costs'!P12))))</f>
        <v>873223.294</v>
      </c>
      <c r="T66" s="67">
        <f>IF(Inputs!$E$81="L",('System Net Power Costs'!Q14),IF(Inputs!$E$81="M",('System Net Power Costs'!Q13),IF(Inputs!$E$81="H",('System Net Power Costs'!Q12))))</f>
        <v>944296.67</v>
      </c>
      <c r="U66" s="67">
        <f>IF(Inputs!$E$81="L",('System Net Power Costs'!R14),IF(Inputs!$E$81="M",('System Net Power Costs'!R13),IF(Inputs!$E$81="H",('System Net Power Costs'!R12))))</f>
        <v>1025014.7019999999</v>
      </c>
      <c r="V66" s="67">
        <f>IF(Inputs!$E$81="L",('System Net Power Costs'!S14),IF(Inputs!$E$81="M",('System Net Power Costs'!S13),IF(Inputs!$E$81="H",('System Net Power Costs'!S12))))</f>
        <v>1061256.499</v>
      </c>
      <c r="W66" s="67">
        <f>IF(Inputs!$E$81="L",('System Net Power Costs'!T14),IF(Inputs!$E$81="M",('System Net Power Costs'!T13),IF(Inputs!$E$81="H",('System Net Power Costs'!T12))))</f>
        <v>1083909.839</v>
      </c>
      <c r="X66" s="67">
        <f>IF(Inputs!$E$81="L",('System Net Power Costs'!U14),IF(Inputs!$E$81="M",('System Net Power Costs'!U13),IF(Inputs!$E$81="H",('System Net Power Costs'!U12))))</f>
        <v>1149130.179</v>
      </c>
      <c r="Y66" s="67">
        <f>IF(Inputs!$E$81="L",('System Net Power Costs'!V14),IF(Inputs!$E$81="M",('System Net Power Costs'!V13),IF(Inputs!$E$81="H",('System Net Power Costs'!V12))))</f>
        <v>1208533.373</v>
      </c>
      <c r="Z66" s="67">
        <f>IF(Inputs!$E$81="L",('System Net Power Costs'!W14),IF(Inputs!$E$81="M",('System Net Power Costs'!W13),IF(Inputs!$E$81="H",('System Net Power Costs'!W12))))</f>
        <v>1285788.5929999999</v>
      </c>
      <c r="AA66" s="67">
        <f>IF(Inputs!$E$81="L",('System Net Power Costs'!X14),IF(Inputs!$E$81="M",('System Net Power Costs'!X13),IF(Inputs!$E$81="H",('System Net Power Costs'!X12))))</f>
        <v>1369156.6849999998</v>
      </c>
      <c r="AB66" s="67">
        <f>IF(Inputs!$E$81="L",('System Net Power Costs'!Y14),IF(Inputs!$E$81="M",('System Net Power Costs'!Y13),IF(Inputs!$E$81="H",('System Net Power Costs'!Y12))))</f>
        <v>1467301.42</v>
      </c>
      <c r="AC66" s="67">
        <f>IF(Inputs!$E$81="L",('System Net Power Costs'!Z14),IF(Inputs!$E$81="M",('System Net Power Costs'!Z13),IF(Inputs!$E$81="H",('System Net Power Costs'!Z12))))</f>
        <v>1561569.404</v>
      </c>
      <c r="AD66" s="67">
        <f>IF(Inputs!$E$81="L",('System Net Power Costs'!AA14),IF(Inputs!$E$81="M",('System Net Power Costs'!AA13),IF(Inputs!$E$81="H",('System Net Power Costs'!AA12))))</f>
        <v>1589677.6532720001</v>
      </c>
      <c r="AE66" s="67">
        <f>IF(Inputs!$E$81="L",('System Net Power Costs'!AB14),IF(Inputs!$E$81="M",('System Net Power Costs'!AB13),IF(Inputs!$E$81="H",('System Net Power Costs'!AB12))))</f>
        <v>1618291.8510308962</v>
      </c>
      <c r="AF66" s="67">
        <f>IF(Inputs!$E$81="L",('System Net Power Costs'!AC14),IF(Inputs!$E$81="M",('System Net Power Costs'!AC13),IF(Inputs!$E$81="H",('System Net Power Costs'!AC12))))</f>
        <v>1647421.1043494523</v>
      </c>
      <c r="AG66" s="67">
        <f>IF(Inputs!$E$81="L",('System Net Power Costs'!AD14),IF(Inputs!$E$81="M",('System Net Power Costs'!AD13),IF(Inputs!$E$81="H",('System Net Power Costs'!AD12))))</f>
        <v>1677074.6842277425</v>
      </c>
      <c r="AH66" s="67">
        <f>IF(Inputs!$E$81="L",('System Net Power Costs'!AE14),IF(Inputs!$E$81="M",('System Net Power Costs'!AE13),IF(Inputs!$E$81="H",('System Net Power Costs'!AE12))))</f>
        <v>1707262.0285438418</v>
      </c>
      <c r="AI66" s="67">
        <f>IF(Inputs!$E$81="L",('System Net Power Costs'!AF14),IF(Inputs!$E$81="M",('System Net Power Costs'!AF13),IF(Inputs!$E$81="H",('System Net Power Costs'!AF12))))</f>
        <v>0</v>
      </c>
      <c r="AJ66" s="67">
        <f>IF(Inputs!$E$81="L",('System Net Power Costs'!AG14),IF(Inputs!$E$81="M",('System Net Power Costs'!AG13),IF(Inputs!$E$81="H",('System Net Power Costs'!AG12))))</f>
        <v>0</v>
      </c>
      <c r="AK66" s="67">
        <f>IF(Inputs!$E$81="L",('System Net Power Costs'!AH14),IF(Inputs!$E$81="M",('System Net Power Costs'!AH13),IF(Inputs!$E$81="H",('System Net Power Costs'!AH12))))</f>
        <v>0</v>
      </c>
      <c r="AL66" s="67">
        <f>IF(Inputs!$E$81="L",('System Net Power Costs'!AI14),IF(Inputs!$E$81="M",('System Net Power Costs'!AI13),IF(Inputs!$E$81="H",('System Net Power Costs'!AI12))))</f>
        <v>0</v>
      </c>
      <c r="AM66" s="67">
        <f>IF(Inputs!$E$81="L",('System Net Power Costs'!AJ14),IF(Inputs!$E$81="M",('System Net Power Costs'!AJ13),IF(Inputs!$E$81="H",('System Net Power Costs'!AJ12))))</f>
        <v>0</v>
      </c>
      <c r="AN66" s="67">
        <f>IF(Inputs!$E$81="L",('System Net Power Costs'!AK14),IF(Inputs!$E$81="M",('System Net Power Costs'!AK13),IF(Inputs!$E$81="H",('System Net Power Costs'!AK12))))</f>
        <v>0</v>
      </c>
    </row>
    <row r="67" spans="1:40" ht="12.75">
      <c r="A67" s="122">
        <f t="shared" si="1"/>
        <v>58</v>
      </c>
      <c r="B67" s="58"/>
      <c r="C67" s="58"/>
      <c r="D67" s="58"/>
      <c r="E67" s="58"/>
      <c r="F67" s="67"/>
      <c r="G67" s="67"/>
      <c r="H67" s="67"/>
      <c r="I67" s="75"/>
      <c r="J67" s="71"/>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836"/>
      <c r="AM67" s="836"/>
      <c r="AN67" s="836"/>
    </row>
    <row r="68" spans="1:40" ht="16.5" thickBot="1">
      <c r="A68" s="122">
        <f t="shared" si="1"/>
        <v>59</v>
      </c>
      <c r="B68" s="61" t="s">
        <v>74</v>
      </c>
      <c r="C68" s="58"/>
      <c r="D68" s="58"/>
      <c r="E68" s="58"/>
      <c r="F68" s="126">
        <f>NPV(Disc_,K68:AN68)*(1+Disc_/2)</f>
        <v>10449268.263658516</v>
      </c>
      <c r="G68" s="126">
        <f>SUM(J68:AN68)</f>
        <v>27341018.277760174</v>
      </c>
      <c r="H68" s="67"/>
      <c r="I68" s="75"/>
      <c r="J68" s="71"/>
      <c r="K68" s="135">
        <f aca="true" t="shared" si="30" ref="K68:AN68">K41+K63+K66</f>
        <v>508740.185184716</v>
      </c>
      <c r="L68" s="135">
        <f t="shared" si="30"/>
        <v>572559.6817301244</v>
      </c>
      <c r="M68" s="135">
        <f t="shared" si="30"/>
        <v>589788.876430347</v>
      </c>
      <c r="N68" s="135">
        <f t="shared" si="30"/>
        <v>615906.0437351619</v>
      </c>
      <c r="O68" s="135">
        <f t="shared" si="30"/>
        <v>671751.7172106336</v>
      </c>
      <c r="P68" s="135">
        <f t="shared" si="30"/>
        <v>742698.5080818216</v>
      </c>
      <c r="Q68" s="135">
        <f t="shared" si="30"/>
        <v>793274.6110205394</v>
      </c>
      <c r="R68" s="135">
        <f t="shared" si="30"/>
        <v>867533.0980735649</v>
      </c>
      <c r="S68" s="135">
        <f t="shared" si="30"/>
        <v>921398.644474176</v>
      </c>
      <c r="T68" s="135">
        <f t="shared" si="30"/>
        <v>992230.2554145714</v>
      </c>
      <c r="U68" s="135">
        <f t="shared" si="30"/>
        <v>1072923.9656424578</v>
      </c>
      <c r="V68" s="135">
        <f t="shared" si="30"/>
        <v>1109365.5074155806</v>
      </c>
      <c r="W68" s="135">
        <f t="shared" si="30"/>
        <v>1132390.7215100843</v>
      </c>
      <c r="X68" s="135">
        <f t="shared" si="30"/>
        <v>1197942.3070219897</v>
      </c>
      <c r="Y68" s="135">
        <f t="shared" si="30"/>
        <v>1253093.250957624</v>
      </c>
      <c r="Z68" s="135">
        <f t="shared" si="30"/>
        <v>1330659.0011027046</v>
      </c>
      <c r="AA68" s="135">
        <f t="shared" si="30"/>
        <v>1414134.834684793</v>
      </c>
      <c r="AB68" s="135">
        <f t="shared" si="30"/>
        <v>1512242.1126809684</v>
      </c>
      <c r="AC68" s="135">
        <f t="shared" si="30"/>
        <v>1606532.4331698432</v>
      </c>
      <c r="AD68" s="135">
        <f t="shared" si="30"/>
        <v>1634528.9738054613</v>
      </c>
      <c r="AE68" s="135">
        <f t="shared" si="30"/>
        <v>1662922.3292390641</v>
      </c>
      <c r="AF68" s="135">
        <f t="shared" si="30"/>
        <v>1691317.0726056264</v>
      </c>
      <c r="AG68" s="135">
        <f t="shared" si="30"/>
        <v>1719967.6505015148</v>
      </c>
      <c r="AH68" s="135">
        <f t="shared" si="30"/>
        <v>1750579.4973875273</v>
      </c>
      <c r="AI68" s="135">
        <f t="shared" si="30"/>
        <v>-5701.220484869602</v>
      </c>
      <c r="AJ68" s="135">
        <f t="shared" si="30"/>
        <v>-4222.839235858698</v>
      </c>
      <c r="AK68" s="135">
        <f t="shared" si="30"/>
        <v>-4214.713050663213</v>
      </c>
      <c r="AL68" s="135">
        <f t="shared" si="30"/>
        <v>-4206.343079911863</v>
      </c>
      <c r="AM68" s="135">
        <f t="shared" si="30"/>
        <v>-3602.8257204149877</v>
      </c>
      <c r="AN68" s="135">
        <f t="shared" si="30"/>
        <v>-1515.0597490002383</v>
      </c>
    </row>
    <row r="69" spans="2:38" ht="12.75">
      <c r="B69" s="58"/>
      <c r="C69" s="58"/>
      <c r="D69" s="58"/>
      <c r="E69" s="58"/>
      <c r="F69" s="67"/>
      <c r="G69" s="78"/>
      <c r="H69" s="67"/>
      <c r="I69" s="67"/>
      <c r="J69" s="71"/>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58"/>
    </row>
    <row r="70" spans="2:38" ht="12.75">
      <c r="B70" s="58"/>
      <c r="C70" s="37"/>
      <c r="D70" s="37"/>
      <c r="E70" s="37"/>
      <c r="F70" s="838"/>
      <c r="G70" s="37"/>
      <c r="H70" s="37"/>
      <c r="I70" s="67"/>
      <c r="J70" s="71"/>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58"/>
    </row>
    <row r="71" spans="2:38" ht="12.75">
      <c r="B71" s="58"/>
      <c r="C71" s="37"/>
      <c r="D71" s="37"/>
      <c r="E71" s="37"/>
      <c r="F71" s="37"/>
      <c r="G71" s="37"/>
      <c r="H71" s="3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58"/>
    </row>
    <row r="72" spans="2:34" ht="12.75">
      <c r="B72" s="58"/>
      <c r="C72" s="37"/>
      <c r="D72" s="37"/>
      <c r="E72" s="37"/>
      <c r="F72" s="37"/>
      <c r="G72" s="37"/>
      <c r="H72" s="3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row>
    <row r="73" spans="2:34" ht="12.75">
      <c r="B73" s="58"/>
      <c r="C73" s="65"/>
      <c r="D73" s="58"/>
      <c r="E73" s="58"/>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row>
    <row r="74" ht="12.75">
      <c r="A74"/>
    </row>
    <row r="75" ht="12.75">
      <c r="A75"/>
    </row>
    <row r="76" ht="12.75">
      <c r="A76"/>
    </row>
    <row r="77" ht="12.75">
      <c r="A77"/>
    </row>
    <row r="78" ht="12.75">
      <c r="A78"/>
    </row>
    <row r="79" ht="12.75">
      <c r="A79"/>
    </row>
    <row r="80" ht="12.75">
      <c r="A80"/>
    </row>
    <row r="81" ht="12.75">
      <c r="A81"/>
    </row>
    <row r="82" ht="12.75">
      <c r="A82"/>
    </row>
    <row r="83" ht="12.75">
      <c r="A83"/>
    </row>
    <row r="84" ht="12.75">
      <c r="A84"/>
    </row>
    <row r="85" ht="12.75">
      <c r="A85"/>
    </row>
    <row r="86" ht="12.75">
      <c r="A86"/>
    </row>
    <row r="87" ht="12.75">
      <c r="A87"/>
    </row>
    <row r="88" ht="12.75">
      <c r="A88"/>
    </row>
    <row r="89" ht="12.75">
      <c r="A89"/>
    </row>
    <row r="90" ht="12.75">
      <c r="A90"/>
    </row>
    <row r="91" ht="12.75">
      <c r="A91"/>
    </row>
    <row r="92" ht="12.75">
      <c r="A92"/>
    </row>
    <row r="93" ht="12.75">
      <c r="A93"/>
    </row>
    <row r="94" ht="12.75">
      <c r="A94"/>
    </row>
    <row r="95" ht="12.75">
      <c r="A95"/>
    </row>
    <row r="96" ht="12.75">
      <c r="A96"/>
    </row>
    <row r="97" ht="12.75">
      <c r="A97"/>
    </row>
    <row r="98" ht="12.75">
      <c r="A98"/>
    </row>
    <row r="99" ht="12.75">
      <c r="A99"/>
    </row>
    <row r="100" ht="12.75">
      <c r="A100"/>
    </row>
    <row r="101" ht="12.75">
      <c r="A101"/>
    </row>
    <row r="102" ht="12.75">
      <c r="A102"/>
    </row>
    <row r="103" spans="2:34" ht="12.75">
      <c r="B103" s="58"/>
      <c r="C103" s="58"/>
      <c r="D103" s="58"/>
      <c r="E103" s="58"/>
      <c r="F103" s="58"/>
      <c r="G103" s="58"/>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row>
    <row r="104" spans="2:34" ht="12.75">
      <c r="B104" s="58"/>
      <c r="C104" s="58"/>
      <c r="D104" s="58"/>
      <c r="E104" s="58"/>
      <c r="F104" s="58"/>
      <c r="G104" s="58"/>
      <c r="H104" s="58"/>
      <c r="I104" s="58"/>
      <c r="J104" s="58"/>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row>
    <row r="105" spans="2:34" ht="12.75">
      <c r="B105" s="58"/>
      <c r="C105" s="58"/>
      <c r="D105" s="58"/>
      <c r="E105" s="58"/>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row>
    <row r="106" spans="1:34" ht="12.75">
      <c r="A106" s="816"/>
      <c r="B106" s="817"/>
      <c r="C106" s="946" t="s">
        <v>104</v>
      </c>
      <c r="D106" s="947"/>
      <c r="E106" s="948"/>
      <c r="F106" s="818"/>
      <c r="G106" s="818"/>
      <c r="H106" s="818"/>
      <c r="I106" s="818"/>
      <c r="J106" s="819"/>
      <c r="K106" s="819"/>
      <c r="L106" s="819"/>
      <c r="M106" s="819"/>
      <c r="N106" s="819"/>
      <c r="O106" s="819"/>
      <c r="P106" s="819"/>
      <c r="Q106" s="819"/>
      <c r="R106" s="819"/>
      <c r="S106" s="819"/>
      <c r="T106" s="819"/>
      <c r="U106" s="819"/>
      <c r="V106" s="819"/>
      <c r="W106" s="819"/>
      <c r="X106" s="819"/>
      <c r="Y106" s="819"/>
      <c r="Z106" s="819"/>
      <c r="AA106" s="819"/>
      <c r="AB106" s="819"/>
      <c r="AC106" s="819"/>
      <c r="AD106" s="819"/>
      <c r="AE106" s="819"/>
      <c r="AF106" s="819"/>
      <c r="AG106" s="819"/>
      <c r="AH106" s="820"/>
    </row>
    <row r="107" spans="1:34" ht="12.75">
      <c r="A107" s="821"/>
      <c r="B107" s="822"/>
      <c r="C107" s="822"/>
      <c r="D107" s="822"/>
      <c r="E107" s="822"/>
      <c r="F107" s="69"/>
      <c r="G107" s="69"/>
      <c r="H107" s="69"/>
      <c r="I107" s="69"/>
      <c r="J107" s="823">
        <f aca="true" t="shared" si="31" ref="J107:AH107">J$24</f>
        <v>1999</v>
      </c>
      <c r="K107" s="823">
        <f t="shared" si="31"/>
        <v>2000</v>
      </c>
      <c r="L107" s="823">
        <f t="shared" si="31"/>
        <v>2001</v>
      </c>
      <c r="M107" s="823">
        <f t="shared" si="31"/>
        <v>2002</v>
      </c>
      <c r="N107" s="823">
        <f t="shared" si="31"/>
        <v>2003</v>
      </c>
      <c r="O107" s="823">
        <f t="shared" si="31"/>
        <v>2004</v>
      </c>
      <c r="P107" s="823">
        <f t="shared" si="31"/>
        <v>2005</v>
      </c>
      <c r="Q107" s="823">
        <f t="shared" si="31"/>
        <v>2006</v>
      </c>
      <c r="R107" s="823">
        <f t="shared" si="31"/>
        <v>2007</v>
      </c>
      <c r="S107" s="823">
        <f t="shared" si="31"/>
        <v>2008</v>
      </c>
      <c r="T107" s="823">
        <f t="shared" si="31"/>
        <v>2009</v>
      </c>
      <c r="U107" s="823">
        <f t="shared" si="31"/>
        <v>2010</v>
      </c>
      <c r="V107" s="823">
        <f t="shared" si="31"/>
        <v>2011</v>
      </c>
      <c r="W107" s="823">
        <f t="shared" si="31"/>
        <v>2012</v>
      </c>
      <c r="X107" s="823">
        <f t="shared" si="31"/>
        <v>2013</v>
      </c>
      <c r="Y107" s="823">
        <f t="shared" si="31"/>
        <v>2014</v>
      </c>
      <c r="Z107" s="823">
        <f t="shared" si="31"/>
        <v>2015</v>
      </c>
      <c r="AA107" s="823">
        <f t="shared" si="31"/>
        <v>2016</v>
      </c>
      <c r="AB107" s="823">
        <f t="shared" si="31"/>
        <v>2017</v>
      </c>
      <c r="AC107" s="823">
        <f t="shared" si="31"/>
        <v>2018</v>
      </c>
      <c r="AD107" s="823">
        <f t="shared" si="31"/>
        <v>2019</v>
      </c>
      <c r="AE107" s="823">
        <f t="shared" si="31"/>
        <v>2020</v>
      </c>
      <c r="AF107" s="823">
        <f t="shared" si="31"/>
        <v>2021</v>
      </c>
      <c r="AG107" s="823">
        <f t="shared" si="31"/>
        <v>2022</v>
      </c>
      <c r="AH107" s="824">
        <f t="shared" si="31"/>
        <v>2023</v>
      </c>
    </row>
    <row r="108" spans="1:34" ht="12.75">
      <c r="A108" s="821"/>
      <c r="B108" s="822"/>
      <c r="C108" s="822"/>
      <c r="D108" s="822"/>
      <c r="E108" s="822"/>
      <c r="F108" s="69"/>
      <c r="G108" s="69"/>
      <c r="H108" s="69"/>
      <c r="I108" s="825"/>
      <c r="J108" s="825"/>
      <c r="K108" s="825"/>
      <c r="L108" s="825"/>
      <c r="M108" s="825"/>
      <c r="N108" s="825"/>
      <c r="O108" s="825"/>
      <c r="P108" s="825"/>
      <c r="Q108" s="825"/>
      <c r="R108" s="825"/>
      <c r="S108" s="825"/>
      <c r="T108" s="825"/>
      <c r="U108" s="825"/>
      <c r="V108" s="825"/>
      <c r="W108" s="825"/>
      <c r="X108" s="825"/>
      <c r="Y108" s="825"/>
      <c r="Z108" s="825"/>
      <c r="AA108" s="825"/>
      <c r="AB108" s="825"/>
      <c r="AC108" s="825"/>
      <c r="AD108" s="825"/>
      <c r="AE108" s="825"/>
      <c r="AF108" s="825"/>
      <c r="AG108" s="825"/>
      <c r="AH108" s="826"/>
    </row>
    <row r="109" spans="1:34" ht="12.75">
      <c r="A109" s="821"/>
      <c r="B109" s="822"/>
      <c r="C109" s="822"/>
      <c r="D109" s="822"/>
      <c r="E109" s="822"/>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827"/>
    </row>
    <row r="110" spans="1:34" ht="12.75">
      <c r="A110" s="821"/>
      <c r="B110" s="822"/>
      <c r="C110" s="822" t="s">
        <v>105</v>
      </c>
      <c r="D110" s="822"/>
      <c r="E110" s="822"/>
      <c r="F110" s="69"/>
      <c r="G110" s="69">
        <f>SUM(J110:AK110)</f>
        <v>163755.90068290275</v>
      </c>
      <c r="H110" s="69"/>
      <c r="I110" s="825"/>
      <c r="J110" s="825">
        <f>Capex!D54</f>
        <v>3573.5508749999995</v>
      </c>
      <c r="K110" s="825">
        <f>Capex!E54</f>
        <v>846.4025</v>
      </c>
      <c r="L110" s="825">
        <f>Capex!F54+L112</f>
        <v>75467.21927394916</v>
      </c>
      <c r="M110" s="825">
        <f>Capex!G54+M112</f>
        <v>38803.023347457914</v>
      </c>
      <c r="N110" s="825">
        <f>Capex!H54</f>
        <v>2364.0749799645</v>
      </c>
      <c r="O110" s="825">
        <f>Capex!$E$85*Inputs!N9</f>
        <v>1927.2931485237498</v>
      </c>
      <c r="P110" s="69">
        <f>O110*(1+Inputs!$G$9)</f>
        <v>1985.1119429794624</v>
      </c>
      <c r="Q110" s="69">
        <f>P110*(1+Inputs!$G$9)</f>
        <v>2044.6653012688462</v>
      </c>
      <c r="R110" s="69">
        <f>Q110*(1+Inputs!$G$9)</f>
        <v>2106.0052603069116</v>
      </c>
      <c r="S110" s="69">
        <f>R110*(1+Inputs!$G$9)</f>
        <v>2169.185418116119</v>
      </c>
      <c r="T110" s="69">
        <f>S110*(1+Inputs!$G$9)</f>
        <v>2234.2609806596024</v>
      </c>
      <c r="U110" s="69">
        <f>T110*(1+Inputs!$G$9)</f>
        <v>2301.2888100793907</v>
      </c>
      <c r="V110" s="69">
        <f>U110*(1+Inputs!$G$9)</f>
        <v>2370.3274743817724</v>
      </c>
      <c r="W110" s="69">
        <f>V110*(1+Inputs!$G$9)</f>
        <v>2441.4372986132257</v>
      </c>
      <c r="X110" s="69">
        <f>W110*(1+Inputs!$G$9)</f>
        <v>2514.6804175716225</v>
      </c>
      <c r="Y110" s="69">
        <f>X110*(1+Inputs!$G$9)</f>
        <v>2590.1208300987714</v>
      </c>
      <c r="Z110" s="69">
        <f>Y110*(1+Inputs!$G$9)</f>
        <v>2667.824455001735</v>
      </c>
      <c r="AA110" s="69">
        <f>Z110*(1+Inputs!$G$9)</f>
        <v>2747.859188651787</v>
      </c>
      <c r="AB110" s="69">
        <f>AA110*(1+Inputs!$G$9)</f>
        <v>2830.2949643113407</v>
      </c>
      <c r="AC110" s="69">
        <f>AB110*(1+Inputs!$G$9)</f>
        <v>2915.203813240681</v>
      </c>
      <c r="AD110" s="69">
        <f>AC110*(1+Inputs!$G$9)</f>
        <v>3002.6599276379015</v>
      </c>
      <c r="AE110" s="69">
        <f>AD110*(1+Inputs!$G$9)*Inputs!AD57</f>
        <v>2319.5547941002787</v>
      </c>
      <c r="AF110" s="69">
        <f>AE110*(1+Inputs!$G$9)*Inputs!AE57</f>
        <v>1194.5707189616435</v>
      </c>
      <c r="AG110" s="69">
        <f>AF110*(1+Inputs!$G$9)*Inputs!AF57</f>
        <v>307.6019601326232</v>
      </c>
      <c r="AH110" s="827">
        <f>AG110*(1+Inputs!$G$9)*Inputs!AG57</f>
        <v>31.68300189366019</v>
      </c>
    </row>
    <row r="111" spans="1:34" ht="12.75">
      <c r="A111" s="821"/>
      <c r="B111" s="321"/>
      <c r="C111" s="321"/>
      <c r="D111" s="321"/>
      <c r="E111" s="321"/>
      <c r="F111" s="321"/>
      <c r="G111" s="321"/>
      <c r="H111" s="321"/>
      <c r="I111" s="69"/>
      <c r="J111" s="69"/>
      <c r="K111" s="69"/>
      <c r="L111" s="69">
        <f>Capex!F54</f>
        <v>9119.351956104496</v>
      </c>
      <c r="M111" s="69">
        <f>Capex!G54</f>
        <v>5400.666606625</v>
      </c>
      <c r="N111" s="69"/>
      <c r="O111" s="69"/>
      <c r="P111" s="69">
        <f>O110*(1+Inputs!$G$9)</f>
        <v>1985.1119429794624</v>
      </c>
      <c r="Q111" s="69"/>
      <c r="R111" s="69"/>
      <c r="S111" s="69"/>
      <c r="T111" s="69"/>
      <c r="U111" s="69"/>
      <c r="V111" s="69"/>
      <c r="W111" s="69"/>
      <c r="X111" s="69"/>
      <c r="Y111" s="69"/>
      <c r="Z111" s="69"/>
      <c r="AA111" s="69"/>
      <c r="AB111" s="69"/>
      <c r="AC111" s="69"/>
      <c r="AD111" s="69"/>
      <c r="AE111" s="69"/>
      <c r="AF111" s="69"/>
      <c r="AG111" s="69"/>
      <c r="AH111" s="827"/>
    </row>
    <row r="112" spans="1:34" ht="12.75">
      <c r="A112" s="821"/>
      <c r="B112" s="321"/>
      <c r="C112" s="321"/>
      <c r="D112" s="321"/>
      <c r="E112" s="321" t="s">
        <v>628</v>
      </c>
      <c r="F112" s="321"/>
      <c r="G112" s="69">
        <f>SUM(J112:AK112)</f>
        <v>99750.22405867757</v>
      </c>
      <c r="H112" s="321"/>
      <c r="I112" s="69"/>
      <c r="J112" s="69"/>
      <c r="K112" s="321"/>
      <c r="L112" s="828">
        <v>66347.86731784466</v>
      </c>
      <c r="M112" s="828">
        <v>33402.35674083291</v>
      </c>
      <c r="N112" s="321"/>
      <c r="O112" s="321"/>
      <c r="P112" s="321"/>
      <c r="Q112" s="321"/>
      <c r="R112" s="321"/>
      <c r="S112" s="321"/>
      <c r="T112" s="321"/>
      <c r="U112" s="321"/>
      <c r="V112" s="321"/>
      <c r="W112" s="321"/>
      <c r="X112" s="321"/>
      <c r="Y112" s="321"/>
      <c r="Z112" s="321"/>
      <c r="AA112" s="321"/>
      <c r="AB112" s="321"/>
      <c r="AC112" s="321"/>
      <c r="AD112" s="321"/>
      <c r="AE112" s="321"/>
      <c r="AF112" s="321"/>
      <c r="AG112" s="321"/>
      <c r="AH112" s="285"/>
    </row>
    <row r="113" spans="1:34" ht="12.75">
      <c r="A113" s="829"/>
      <c r="B113" s="177"/>
      <c r="C113" s="177"/>
      <c r="D113" s="177"/>
      <c r="E113" s="177"/>
      <c r="F113" s="177"/>
      <c r="G113" s="177"/>
      <c r="H113" s="177"/>
      <c r="I113" s="68"/>
      <c r="J113" s="68"/>
      <c r="K113" s="177"/>
      <c r="L113" s="830"/>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767"/>
    </row>
    <row r="114" spans="7:10" ht="12.75">
      <c r="G114" s="207"/>
      <c r="I114" s="67"/>
      <c r="J114" s="67"/>
    </row>
    <row r="115" spans="9:10" ht="12.75">
      <c r="I115" s="67"/>
      <c r="J115" s="67"/>
    </row>
  </sheetData>
  <mergeCells count="1">
    <mergeCell ref="C106:E106"/>
  </mergeCells>
  <printOptions/>
  <pageMargins left="0.5" right="0.25" top="0.5" bottom="0.5" header="0.25" footer="0"/>
  <pageSetup horizontalDpi="600" verticalDpi="600" orientation="portrait" scale="63" r:id="rId3"/>
  <headerFooter alignWithMargins="0">
    <oddHeader>&amp;LFor discussion purposes only &amp;RConfidential</oddHeader>
    <oddFooter xml:space="preserve">&amp;L&amp;D
&amp;T&amp;C&amp;P+21 of 24&amp;RCentralia Plant and Mine  Sale </oddFooter>
  </headerFooter>
  <colBreaks count="1" manualBreakCount="1">
    <brk id="1" min="1" max="79" man="1"/>
  </colBreaks>
  <legacyDrawing r:id="rId2"/>
</worksheet>
</file>

<file path=xl/worksheets/sheet4.xml><?xml version="1.0" encoding="utf-8"?>
<worksheet xmlns="http://schemas.openxmlformats.org/spreadsheetml/2006/main" xmlns:r="http://schemas.openxmlformats.org/officeDocument/2006/relationships">
  <dimension ref="A2:AP88"/>
  <sheetViews>
    <sheetView workbookViewId="0" topLeftCell="A1">
      <selection activeCell="A1" sqref="A1"/>
    </sheetView>
  </sheetViews>
  <sheetFormatPr defaultColWidth="9.140625" defaultRowHeight="12.75"/>
  <cols>
    <col min="1" max="1" width="3.57421875" style="11" customWidth="1"/>
    <col min="2" max="2" width="3.140625" style="11" customWidth="1"/>
    <col min="3" max="3" width="9.140625" style="11" customWidth="1"/>
    <col min="4" max="4" width="9.7109375" style="11" customWidth="1"/>
    <col min="5" max="5" width="9.140625" style="11" customWidth="1"/>
    <col min="6" max="6" width="16.57421875" style="11" customWidth="1"/>
    <col min="7" max="7" width="13.421875" style="11" customWidth="1"/>
    <col min="8" max="9" width="10.28125" style="11" bestFit="1" customWidth="1"/>
    <col min="10" max="10" width="11.28125" style="11" bestFit="1" customWidth="1"/>
    <col min="11" max="11" width="12.57421875" style="11" customWidth="1"/>
    <col min="12" max="12" width="11.421875" style="11" bestFit="1" customWidth="1"/>
    <col min="13" max="13" width="13.8515625" style="11" bestFit="1" customWidth="1"/>
    <col min="14" max="14" width="11.421875" style="11" bestFit="1" customWidth="1"/>
    <col min="15" max="15" width="11.57421875" style="11" customWidth="1"/>
    <col min="16" max="16" width="12.140625" style="11" customWidth="1"/>
    <col min="17" max="17" width="14.8515625" style="11" bestFit="1" customWidth="1"/>
    <col min="18" max="34" width="11.421875" style="11" bestFit="1" customWidth="1"/>
    <col min="35" max="16384" width="9.140625" style="11" customWidth="1"/>
  </cols>
  <sheetData>
    <row r="1" ht="12.75"/>
    <row r="2" spans="3:7" ht="12.75">
      <c r="C2" s="11" t="s">
        <v>249</v>
      </c>
      <c r="D2" s="214"/>
      <c r="E2" s="217" t="s">
        <v>248</v>
      </c>
      <c r="F2" s="218"/>
      <c r="G2" s="219"/>
    </row>
    <row r="3" spans="3:7" ht="12.75">
      <c r="C3" s="11" t="s">
        <v>250</v>
      </c>
      <c r="D3" s="215"/>
      <c r="E3" s="220" t="s">
        <v>247</v>
      </c>
      <c r="F3" s="221"/>
      <c r="G3" s="222"/>
    </row>
    <row r="4" spans="3:7" ht="12.75">
      <c r="C4" s="11" t="s">
        <v>251</v>
      </c>
      <c r="D4" s="216"/>
      <c r="E4" s="223" t="s">
        <v>246</v>
      </c>
      <c r="F4" s="223"/>
      <c r="G4" s="224"/>
    </row>
    <row r="5" ht="12.75"/>
    <row r="6" spans="3:42" ht="12.75">
      <c r="C6" s="744" t="s">
        <v>753</v>
      </c>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70"/>
    </row>
    <row r="7" spans="3:42" ht="12.75">
      <c r="C7" s="271" t="s">
        <v>119</v>
      </c>
      <c r="D7" s="272"/>
      <c r="E7" s="272"/>
      <c r="F7" s="272"/>
      <c r="G7" s="745">
        <v>0.475</v>
      </c>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631"/>
    </row>
    <row r="8" spans="3:42" ht="12.75">
      <c r="C8" s="271" t="s">
        <v>76</v>
      </c>
      <c r="D8" s="272"/>
      <c r="E8" s="272"/>
      <c r="F8" s="272"/>
      <c r="G8" s="745">
        <f>G77</f>
        <v>0.0781554416248</v>
      </c>
      <c r="H8" s="272"/>
      <c r="I8" s="746">
        <f>G9</f>
        <v>0.03</v>
      </c>
      <c r="J8" s="746"/>
      <c r="K8" s="747"/>
      <c r="L8" s="747"/>
      <c r="M8" s="747"/>
      <c r="N8" s="747"/>
      <c r="O8" s="747"/>
      <c r="P8" s="747"/>
      <c r="Q8" s="747"/>
      <c r="R8" s="747"/>
      <c r="S8" s="747"/>
      <c r="T8" s="272"/>
      <c r="U8" s="272"/>
      <c r="V8" s="272"/>
      <c r="W8" s="272"/>
      <c r="X8" s="272"/>
      <c r="Y8" s="272"/>
      <c r="Z8" s="272"/>
      <c r="AA8" s="272"/>
      <c r="AB8" s="272"/>
      <c r="AC8" s="272"/>
      <c r="AD8" s="272"/>
      <c r="AE8" s="272"/>
      <c r="AF8" s="272"/>
      <c r="AG8" s="272"/>
      <c r="AH8" s="272"/>
      <c r="AI8" s="272"/>
      <c r="AJ8" s="272"/>
      <c r="AK8" s="272"/>
      <c r="AL8" s="272"/>
      <c r="AM8" s="272"/>
      <c r="AN8" s="272"/>
      <c r="AO8" s="272"/>
      <c r="AP8" s="631"/>
    </row>
    <row r="9" spans="3:42" ht="12.75">
      <c r="C9" s="275" t="s">
        <v>130</v>
      </c>
      <c r="D9" s="276"/>
      <c r="E9" s="276"/>
      <c r="F9" s="276"/>
      <c r="G9" s="748">
        <v>0.03</v>
      </c>
      <c r="H9" s="749">
        <f>$I$9*(1+$I$8)^(1998-1999)</f>
        <v>0.970873786407767</v>
      </c>
      <c r="I9" s="750">
        <f>100%</f>
        <v>1</v>
      </c>
      <c r="J9" s="749">
        <f>$I$9*(1+$I$8)^(J11-1999)</f>
        <v>1.03</v>
      </c>
      <c r="K9" s="749">
        <f aca="true" t="shared" si="0" ref="K9:AP9">$I$9*(1+$I$8)^(K11-1999)</f>
        <v>1.0609</v>
      </c>
      <c r="L9" s="749">
        <f t="shared" si="0"/>
        <v>1.092727</v>
      </c>
      <c r="M9" s="749">
        <f t="shared" si="0"/>
        <v>1.12550881</v>
      </c>
      <c r="N9" s="749">
        <f t="shared" si="0"/>
        <v>1.1592740742999998</v>
      </c>
      <c r="O9" s="749">
        <f t="shared" si="0"/>
        <v>1.194052296529</v>
      </c>
      <c r="P9" s="749">
        <f t="shared" si="0"/>
        <v>1.22987386542487</v>
      </c>
      <c r="Q9" s="749">
        <f t="shared" si="0"/>
        <v>1.266770081387616</v>
      </c>
      <c r="R9" s="749">
        <f t="shared" si="0"/>
        <v>1.3047731838292445</v>
      </c>
      <c r="S9" s="749">
        <f t="shared" si="0"/>
        <v>1.3439163793441218</v>
      </c>
      <c r="T9" s="749">
        <f t="shared" si="0"/>
        <v>1.3842338707244455</v>
      </c>
      <c r="U9" s="749">
        <f t="shared" si="0"/>
        <v>1.4257608868461786</v>
      </c>
      <c r="V9" s="749">
        <f t="shared" si="0"/>
        <v>1.468533713451564</v>
      </c>
      <c r="W9" s="749">
        <f t="shared" si="0"/>
        <v>1.512589724855111</v>
      </c>
      <c r="X9" s="749">
        <f t="shared" si="0"/>
        <v>1.5579674166007644</v>
      </c>
      <c r="Y9" s="749">
        <f t="shared" si="0"/>
        <v>1.604706439098787</v>
      </c>
      <c r="Z9" s="749">
        <f t="shared" si="0"/>
        <v>1.6528476322717507</v>
      </c>
      <c r="AA9" s="749">
        <f t="shared" si="0"/>
        <v>1.7024330612399032</v>
      </c>
      <c r="AB9" s="749">
        <f t="shared" si="0"/>
        <v>1.7535060530771003</v>
      </c>
      <c r="AC9" s="749">
        <f t="shared" si="0"/>
        <v>1.8061112346694133</v>
      </c>
      <c r="AD9" s="749">
        <f t="shared" si="0"/>
        <v>1.8602945717094954</v>
      </c>
      <c r="AE9" s="749">
        <f t="shared" si="0"/>
        <v>1.9161034088607805</v>
      </c>
      <c r="AF9" s="749">
        <f t="shared" si="0"/>
        <v>1.973586511126604</v>
      </c>
      <c r="AG9" s="749">
        <f t="shared" si="0"/>
        <v>2.032794106460402</v>
      </c>
      <c r="AH9" s="749">
        <f t="shared" si="0"/>
        <v>2.093777929654214</v>
      </c>
      <c r="AI9" s="749">
        <f t="shared" si="0"/>
        <v>2.1565912675438406</v>
      </c>
      <c r="AJ9" s="749">
        <f t="shared" si="0"/>
        <v>2.2212890055701555</v>
      </c>
      <c r="AK9" s="749">
        <f t="shared" si="0"/>
        <v>2.28792767573726</v>
      </c>
      <c r="AL9" s="749">
        <f t="shared" si="0"/>
        <v>2.3565655060093778</v>
      </c>
      <c r="AM9" s="749">
        <f t="shared" si="0"/>
        <v>2.427262471189659</v>
      </c>
      <c r="AN9" s="749">
        <f t="shared" si="0"/>
        <v>2.5000803453253493</v>
      </c>
      <c r="AO9" s="749">
        <f t="shared" si="0"/>
        <v>2.5750827556851092</v>
      </c>
      <c r="AP9" s="751">
        <f t="shared" si="0"/>
        <v>2.6523352383556626</v>
      </c>
    </row>
    <row r="10" spans="7:36" ht="12.75">
      <c r="G10" s="128"/>
      <c r="I10" s="279"/>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row>
    <row r="11" spans="3:42" ht="12.75">
      <c r="C11" s="8" t="s">
        <v>754</v>
      </c>
      <c r="G11" s="129"/>
      <c r="H11" s="120"/>
      <c r="I11" s="120"/>
      <c r="J11" s="36">
        <v>2000</v>
      </c>
      <c r="K11" s="36">
        <f aca="true" t="shared" si="1" ref="K11:AC11">J11+1</f>
        <v>2001</v>
      </c>
      <c r="L11" s="36">
        <f t="shared" si="1"/>
        <v>2002</v>
      </c>
      <c r="M11" s="36">
        <f t="shared" si="1"/>
        <v>2003</v>
      </c>
      <c r="N11" s="36">
        <f t="shared" si="1"/>
        <v>2004</v>
      </c>
      <c r="O11" s="36">
        <f t="shared" si="1"/>
        <v>2005</v>
      </c>
      <c r="P11" s="36">
        <f t="shared" si="1"/>
        <v>2006</v>
      </c>
      <c r="Q11" s="36">
        <f t="shared" si="1"/>
        <v>2007</v>
      </c>
      <c r="R11" s="36">
        <f t="shared" si="1"/>
        <v>2008</v>
      </c>
      <c r="S11" s="36">
        <f t="shared" si="1"/>
        <v>2009</v>
      </c>
      <c r="T11" s="36">
        <f t="shared" si="1"/>
        <v>2010</v>
      </c>
      <c r="U11" s="36">
        <f t="shared" si="1"/>
        <v>2011</v>
      </c>
      <c r="V11" s="36">
        <f t="shared" si="1"/>
        <v>2012</v>
      </c>
      <c r="W11" s="36">
        <f t="shared" si="1"/>
        <v>2013</v>
      </c>
      <c r="X11" s="36">
        <f t="shared" si="1"/>
        <v>2014</v>
      </c>
      <c r="Y11" s="36">
        <f t="shared" si="1"/>
        <v>2015</v>
      </c>
      <c r="Z11" s="36">
        <f t="shared" si="1"/>
        <v>2016</v>
      </c>
      <c r="AA11" s="36">
        <f t="shared" si="1"/>
        <v>2017</v>
      </c>
      <c r="AB11" s="36">
        <f t="shared" si="1"/>
        <v>2018</v>
      </c>
      <c r="AC11" s="36">
        <f t="shared" si="1"/>
        <v>2019</v>
      </c>
      <c r="AD11" s="36">
        <f aca="true" t="shared" si="2" ref="AD11:AP11">AC11+1</f>
        <v>2020</v>
      </c>
      <c r="AE11" s="36">
        <f t="shared" si="2"/>
        <v>2021</v>
      </c>
      <c r="AF11" s="36">
        <f t="shared" si="2"/>
        <v>2022</v>
      </c>
      <c r="AG11" s="36">
        <f t="shared" si="2"/>
        <v>2023</v>
      </c>
      <c r="AH11" s="36">
        <f t="shared" si="2"/>
        <v>2024</v>
      </c>
      <c r="AI11" s="36">
        <f t="shared" si="2"/>
        <v>2025</v>
      </c>
      <c r="AJ11" s="36">
        <f t="shared" si="2"/>
        <v>2026</v>
      </c>
      <c r="AK11" s="36">
        <f t="shared" si="2"/>
        <v>2027</v>
      </c>
      <c r="AL11" s="36">
        <f t="shared" si="2"/>
        <v>2028</v>
      </c>
      <c r="AM11" s="36">
        <f t="shared" si="2"/>
        <v>2029</v>
      </c>
      <c r="AN11" s="36">
        <f t="shared" si="2"/>
        <v>2030</v>
      </c>
      <c r="AO11" s="36">
        <f t="shared" si="2"/>
        <v>2031</v>
      </c>
      <c r="AP11" s="36">
        <f t="shared" si="2"/>
        <v>2032</v>
      </c>
    </row>
    <row r="12" spans="3:42" ht="12.75">
      <c r="C12" s="626" t="s">
        <v>117</v>
      </c>
      <c r="D12" s="269"/>
      <c r="E12" s="269"/>
      <c r="F12" s="269"/>
      <c r="G12" s="879">
        <v>1340</v>
      </c>
      <c r="H12" s="627"/>
      <c r="I12" s="627"/>
      <c r="J12" s="627">
        <f>G12</f>
        <v>1340</v>
      </c>
      <c r="K12" s="627">
        <f aca="true" t="shared" si="3" ref="K12:AC12">J12</f>
        <v>1340</v>
      </c>
      <c r="L12" s="627">
        <f t="shared" si="3"/>
        <v>1340</v>
      </c>
      <c r="M12" s="627">
        <f t="shared" si="3"/>
        <v>1340</v>
      </c>
      <c r="N12" s="627">
        <f t="shared" si="3"/>
        <v>1340</v>
      </c>
      <c r="O12" s="627">
        <f t="shared" si="3"/>
        <v>1340</v>
      </c>
      <c r="P12" s="627">
        <f t="shared" si="3"/>
        <v>1340</v>
      </c>
      <c r="Q12" s="627">
        <f t="shared" si="3"/>
        <v>1340</v>
      </c>
      <c r="R12" s="627">
        <f t="shared" si="3"/>
        <v>1340</v>
      </c>
      <c r="S12" s="627">
        <f t="shared" si="3"/>
        <v>1340</v>
      </c>
      <c r="T12" s="627">
        <f t="shared" si="3"/>
        <v>1340</v>
      </c>
      <c r="U12" s="627">
        <f t="shared" si="3"/>
        <v>1340</v>
      </c>
      <c r="V12" s="627">
        <f t="shared" si="3"/>
        <v>1340</v>
      </c>
      <c r="W12" s="627">
        <f t="shared" si="3"/>
        <v>1340</v>
      </c>
      <c r="X12" s="627">
        <f t="shared" si="3"/>
        <v>1340</v>
      </c>
      <c r="Y12" s="627">
        <f t="shared" si="3"/>
        <v>1340</v>
      </c>
      <c r="Z12" s="627">
        <f t="shared" si="3"/>
        <v>1340</v>
      </c>
      <c r="AA12" s="627">
        <f t="shared" si="3"/>
        <v>1340</v>
      </c>
      <c r="AB12" s="627">
        <f t="shared" si="3"/>
        <v>1340</v>
      </c>
      <c r="AC12" s="627">
        <f t="shared" si="3"/>
        <v>1340</v>
      </c>
      <c r="AD12" s="627">
        <f>AC12</f>
        <v>1340</v>
      </c>
      <c r="AE12" s="627">
        <f>AD12</f>
        <v>1340</v>
      </c>
      <c r="AF12" s="627">
        <f>AE12</f>
        <v>1340</v>
      </c>
      <c r="AG12" s="628">
        <f>AF12</f>
        <v>1340</v>
      </c>
      <c r="AH12" s="13"/>
      <c r="AI12" s="13"/>
      <c r="AJ12" s="13"/>
      <c r="AK12" s="13"/>
      <c r="AL12" s="13"/>
      <c r="AM12" s="13"/>
      <c r="AN12" s="13"/>
      <c r="AO12" s="13"/>
      <c r="AP12" s="13"/>
    </row>
    <row r="13" spans="3:33" ht="12.75">
      <c r="C13" s="629" t="s">
        <v>118</v>
      </c>
      <c r="D13" s="272"/>
      <c r="E13" s="272"/>
      <c r="F13" s="272"/>
      <c r="G13" s="883">
        <v>16.46</v>
      </c>
      <c r="H13" s="272"/>
      <c r="I13" s="272"/>
      <c r="J13" s="272">
        <v>0</v>
      </c>
      <c r="K13" s="272">
        <v>0</v>
      </c>
      <c r="L13" s="272">
        <f>G13/2</f>
        <v>8.23</v>
      </c>
      <c r="M13" s="272">
        <f>G13</f>
        <v>16.46</v>
      </c>
      <c r="N13" s="272">
        <f>M13</f>
        <v>16.46</v>
      </c>
      <c r="O13" s="272">
        <f aca="true" t="shared" si="4" ref="O13:AG13">N13</f>
        <v>16.46</v>
      </c>
      <c r="P13" s="272">
        <f t="shared" si="4"/>
        <v>16.46</v>
      </c>
      <c r="Q13" s="272">
        <f t="shared" si="4"/>
        <v>16.46</v>
      </c>
      <c r="R13" s="272">
        <f t="shared" si="4"/>
        <v>16.46</v>
      </c>
      <c r="S13" s="272">
        <f t="shared" si="4"/>
        <v>16.46</v>
      </c>
      <c r="T13" s="272">
        <f t="shared" si="4"/>
        <v>16.46</v>
      </c>
      <c r="U13" s="272">
        <f t="shared" si="4"/>
        <v>16.46</v>
      </c>
      <c r="V13" s="272">
        <f t="shared" si="4"/>
        <v>16.46</v>
      </c>
      <c r="W13" s="272">
        <f t="shared" si="4"/>
        <v>16.46</v>
      </c>
      <c r="X13" s="272">
        <f t="shared" si="4"/>
        <v>16.46</v>
      </c>
      <c r="Y13" s="272">
        <f t="shared" si="4"/>
        <v>16.46</v>
      </c>
      <c r="Z13" s="272">
        <f t="shared" si="4"/>
        <v>16.46</v>
      </c>
      <c r="AA13" s="272">
        <f t="shared" si="4"/>
        <v>16.46</v>
      </c>
      <c r="AB13" s="272">
        <f t="shared" si="4"/>
        <v>16.46</v>
      </c>
      <c r="AC13" s="272">
        <f t="shared" si="4"/>
        <v>16.46</v>
      </c>
      <c r="AD13" s="272">
        <f t="shared" si="4"/>
        <v>16.46</v>
      </c>
      <c r="AE13" s="272">
        <f t="shared" si="4"/>
        <v>16.46</v>
      </c>
      <c r="AF13" s="272">
        <f t="shared" si="4"/>
        <v>16.46</v>
      </c>
      <c r="AG13" s="631">
        <f t="shared" si="4"/>
        <v>16.46</v>
      </c>
    </row>
    <row r="14" spans="3:33" ht="12.75">
      <c r="C14" s="629" t="s">
        <v>120</v>
      </c>
      <c r="D14" s="272"/>
      <c r="E14" s="272"/>
      <c r="F14" s="272"/>
      <c r="G14" s="880">
        <v>10358</v>
      </c>
      <c r="H14" s="131"/>
      <c r="I14" s="131"/>
      <c r="J14" s="131">
        <f>G14</f>
        <v>10358</v>
      </c>
      <c r="K14" s="131">
        <f aca="true" t="shared" si="5" ref="K14:AG14">J14</f>
        <v>10358</v>
      </c>
      <c r="L14" s="131">
        <f t="shared" si="5"/>
        <v>10358</v>
      </c>
      <c r="M14" s="131">
        <f t="shared" si="5"/>
        <v>10358</v>
      </c>
      <c r="N14" s="131">
        <f t="shared" si="5"/>
        <v>10358</v>
      </c>
      <c r="O14" s="131">
        <f t="shared" si="5"/>
        <v>10358</v>
      </c>
      <c r="P14" s="131">
        <f t="shared" si="5"/>
        <v>10358</v>
      </c>
      <c r="Q14" s="131">
        <f t="shared" si="5"/>
        <v>10358</v>
      </c>
      <c r="R14" s="131">
        <f t="shared" si="5"/>
        <v>10358</v>
      </c>
      <c r="S14" s="131">
        <f t="shared" si="5"/>
        <v>10358</v>
      </c>
      <c r="T14" s="131">
        <f t="shared" si="5"/>
        <v>10358</v>
      </c>
      <c r="U14" s="131">
        <f t="shared" si="5"/>
        <v>10358</v>
      </c>
      <c r="V14" s="131">
        <f t="shared" si="5"/>
        <v>10358</v>
      </c>
      <c r="W14" s="131">
        <f t="shared" si="5"/>
        <v>10358</v>
      </c>
      <c r="X14" s="131">
        <f t="shared" si="5"/>
        <v>10358</v>
      </c>
      <c r="Y14" s="131">
        <f t="shared" si="5"/>
        <v>10358</v>
      </c>
      <c r="Z14" s="131">
        <f t="shared" si="5"/>
        <v>10358</v>
      </c>
      <c r="AA14" s="131">
        <f t="shared" si="5"/>
        <v>10358</v>
      </c>
      <c r="AB14" s="131">
        <f t="shared" si="5"/>
        <v>10358</v>
      </c>
      <c r="AC14" s="131">
        <f t="shared" si="5"/>
        <v>10358</v>
      </c>
      <c r="AD14" s="131">
        <f t="shared" si="5"/>
        <v>10358</v>
      </c>
      <c r="AE14" s="131">
        <f t="shared" si="5"/>
        <v>10358</v>
      </c>
      <c r="AF14" s="131">
        <f t="shared" si="5"/>
        <v>10358</v>
      </c>
      <c r="AG14" s="632">
        <f t="shared" si="5"/>
        <v>10358</v>
      </c>
    </row>
    <row r="15" spans="3:33" ht="12.75">
      <c r="C15" s="629" t="s">
        <v>750</v>
      </c>
      <c r="D15" s="272"/>
      <c r="E15" s="272"/>
      <c r="F15" s="272"/>
      <c r="G15" s="880"/>
      <c r="H15" s="131"/>
      <c r="I15" s="131"/>
      <c r="J15" s="14">
        <v>0.694843540166167</v>
      </c>
      <c r="K15" s="14">
        <v>0.6957048638316559</v>
      </c>
      <c r="L15" s="14">
        <v>0.6941824948554799</v>
      </c>
      <c r="M15" s="14">
        <v>0.6987557005874941</v>
      </c>
      <c r="N15" s="14">
        <v>0.6947412171034932</v>
      </c>
      <c r="O15" s="14">
        <v>0.6891705340255834</v>
      </c>
      <c r="P15" s="14">
        <v>0.7140592129242972</v>
      </c>
      <c r="Q15" s="14">
        <v>0.7114275792198697</v>
      </c>
      <c r="R15" s="14">
        <v>0.7201811991175316</v>
      </c>
      <c r="S15" s="14">
        <v>0.7237177445046195</v>
      </c>
      <c r="T15" s="14">
        <v>0.732053911987808</v>
      </c>
      <c r="U15" s="14">
        <v>0.7414968329272247</v>
      </c>
      <c r="V15" s="14">
        <v>0.7539599740800657</v>
      </c>
      <c r="W15" s="14">
        <v>0.7561273243616347</v>
      </c>
      <c r="X15" s="14">
        <v>0.7562005100034728</v>
      </c>
      <c r="Y15" s="14">
        <v>0.7564137887489275</v>
      </c>
      <c r="Z15" s="14">
        <v>0.7562305800844689</v>
      </c>
      <c r="AA15" s="14">
        <v>0.7586335738414425</v>
      </c>
      <c r="AB15" s="14">
        <v>0.7595313535899709</v>
      </c>
      <c r="AC15" s="14">
        <v>0.7595313535899709</v>
      </c>
      <c r="AD15" s="14">
        <v>0.7595313535899709</v>
      </c>
      <c r="AE15" s="14">
        <v>0.7595313535899709</v>
      </c>
      <c r="AF15" s="14">
        <v>0.7595313535899709</v>
      </c>
      <c r="AG15" s="743">
        <v>0.7595313535899709</v>
      </c>
    </row>
    <row r="16" spans="3:33" ht="12.75">
      <c r="C16" s="629" t="s">
        <v>748</v>
      </c>
      <c r="D16" s="272"/>
      <c r="E16" s="272"/>
      <c r="F16" s="272"/>
      <c r="G16" s="881"/>
      <c r="H16" s="14"/>
      <c r="I16" s="14"/>
      <c r="J16" s="14">
        <v>0.6946292341712662</v>
      </c>
      <c r="K16" s="14">
        <v>0.6953690708867518</v>
      </c>
      <c r="L16" s="14">
        <v>0.6936633790528343</v>
      </c>
      <c r="M16" s="14">
        <v>0.6983596371140175</v>
      </c>
      <c r="N16" s="14">
        <v>0.6940868503845057</v>
      </c>
      <c r="O16" s="14">
        <v>0.6896358368562892</v>
      </c>
      <c r="P16" s="14">
        <v>0.7134348030732229</v>
      </c>
      <c r="Q16" s="14">
        <v>0.7107005659689637</v>
      </c>
      <c r="R16" s="14">
        <v>0.7203665255037728</v>
      </c>
      <c r="S16" s="14">
        <v>0.7221473026068439</v>
      </c>
      <c r="T16" s="14">
        <v>0.7312095864580732</v>
      </c>
      <c r="U16" s="14">
        <v>0.7410189737363996</v>
      </c>
      <c r="V16" s="14">
        <v>0.7540465551330972</v>
      </c>
      <c r="W16" s="14">
        <v>0.7561572802493478</v>
      </c>
      <c r="X16" s="14">
        <v>0.7562112725978608</v>
      </c>
      <c r="Y16" s="14">
        <v>0.7562862520054301</v>
      </c>
      <c r="Z16" s="14">
        <v>0.7562307589709419</v>
      </c>
      <c r="AA16" s="14">
        <v>0.7586339325945889</v>
      </c>
      <c r="AB16" s="14">
        <v>0.7595315329665441</v>
      </c>
      <c r="AC16" s="14">
        <v>0.7595315329665441</v>
      </c>
      <c r="AD16" s="14">
        <v>0.7595315329665441</v>
      </c>
      <c r="AE16" s="14">
        <v>0.7595315329665441</v>
      </c>
      <c r="AF16" s="14">
        <v>0.7595315329665441</v>
      </c>
      <c r="AG16" s="743">
        <v>0.7595315329665441</v>
      </c>
    </row>
    <row r="17" spans="3:33" ht="12.75">
      <c r="C17" s="633" t="s">
        <v>749</v>
      </c>
      <c r="D17" s="276"/>
      <c r="E17" s="276"/>
      <c r="F17" s="276"/>
      <c r="G17" s="882"/>
      <c r="H17" s="634"/>
      <c r="I17" s="634"/>
      <c r="J17" s="634">
        <v>0.6667572905539929</v>
      </c>
      <c r="K17" s="634">
        <v>0.669798581633561</v>
      </c>
      <c r="L17" s="634">
        <v>0.6679059794104396</v>
      </c>
      <c r="M17" s="634">
        <v>0.6719333422304115</v>
      </c>
      <c r="N17" s="634">
        <v>0.6696074887315834</v>
      </c>
      <c r="O17" s="634">
        <v>0.6649491359789225</v>
      </c>
      <c r="P17" s="634">
        <v>0.6835476165875974</v>
      </c>
      <c r="Q17" s="634">
        <v>0.6821509905891875</v>
      </c>
      <c r="R17" s="634">
        <v>0.6872637625234842</v>
      </c>
      <c r="S17" s="634">
        <v>0.6812885480255662</v>
      </c>
      <c r="T17" s="634">
        <v>0.6828826676309951</v>
      </c>
      <c r="U17" s="634">
        <v>0.6833445623068114</v>
      </c>
      <c r="V17" s="634">
        <v>0.689758871051761</v>
      </c>
      <c r="W17" s="634">
        <v>0.6908347898711072</v>
      </c>
      <c r="X17" s="634">
        <v>0.6869575652428472</v>
      </c>
      <c r="Y17" s="634">
        <v>0.6897077668621153</v>
      </c>
      <c r="Z17" s="634">
        <v>0.6974425817353763</v>
      </c>
      <c r="AA17" s="634">
        <v>0.716957579592973</v>
      </c>
      <c r="AB17" s="634">
        <v>0.7428231433089668</v>
      </c>
      <c r="AC17" s="634">
        <v>0.7428231433089668</v>
      </c>
      <c r="AD17" s="634">
        <v>0.7428231433089668</v>
      </c>
      <c r="AE17" s="634">
        <v>0.7428231433089668</v>
      </c>
      <c r="AF17" s="634">
        <v>0.7428231433089668</v>
      </c>
      <c r="AG17" s="635">
        <v>0.7428231433089668</v>
      </c>
    </row>
    <row r="18" spans="3:10" ht="12.75">
      <c r="C18" s="268" t="s">
        <v>770</v>
      </c>
      <c r="D18" s="269"/>
      <c r="E18" s="269"/>
      <c r="F18" s="269"/>
      <c r="G18" s="885">
        <f>(65455+831438.26)/1000</f>
        <v>896.89326</v>
      </c>
      <c r="H18" s="269"/>
      <c r="I18" s="269"/>
      <c r="J18" s="270"/>
    </row>
    <row r="19" spans="3:10" ht="12.75">
      <c r="C19" s="629" t="s">
        <v>443</v>
      </c>
      <c r="D19" s="272"/>
      <c r="E19" s="272"/>
      <c r="F19" s="272"/>
      <c r="G19" s="630">
        <v>0.26</v>
      </c>
      <c r="H19" s="272"/>
      <c r="I19" s="272"/>
      <c r="J19" s="631"/>
    </row>
    <row r="20" spans="3:10" ht="12.75">
      <c r="C20" s="271" t="s">
        <v>451</v>
      </c>
      <c r="D20" s="272"/>
      <c r="E20" s="272"/>
      <c r="F20" s="272"/>
      <c r="G20" s="880">
        <f>1975.855*(1+G9)^(2023-1996)</f>
        <v>4388.9449881008195</v>
      </c>
      <c r="H20" s="272"/>
      <c r="I20" s="272"/>
      <c r="J20" s="631"/>
    </row>
    <row r="21" spans="3:10" ht="12.75">
      <c r="C21" s="754" t="s">
        <v>452</v>
      </c>
      <c r="D21" s="272"/>
      <c r="E21" s="272"/>
      <c r="F21" s="272"/>
      <c r="G21" s="880">
        <f>9266.545*(1-G7)</f>
        <v>4864.936125</v>
      </c>
      <c r="H21" s="272"/>
      <c r="I21" s="272"/>
      <c r="J21" s="631"/>
    </row>
    <row r="22" spans="3:10" ht="12.75">
      <c r="C22" s="757" t="s">
        <v>517</v>
      </c>
      <c r="D22" s="276"/>
      <c r="E22" s="276"/>
      <c r="F22" s="276"/>
      <c r="G22" s="884">
        <f>(G12*40)*(1+G9)^(2024-1997)</f>
        <v>119061.09069856034</v>
      </c>
      <c r="H22" s="758">
        <f>G22*G7</f>
        <v>56554.01808181615</v>
      </c>
      <c r="I22" s="276" t="s">
        <v>685</v>
      </c>
      <c r="J22" s="759"/>
    </row>
    <row r="23" spans="3:8" ht="12.75">
      <c r="C23" s="426"/>
      <c r="G23" s="266"/>
      <c r="H23" s="266"/>
    </row>
    <row r="24" spans="3:8" ht="12.75">
      <c r="C24" s="752" t="s">
        <v>755</v>
      </c>
      <c r="D24" s="269"/>
      <c r="E24" s="269"/>
      <c r="F24" s="269"/>
      <c r="G24" s="753"/>
      <c r="H24" s="266"/>
    </row>
    <row r="25" spans="3:7" ht="12.75">
      <c r="C25" s="754" t="s">
        <v>475</v>
      </c>
      <c r="D25" s="272"/>
      <c r="E25" s="272"/>
      <c r="F25" s="272"/>
      <c r="G25" s="886">
        <f>('PPW PPE'!L39-'PPW PPE'!D39)/1000-2236.53384</f>
        <v>4058.46616</v>
      </c>
    </row>
    <row r="26" spans="3:7" ht="12.75">
      <c r="C26" s="754" t="s">
        <v>686</v>
      </c>
      <c r="D26" s="272"/>
      <c r="E26" s="272"/>
      <c r="F26" s="272"/>
      <c r="G26" s="888">
        <f>-3636*(1+G9)^22</f>
        <v>-6966.951994617798</v>
      </c>
    </row>
    <row r="27" spans="3:7" ht="12.75">
      <c r="C27" s="754" t="s">
        <v>751</v>
      </c>
      <c r="D27" s="272"/>
      <c r="E27" s="272"/>
      <c r="F27" s="272"/>
      <c r="G27" s="887">
        <v>72000</v>
      </c>
    </row>
    <row r="28" spans="3:7" ht="12.75">
      <c r="C28" s="754" t="s">
        <v>569</v>
      </c>
      <c r="D28" s="272"/>
      <c r="E28" s="272" t="s">
        <v>658</v>
      </c>
      <c r="F28" s="272"/>
      <c r="G28" s="887">
        <v>8757846.09</v>
      </c>
    </row>
    <row r="29" spans="3:7" ht="12.75">
      <c r="C29" s="754" t="s">
        <v>570</v>
      </c>
      <c r="D29" s="272"/>
      <c r="E29" s="272" t="s">
        <v>658</v>
      </c>
      <c r="F29" s="272"/>
      <c r="G29" s="887">
        <v>6062997.91</v>
      </c>
    </row>
    <row r="30" spans="3:7" ht="12.75">
      <c r="C30" s="754"/>
      <c r="D30" s="272"/>
      <c r="E30" s="272"/>
      <c r="F30" s="272"/>
      <c r="G30" s="887"/>
    </row>
    <row r="31" spans="3:8" ht="12.75">
      <c r="C31" s="921" t="s">
        <v>878</v>
      </c>
      <c r="D31" s="269"/>
      <c r="E31" s="269"/>
      <c r="F31" s="269"/>
      <c r="G31" s="885"/>
      <c r="H31" s="922" t="s">
        <v>877</v>
      </c>
    </row>
    <row r="32" spans="3:8" ht="12.75">
      <c r="C32" s="754" t="s">
        <v>727</v>
      </c>
      <c r="D32" s="272"/>
      <c r="E32" s="272" t="s">
        <v>37</v>
      </c>
      <c r="F32" s="272"/>
      <c r="G32" s="918">
        <f>5500000</f>
        <v>5500000</v>
      </c>
      <c r="H32" s="923" t="s">
        <v>857</v>
      </c>
    </row>
    <row r="33" spans="3:8" ht="15">
      <c r="C33" s="917"/>
      <c r="D33" s="272"/>
      <c r="E33" s="272" t="s">
        <v>36</v>
      </c>
      <c r="F33" s="272"/>
      <c r="G33" s="918">
        <f>2300000</f>
        <v>2300000</v>
      </c>
      <c r="H33" s="923" t="s">
        <v>857</v>
      </c>
    </row>
    <row r="34" spans="3:8" ht="12.75">
      <c r="C34" s="754" t="s">
        <v>740</v>
      </c>
      <c r="D34" s="272"/>
      <c r="E34" s="272"/>
      <c r="F34" s="272"/>
      <c r="G34" s="918"/>
      <c r="H34" s="923"/>
    </row>
    <row r="35" spans="3:8" ht="15">
      <c r="C35" s="917"/>
      <c r="D35" s="272"/>
      <c r="E35" s="272" t="s">
        <v>37</v>
      </c>
      <c r="F35" s="272"/>
      <c r="G35" s="918">
        <f>3000000</f>
        <v>3000000</v>
      </c>
      <c r="H35" s="923" t="s">
        <v>857</v>
      </c>
    </row>
    <row r="36" spans="3:8" ht="15">
      <c r="C36" s="755"/>
      <c r="D36" s="276"/>
      <c r="E36" s="276" t="s">
        <v>879</v>
      </c>
      <c r="F36" s="276"/>
      <c r="G36" s="924">
        <f>2000000</f>
        <v>2000000</v>
      </c>
      <c r="H36" s="925" t="s">
        <v>857</v>
      </c>
    </row>
    <row r="37" spans="1:34" ht="12.75">
      <c r="A37" s="363"/>
      <c r="B37" s="364"/>
      <c r="C37" s="919" t="s">
        <v>335</v>
      </c>
      <c r="D37" s="272"/>
      <c r="E37" s="920"/>
      <c r="F37" s="920"/>
      <c r="G37" s="920"/>
      <c r="H37" s="920"/>
      <c r="I37" s="636"/>
      <c r="J37" s="636">
        <v>7624</v>
      </c>
      <c r="K37" s="636">
        <v>7581</v>
      </c>
      <c r="L37" s="636">
        <v>7699</v>
      </c>
      <c r="M37" s="636">
        <v>7780</v>
      </c>
      <c r="N37" s="636">
        <v>7310</v>
      </c>
      <c r="O37" s="636">
        <v>7402</v>
      </c>
      <c r="P37" s="636">
        <v>7465</v>
      </c>
      <c r="Q37" s="636">
        <v>7478</v>
      </c>
      <c r="R37" s="636">
        <v>7341</v>
      </c>
      <c r="S37" s="636">
        <v>7467</v>
      </c>
      <c r="T37" s="636">
        <v>7474</v>
      </c>
      <c r="U37" s="636">
        <v>7496</v>
      </c>
      <c r="V37" s="636">
        <v>7618</v>
      </c>
      <c r="W37" s="636">
        <v>7636</v>
      </c>
      <c r="X37" s="636">
        <v>7591</v>
      </c>
      <c r="Y37" s="636">
        <v>7539</v>
      </c>
      <c r="Z37" s="636">
        <v>7531</v>
      </c>
      <c r="AA37" s="636">
        <v>7532</v>
      </c>
      <c r="AB37" s="636">
        <v>7529</v>
      </c>
      <c r="AC37" s="636">
        <v>7803</v>
      </c>
      <c r="AD37" s="636">
        <v>7803</v>
      </c>
      <c r="AE37" s="636">
        <v>7846</v>
      </c>
      <c r="AF37" s="636">
        <v>7850</v>
      </c>
      <c r="AG37" s="637">
        <v>7850</v>
      </c>
      <c r="AH37" s="363">
        <v>0</v>
      </c>
    </row>
    <row r="38" spans="3:33" ht="12.75">
      <c r="C38" s="271" t="s">
        <v>202</v>
      </c>
      <c r="D38" s="638">
        <v>1</v>
      </c>
      <c r="E38" s="272"/>
      <c r="F38" s="272"/>
      <c r="G38" s="272"/>
      <c r="H38" s="272"/>
      <c r="I38" s="272"/>
      <c r="J38" s="272">
        <v>4000000</v>
      </c>
      <c r="K38" s="272">
        <v>4000000</v>
      </c>
      <c r="L38" s="272">
        <v>4000000</v>
      </c>
      <c r="M38" s="272">
        <v>4224615.384615385</v>
      </c>
      <c r="N38" s="272">
        <v>4013384.615384615</v>
      </c>
      <c r="O38" s="272">
        <v>4119000</v>
      </c>
      <c r="P38" s="272">
        <v>4119000</v>
      </c>
      <c r="Q38" s="272">
        <v>4119000</v>
      </c>
      <c r="R38" s="272">
        <v>4013384.615384615</v>
      </c>
      <c r="S38" s="272">
        <v>3907769.230769231</v>
      </c>
      <c r="T38" s="272">
        <v>3907769.230769231</v>
      </c>
      <c r="U38" s="272">
        <v>3907769.230769231</v>
      </c>
      <c r="V38" s="272">
        <v>4013384.615384615</v>
      </c>
      <c r="W38" s="272">
        <v>4013384.615384615</v>
      </c>
      <c r="X38" s="272">
        <v>4013384.615384615</v>
      </c>
      <c r="Y38" s="272">
        <v>4013384.615384615</v>
      </c>
      <c r="Z38" s="272">
        <v>3907769.230769231</v>
      </c>
      <c r="AA38" s="272">
        <v>4013384.615384615</v>
      </c>
      <c r="AB38" s="272">
        <v>4013384.615384615</v>
      </c>
      <c r="AC38" s="272">
        <v>4013384.615384615</v>
      </c>
      <c r="AD38" s="272">
        <v>4013384.615384615</v>
      </c>
      <c r="AE38" s="272">
        <v>4013384.615384615</v>
      </c>
      <c r="AF38" s="272">
        <v>4013384.615384615</v>
      </c>
      <c r="AG38" s="631">
        <v>4013384.615384615</v>
      </c>
    </row>
    <row r="39" spans="3:33" ht="12.75">
      <c r="C39" s="639" t="s">
        <v>325</v>
      </c>
      <c r="D39" s="640"/>
      <c r="E39" s="640"/>
      <c r="F39" s="641">
        <v>1</v>
      </c>
      <c r="G39" s="272"/>
      <c r="H39" s="272"/>
      <c r="I39" s="272"/>
      <c r="J39" s="365">
        <v>0</v>
      </c>
      <c r="K39" s="365">
        <v>0</v>
      </c>
      <c r="L39" s="365">
        <v>0</v>
      </c>
      <c r="M39" s="365">
        <v>0</v>
      </c>
      <c r="N39" s="365">
        <v>3126.832831448486</v>
      </c>
      <c r="O39" s="365">
        <v>553.2510557466217</v>
      </c>
      <c r="P39" s="365">
        <v>590.7885771452642</v>
      </c>
      <c r="Q39" s="365">
        <v>528.8162421901263</v>
      </c>
      <c r="R39" s="365">
        <v>445.5887278336611</v>
      </c>
      <c r="S39" s="365">
        <v>553.0110506335297</v>
      </c>
      <c r="T39" s="365">
        <v>565.4701255218308</v>
      </c>
      <c r="U39" s="365">
        <v>522.6610814645069</v>
      </c>
      <c r="V39" s="365">
        <v>583.9588928923839</v>
      </c>
      <c r="W39" s="365">
        <v>581.8473846341045</v>
      </c>
      <c r="X39" s="365">
        <v>597.9258034360689</v>
      </c>
      <c r="Y39" s="365">
        <v>589.2377615061746</v>
      </c>
      <c r="Z39" s="365">
        <v>604.2280185031087</v>
      </c>
      <c r="AA39" s="365">
        <v>619.9717854742282</v>
      </c>
      <c r="AB39" s="365">
        <v>569.3536618805177</v>
      </c>
      <c r="AC39" s="365">
        <v>813.7694422162866</v>
      </c>
      <c r="AD39" s="365">
        <v>817.9223275088995</v>
      </c>
      <c r="AE39" s="365">
        <v>853.7233482710988</v>
      </c>
      <c r="AF39" s="365">
        <v>859.1015558673184</v>
      </c>
      <c r="AG39" s="642">
        <v>813.1813007192675</v>
      </c>
    </row>
    <row r="40" spans="1:38" ht="12.75">
      <c r="A40" s="8"/>
      <c r="C40" s="639" t="s">
        <v>82</v>
      </c>
      <c r="D40" s="640"/>
      <c r="E40" s="640"/>
      <c r="F40" s="640"/>
      <c r="G40" s="643"/>
      <c r="H40" s="272"/>
      <c r="I40" s="644"/>
      <c r="J40" s="644">
        <v>106.4</v>
      </c>
      <c r="K40" s="644">
        <v>106.4</v>
      </c>
      <c r="L40" s="644">
        <v>106.4</v>
      </c>
      <c r="M40" s="644">
        <v>106.4</v>
      </c>
      <c r="N40" s="644">
        <v>101.08</v>
      </c>
      <c r="O40" s="644">
        <v>103.74</v>
      </c>
      <c r="P40" s="644">
        <v>103.74</v>
      </c>
      <c r="Q40" s="644">
        <v>103.74</v>
      </c>
      <c r="R40" s="644">
        <v>101.08</v>
      </c>
      <c r="S40" s="644">
        <v>98.42</v>
      </c>
      <c r="T40" s="644">
        <v>98.42</v>
      </c>
      <c r="U40" s="644">
        <v>98.42</v>
      </c>
      <c r="V40" s="644">
        <v>101.08</v>
      </c>
      <c r="W40" s="644">
        <v>101.08</v>
      </c>
      <c r="X40" s="644">
        <v>101.08</v>
      </c>
      <c r="Y40" s="644">
        <v>101.08</v>
      </c>
      <c r="Z40" s="644">
        <v>98.42</v>
      </c>
      <c r="AA40" s="644">
        <v>101.08</v>
      </c>
      <c r="AB40" s="644">
        <v>101.08</v>
      </c>
      <c r="AC40" s="644">
        <v>101.08</v>
      </c>
      <c r="AD40" s="644">
        <v>101.08</v>
      </c>
      <c r="AE40" s="644">
        <v>101.08</v>
      </c>
      <c r="AF40" s="644">
        <v>101.08</v>
      </c>
      <c r="AG40" s="645">
        <v>101.08</v>
      </c>
      <c r="AH40" s="366">
        <v>0</v>
      </c>
      <c r="AI40" s="366">
        <v>0</v>
      </c>
      <c r="AJ40" s="366">
        <v>0</v>
      </c>
      <c r="AK40" s="366">
        <v>0</v>
      </c>
      <c r="AL40" s="366">
        <v>0</v>
      </c>
    </row>
    <row r="41" spans="1:38" ht="12.75">
      <c r="A41" s="8"/>
      <c r="C41" s="639" t="s">
        <v>333</v>
      </c>
      <c r="D41" s="640"/>
      <c r="E41" s="640"/>
      <c r="F41" s="640"/>
      <c r="G41" s="643"/>
      <c r="H41" s="646">
        <v>1.229</v>
      </c>
      <c r="I41" s="646"/>
      <c r="J41" s="646">
        <v>1.173</v>
      </c>
      <c r="K41" s="646">
        <v>1.203</v>
      </c>
      <c r="L41" s="646">
        <v>1.227</v>
      </c>
      <c r="M41" s="646">
        <v>1.257</v>
      </c>
      <c r="N41" s="646">
        <v>1.287</v>
      </c>
      <c r="O41" s="646">
        <v>1.318</v>
      </c>
      <c r="P41" s="646">
        <v>1.35</v>
      </c>
      <c r="Q41" s="646">
        <v>1.383</v>
      </c>
      <c r="R41" s="646">
        <v>1.416</v>
      </c>
      <c r="S41" s="646">
        <v>1.45</v>
      </c>
      <c r="T41" s="646">
        <v>1.485</v>
      </c>
      <c r="U41" s="646">
        <v>1.521</v>
      </c>
      <c r="V41" s="646">
        <v>1.558</v>
      </c>
      <c r="W41" s="646">
        <v>1.60474</v>
      </c>
      <c r="X41" s="646">
        <v>1.6528822</v>
      </c>
      <c r="Y41" s="646">
        <v>1.7024686660000001</v>
      </c>
      <c r="Z41" s="646">
        <v>1.7535427259800003</v>
      </c>
      <c r="AA41" s="646">
        <v>1.8061490077594002</v>
      </c>
      <c r="AB41" s="646">
        <v>1.8603334779921823</v>
      </c>
      <c r="AC41" s="646">
        <v>1.9161434823319479</v>
      </c>
      <c r="AD41" s="646">
        <v>1.9736277868019063</v>
      </c>
      <c r="AE41" s="646">
        <v>2.0328366204059636</v>
      </c>
      <c r="AF41" s="646">
        <v>2.0938217190181425</v>
      </c>
      <c r="AG41" s="647">
        <v>2.1566363705886866</v>
      </c>
      <c r="AI41" s="366"/>
      <c r="AJ41" s="366"/>
      <c r="AK41" s="366"/>
      <c r="AL41" s="366"/>
    </row>
    <row r="42" spans="1:38" ht="12.75">
      <c r="A42" s="8"/>
      <c r="C42" s="629" t="s">
        <v>334</v>
      </c>
      <c r="D42" s="130"/>
      <c r="E42" s="272"/>
      <c r="F42" s="272"/>
      <c r="G42" s="423">
        <v>0.0193</v>
      </c>
      <c r="H42" s="272"/>
      <c r="I42" s="644"/>
      <c r="J42" s="644"/>
      <c r="K42" s="644"/>
      <c r="L42" s="644"/>
      <c r="M42" s="644"/>
      <c r="N42" s="644"/>
      <c r="O42" s="644"/>
      <c r="P42" s="644"/>
      <c r="Q42" s="644"/>
      <c r="R42" s="644"/>
      <c r="S42" s="644"/>
      <c r="T42" s="644"/>
      <c r="U42" s="644"/>
      <c r="V42" s="644"/>
      <c r="W42" s="644"/>
      <c r="X42" s="644"/>
      <c r="Y42" s="644"/>
      <c r="Z42" s="644"/>
      <c r="AA42" s="644"/>
      <c r="AB42" s="644"/>
      <c r="AC42" s="644"/>
      <c r="AD42" s="644"/>
      <c r="AE42" s="644"/>
      <c r="AF42" s="644"/>
      <c r="AG42" s="645"/>
      <c r="AH42" s="366"/>
      <c r="AI42" s="366"/>
      <c r="AJ42" s="366"/>
      <c r="AK42" s="366"/>
      <c r="AL42" s="366"/>
    </row>
    <row r="43" spans="1:38" ht="12.75">
      <c r="A43" s="8"/>
      <c r="C43" s="271" t="s">
        <v>336</v>
      </c>
      <c r="D43" s="272"/>
      <c r="E43" s="272"/>
      <c r="F43" s="272"/>
      <c r="G43" s="648">
        <v>9350</v>
      </c>
      <c r="H43" s="272"/>
      <c r="I43" s="644"/>
      <c r="J43" s="644">
        <f>G43</f>
        <v>9350</v>
      </c>
      <c r="K43" s="644">
        <f aca="true" t="shared" si="6" ref="K43:AG43">J43</f>
        <v>9350</v>
      </c>
      <c r="L43" s="644">
        <f t="shared" si="6"/>
        <v>9350</v>
      </c>
      <c r="M43" s="644">
        <f t="shared" si="6"/>
        <v>9350</v>
      </c>
      <c r="N43" s="644">
        <f t="shared" si="6"/>
        <v>9350</v>
      </c>
      <c r="O43" s="644">
        <f t="shared" si="6"/>
        <v>9350</v>
      </c>
      <c r="P43" s="644">
        <f t="shared" si="6"/>
        <v>9350</v>
      </c>
      <c r="Q43" s="644">
        <f t="shared" si="6"/>
        <v>9350</v>
      </c>
      <c r="R43" s="644">
        <f t="shared" si="6"/>
        <v>9350</v>
      </c>
      <c r="S43" s="644">
        <f t="shared" si="6"/>
        <v>9350</v>
      </c>
      <c r="T43" s="644">
        <f t="shared" si="6"/>
        <v>9350</v>
      </c>
      <c r="U43" s="644">
        <f t="shared" si="6"/>
        <v>9350</v>
      </c>
      <c r="V43" s="644">
        <f t="shared" si="6"/>
        <v>9350</v>
      </c>
      <c r="W43" s="644">
        <f t="shared" si="6"/>
        <v>9350</v>
      </c>
      <c r="X43" s="644">
        <f t="shared" si="6"/>
        <v>9350</v>
      </c>
      <c r="Y43" s="644">
        <f t="shared" si="6"/>
        <v>9350</v>
      </c>
      <c r="Z43" s="644">
        <f t="shared" si="6"/>
        <v>9350</v>
      </c>
      <c r="AA43" s="644">
        <f t="shared" si="6"/>
        <v>9350</v>
      </c>
      <c r="AB43" s="644">
        <f t="shared" si="6"/>
        <v>9350</v>
      </c>
      <c r="AC43" s="644">
        <f t="shared" si="6"/>
        <v>9350</v>
      </c>
      <c r="AD43" s="644">
        <f t="shared" si="6"/>
        <v>9350</v>
      </c>
      <c r="AE43" s="644">
        <f t="shared" si="6"/>
        <v>9350</v>
      </c>
      <c r="AF43" s="644">
        <f t="shared" si="6"/>
        <v>9350</v>
      </c>
      <c r="AG43" s="645">
        <f t="shared" si="6"/>
        <v>9350</v>
      </c>
      <c r="AH43" s="366"/>
      <c r="AI43" s="366"/>
      <c r="AJ43" s="366"/>
      <c r="AK43" s="366"/>
      <c r="AL43" s="366"/>
    </row>
    <row r="44" spans="1:38" ht="12.75">
      <c r="A44" s="8"/>
      <c r="C44" s="644" t="s">
        <v>805</v>
      </c>
      <c r="D44" s="272"/>
      <c r="E44" s="272"/>
      <c r="F44" s="272"/>
      <c r="G44" s="648"/>
      <c r="H44" s="839"/>
      <c r="I44" s="852">
        <v>1.021870690308439</v>
      </c>
      <c r="J44" s="852">
        <v>1.0229091143520261</v>
      </c>
      <c r="K44" s="852">
        <v>1.0244259375758706</v>
      </c>
      <c r="L44" s="852">
        <v>1.0207562032787896</v>
      </c>
      <c r="M44" s="852">
        <v>1.0250050650292055</v>
      </c>
      <c r="N44" s="852">
        <v>1.0262500412491102</v>
      </c>
      <c r="O44" s="852">
        <v>1.025885401167327</v>
      </c>
      <c r="P44" s="852">
        <v>1.025381994249399</v>
      </c>
      <c r="Q44" s="852">
        <v>1.0249304862397464</v>
      </c>
      <c r="R44" s="852">
        <v>1.0248951488267355</v>
      </c>
      <c r="S44" s="852">
        <v>1.0254148249470387</v>
      </c>
      <c r="T44" s="852">
        <v>1.0261683040511211</v>
      </c>
      <c r="U44" s="852">
        <v>1.026432250604251</v>
      </c>
      <c r="V44" s="852">
        <v>1.0261286131704523</v>
      </c>
      <c r="W44" s="852">
        <v>1.0272736555691806</v>
      </c>
      <c r="X44" s="852">
        <v>1.0276955465949267</v>
      </c>
      <c r="Y44" s="852">
        <v>1.0291460870662943</v>
      </c>
      <c r="Z44" s="852">
        <v>1.030938319140317</v>
      </c>
      <c r="AA44" s="852">
        <v>1.0322333746397734</v>
      </c>
      <c r="AB44" s="852">
        <v>1.0340890706011712</v>
      </c>
      <c r="AC44" s="852">
        <v>1.0359762812821764</v>
      </c>
      <c r="AD44" s="852">
        <v>1.0388337099033025</v>
      </c>
      <c r="AE44" s="852">
        <v>1.0398421471107904</v>
      </c>
      <c r="AF44" s="852">
        <v>1.0417132328815775</v>
      </c>
      <c r="AG44" s="853">
        <v>1.0434174828588023</v>
      </c>
      <c r="AJ44" s="366"/>
      <c r="AK44" s="366"/>
      <c r="AL44" s="366"/>
    </row>
    <row r="45" spans="1:38" ht="12.75">
      <c r="A45" s="8"/>
      <c r="C45" s="649" t="s">
        <v>371</v>
      </c>
      <c r="D45" s="272"/>
      <c r="E45" s="272"/>
      <c r="F45" s="272"/>
      <c r="G45" s="648"/>
      <c r="H45" s="272"/>
      <c r="I45" s="852"/>
      <c r="J45" s="852"/>
      <c r="K45" s="852"/>
      <c r="L45" s="852"/>
      <c r="M45" s="852"/>
      <c r="N45" s="852"/>
      <c r="O45" s="852"/>
      <c r="P45" s="852"/>
      <c r="Q45" s="852"/>
      <c r="R45" s="852"/>
      <c r="S45" s="852"/>
      <c r="T45" s="852"/>
      <c r="U45" s="852"/>
      <c r="V45" s="852"/>
      <c r="W45" s="852"/>
      <c r="X45" s="852"/>
      <c r="Y45" s="852"/>
      <c r="Z45" s="852"/>
      <c r="AA45" s="852"/>
      <c r="AB45" s="852"/>
      <c r="AC45" s="852"/>
      <c r="AD45" s="852"/>
      <c r="AE45" s="852"/>
      <c r="AF45" s="852"/>
      <c r="AG45" s="853"/>
      <c r="AH45" s="366"/>
      <c r="AI45" s="366"/>
      <c r="AJ45" s="366"/>
      <c r="AK45" s="366"/>
      <c r="AL45" s="366"/>
    </row>
    <row r="46" spans="1:38" ht="12.75">
      <c r="A46" s="8"/>
      <c r="C46" s="271" t="s">
        <v>345</v>
      </c>
      <c r="D46" s="272"/>
      <c r="E46" s="272"/>
      <c r="F46" s="272"/>
      <c r="G46" s="648">
        <v>200</v>
      </c>
      <c r="H46" s="272"/>
      <c r="I46" s="644"/>
      <c r="J46" s="644">
        <f>G46</f>
        <v>200</v>
      </c>
      <c r="K46" s="644">
        <f>$G$46*J9</f>
        <v>206</v>
      </c>
      <c r="L46" s="644">
        <f>$G$46*K9</f>
        <v>212.17999999999998</v>
      </c>
      <c r="M46" s="644">
        <f>$G$46*L9</f>
        <v>218.5454</v>
      </c>
      <c r="N46" s="644">
        <f>$G$46*M9</f>
        <v>225.10176199999998</v>
      </c>
      <c r="O46" s="644">
        <f>$G$46*N9</f>
        <v>231.85481485999998</v>
      </c>
      <c r="P46" s="644">
        <f>O46</f>
        <v>231.85481485999998</v>
      </c>
      <c r="Q46" s="644">
        <f aca="true" t="shared" si="7" ref="Q46:AG46">P46</f>
        <v>231.85481485999998</v>
      </c>
      <c r="R46" s="644">
        <f t="shared" si="7"/>
        <v>231.85481485999998</v>
      </c>
      <c r="S46" s="644">
        <f t="shared" si="7"/>
        <v>231.85481485999998</v>
      </c>
      <c r="T46" s="644">
        <f t="shared" si="7"/>
        <v>231.85481485999998</v>
      </c>
      <c r="U46" s="644">
        <f t="shared" si="7"/>
        <v>231.85481485999998</v>
      </c>
      <c r="V46" s="644">
        <f t="shared" si="7"/>
        <v>231.85481485999998</v>
      </c>
      <c r="W46" s="644">
        <f t="shared" si="7"/>
        <v>231.85481485999998</v>
      </c>
      <c r="X46" s="644">
        <f t="shared" si="7"/>
        <v>231.85481485999998</v>
      </c>
      <c r="Y46" s="644">
        <f t="shared" si="7"/>
        <v>231.85481485999998</v>
      </c>
      <c r="Z46" s="644">
        <f t="shared" si="7"/>
        <v>231.85481485999998</v>
      </c>
      <c r="AA46" s="644">
        <f t="shared" si="7"/>
        <v>231.85481485999998</v>
      </c>
      <c r="AB46" s="644">
        <f t="shared" si="7"/>
        <v>231.85481485999998</v>
      </c>
      <c r="AC46" s="644">
        <f t="shared" si="7"/>
        <v>231.85481485999998</v>
      </c>
      <c r="AD46" s="644">
        <f t="shared" si="7"/>
        <v>231.85481485999998</v>
      </c>
      <c r="AE46" s="644">
        <f t="shared" si="7"/>
        <v>231.85481485999998</v>
      </c>
      <c r="AF46" s="644">
        <f t="shared" si="7"/>
        <v>231.85481485999998</v>
      </c>
      <c r="AG46" s="645">
        <f t="shared" si="7"/>
        <v>231.85481485999998</v>
      </c>
      <c r="AH46" s="366"/>
      <c r="AI46" s="366"/>
      <c r="AJ46" s="366"/>
      <c r="AK46" s="366"/>
      <c r="AL46" s="366"/>
    </row>
    <row r="47" spans="1:38" ht="12.75">
      <c r="A47" s="8"/>
      <c r="C47" s="629" t="s">
        <v>351</v>
      </c>
      <c r="D47" s="272"/>
      <c r="E47" s="272"/>
      <c r="F47" s="272"/>
      <c r="G47" s="877">
        <v>39078</v>
      </c>
      <c r="H47" s="272"/>
      <c r="I47" s="644"/>
      <c r="J47" s="644">
        <f>G47</f>
        <v>39078</v>
      </c>
      <c r="K47" s="644">
        <f aca="true" t="shared" si="8" ref="K47:T47">J47</f>
        <v>39078</v>
      </c>
      <c r="L47" s="644">
        <f t="shared" si="8"/>
        <v>39078</v>
      </c>
      <c r="M47" s="644">
        <f t="shared" si="8"/>
        <v>39078</v>
      </c>
      <c r="N47" s="644">
        <f t="shared" si="8"/>
        <v>39078</v>
      </c>
      <c r="O47" s="644">
        <f t="shared" si="8"/>
        <v>39078</v>
      </c>
      <c r="P47" s="644">
        <f t="shared" si="8"/>
        <v>39078</v>
      </c>
      <c r="Q47" s="644">
        <f t="shared" si="8"/>
        <v>39078</v>
      </c>
      <c r="R47" s="644">
        <f t="shared" si="8"/>
        <v>39078</v>
      </c>
      <c r="S47" s="644">
        <f t="shared" si="8"/>
        <v>39078</v>
      </c>
      <c r="T47" s="644">
        <f t="shared" si="8"/>
        <v>39078</v>
      </c>
      <c r="U47" s="644">
        <v>39338</v>
      </c>
      <c r="V47" s="644">
        <f>U47</f>
        <v>39338</v>
      </c>
      <c r="W47" s="644">
        <f aca="true" t="shared" si="9" ref="W47:AG47">V47</f>
        <v>39338</v>
      </c>
      <c r="X47" s="644">
        <f t="shared" si="9"/>
        <v>39338</v>
      </c>
      <c r="Y47" s="644">
        <f t="shared" si="9"/>
        <v>39338</v>
      </c>
      <c r="Z47" s="644">
        <f t="shared" si="9"/>
        <v>39338</v>
      </c>
      <c r="AA47" s="644">
        <f t="shared" si="9"/>
        <v>39338</v>
      </c>
      <c r="AB47" s="644">
        <f t="shared" si="9"/>
        <v>39338</v>
      </c>
      <c r="AC47" s="644">
        <f t="shared" si="9"/>
        <v>39338</v>
      </c>
      <c r="AD47" s="644">
        <f t="shared" si="9"/>
        <v>39338</v>
      </c>
      <c r="AE47" s="644">
        <f t="shared" si="9"/>
        <v>39338</v>
      </c>
      <c r="AF47" s="644">
        <f t="shared" si="9"/>
        <v>39338</v>
      </c>
      <c r="AG47" s="645">
        <f t="shared" si="9"/>
        <v>39338</v>
      </c>
      <c r="AH47" s="366"/>
      <c r="AI47" s="366"/>
      <c r="AJ47" s="366"/>
      <c r="AK47" s="366"/>
      <c r="AL47" s="366"/>
    </row>
    <row r="48" spans="1:38" ht="12.75">
      <c r="A48" s="8"/>
      <c r="C48" s="633" t="s">
        <v>352</v>
      </c>
      <c r="D48" s="276"/>
      <c r="E48" s="276"/>
      <c r="F48" s="276"/>
      <c r="G48" s="878">
        <v>88681</v>
      </c>
      <c r="H48" s="276"/>
      <c r="I48" s="651"/>
      <c r="J48" s="651">
        <f>$G$48*'Keep RevReq'!K14/0.7</f>
        <v>88000.59302220294</v>
      </c>
      <c r="K48" s="651">
        <f>$G$48*'Keep RevReq'!L14/0.7</f>
        <v>88094.32082186863</v>
      </c>
      <c r="L48" s="651">
        <f>(K48+M48)/2</f>
        <v>48470.76988373939</v>
      </c>
      <c r="M48" s="651">
        <f>8868*'Keep RevReq'!N14/0.7</f>
        <v>8847.218945610153</v>
      </c>
      <c r="N48" s="651">
        <f>8868*'Keep RevReq'!O14/0.7</f>
        <v>8793.08884172828</v>
      </c>
      <c r="O48" s="651">
        <f>8868*'Keep RevReq'!P14/0.7</f>
        <v>8736.700858916533</v>
      </c>
      <c r="P48" s="651">
        <f>8868*'Keep RevReq'!Q14/0.7</f>
        <v>9038.199762361915</v>
      </c>
      <c r="Q48" s="651">
        <f>8868*'Keep RevReq'!R14/0.7</f>
        <v>9003.560884303957</v>
      </c>
      <c r="R48" s="651">
        <f>8868*'Keep RevReq'!S14/0.7</f>
        <v>9126.014783096367</v>
      </c>
      <c r="S48" s="651">
        <f>8868*'Keep RevReq'!T14/0.7</f>
        <v>9148.574685024989</v>
      </c>
      <c r="T48" s="651">
        <f>8868*'Keep RevReq'!U14/0.7</f>
        <v>9263.380875300276</v>
      </c>
      <c r="U48" s="651">
        <f>8868*'Keep RevReq'!V14/0.7</f>
        <v>9387.651798706274</v>
      </c>
      <c r="V48" s="651">
        <f>8868*'Keep RevReq'!W14/0.7</f>
        <v>9552.692644171866</v>
      </c>
      <c r="W48" s="651">
        <f>8868*'Keep RevReq'!X14/0.7</f>
        <v>9579.432516073166</v>
      </c>
      <c r="X48" s="651">
        <f>8868*'Keep RevReq'!Y14/0.7</f>
        <v>9580.1165219969</v>
      </c>
      <c r="Y48" s="651">
        <f>8868*'Keep RevReq'!Z14/0.7</f>
        <v>9581.066403977364</v>
      </c>
      <c r="Z48" s="651">
        <f>8868*'Keep RevReq'!AA14/0.7</f>
        <v>9580.363386506162</v>
      </c>
      <c r="AA48" s="651">
        <f>8868*'Keep RevReq'!AB14/0.7</f>
        <v>9610.808163212592</v>
      </c>
      <c r="AB48" s="651">
        <f>8868*'Keep RevReq'!AC14/0.7</f>
        <v>9622.17947763902</v>
      </c>
      <c r="AC48" s="651">
        <f>8868*'Keep RevReq'!AD14/0.7</f>
        <v>9622.17947763902</v>
      </c>
      <c r="AD48" s="651">
        <f>8868*'Keep RevReq'!AE14/0.7</f>
        <v>9622.17947763902</v>
      </c>
      <c r="AE48" s="651">
        <f>8868*'Keep RevReq'!AF14/0.7</f>
        <v>9622.17947763902</v>
      </c>
      <c r="AF48" s="651">
        <f>8868*'Keep RevReq'!AG14/0.7</f>
        <v>9622.17947763902</v>
      </c>
      <c r="AG48" s="651">
        <f>8868*'Keep RevReq'!AH14/0.7</f>
        <v>9622.17947763902</v>
      </c>
      <c r="AH48" s="366"/>
      <c r="AI48" s="366"/>
      <c r="AJ48" s="366"/>
      <c r="AK48" s="366"/>
      <c r="AL48" s="366"/>
    </row>
    <row r="49" spans="1:38" ht="12.75">
      <c r="A49" s="8"/>
      <c r="C49" s="130"/>
      <c r="D49" s="272"/>
      <c r="E49" s="272"/>
      <c r="F49" s="272"/>
      <c r="G49" s="650"/>
      <c r="H49" s="272"/>
      <c r="I49" s="644"/>
      <c r="J49" s="644"/>
      <c r="K49" s="644"/>
      <c r="L49" s="644"/>
      <c r="M49" s="644"/>
      <c r="N49" s="644"/>
      <c r="O49" s="644"/>
      <c r="P49" s="644"/>
      <c r="Q49" s="644"/>
      <c r="R49" s="644"/>
      <c r="S49" s="644"/>
      <c r="T49" s="644"/>
      <c r="U49" s="644"/>
      <c r="V49" s="644"/>
      <c r="W49" s="644"/>
      <c r="X49" s="644"/>
      <c r="Y49" s="644"/>
      <c r="Z49" s="644"/>
      <c r="AA49" s="644"/>
      <c r="AB49" s="644"/>
      <c r="AC49" s="644"/>
      <c r="AD49" s="644"/>
      <c r="AE49" s="644"/>
      <c r="AF49" s="644"/>
      <c r="AG49" s="644"/>
      <c r="AH49" s="366"/>
      <c r="AI49" s="366"/>
      <c r="AJ49" s="366"/>
      <c r="AK49" s="366"/>
      <c r="AL49" s="366"/>
    </row>
    <row r="50" spans="1:38" ht="12.75">
      <c r="A50" s="8"/>
      <c r="C50" s="760" t="s">
        <v>756</v>
      </c>
      <c r="D50" s="269"/>
      <c r="E50" s="269"/>
      <c r="F50" s="269"/>
      <c r="G50" s="761"/>
      <c r="H50" s="272"/>
      <c r="I50" s="644"/>
      <c r="J50" s="644"/>
      <c r="K50" s="644"/>
      <c r="L50" s="644"/>
      <c r="M50" s="644"/>
      <c r="N50" s="644"/>
      <c r="O50" s="644"/>
      <c r="P50" s="644"/>
      <c r="Q50" s="644"/>
      <c r="R50" s="644"/>
      <c r="S50" s="644"/>
      <c r="T50" s="644"/>
      <c r="U50" s="644"/>
      <c r="V50" s="644"/>
      <c r="W50" s="644"/>
      <c r="X50" s="644"/>
      <c r="Y50" s="644"/>
      <c r="Z50" s="644"/>
      <c r="AA50" s="644"/>
      <c r="AB50" s="644"/>
      <c r="AC50" s="644"/>
      <c r="AD50" s="644"/>
      <c r="AE50" s="644"/>
      <c r="AF50" s="644"/>
      <c r="AG50" s="644"/>
      <c r="AH50" s="366"/>
      <c r="AI50" s="366"/>
      <c r="AJ50" s="366"/>
      <c r="AK50" s="366"/>
      <c r="AL50" s="366"/>
    </row>
    <row r="51" spans="1:38" ht="12.75">
      <c r="A51" s="8"/>
      <c r="C51" s="271" t="s">
        <v>366</v>
      </c>
      <c r="D51" s="272"/>
      <c r="E51" s="272"/>
      <c r="F51" s="272"/>
      <c r="G51" s="762"/>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row>
    <row r="52" spans="1:38" ht="12.75">
      <c r="A52" s="8"/>
      <c r="C52" s="763" t="s">
        <v>365</v>
      </c>
      <c r="D52" s="272"/>
      <c r="E52" s="272"/>
      <c r="F52" s="272"/>
      <c r="G52" s="764">
        <v>-1105.6791480600516</v>
      </c>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row>
    <row r="53" spans="1:38" ht="12.75">
      <c r="A53" s="8"/>
      <c r="C53" s="763" t="s">
        <v>367</v>
      </c>
      <c r="D53" s="272"/>
      <c r="E53" s="272"/>
      <c r="F53" s="272"/>
      <c r="G53" s="764">
        <v>2057.5958220979737</v>
      </c>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row>
    <row r="54" spans="1:38" ht="12.75">
      <c r="A54" s="8"/>
      <c r="C54" s="271" t="s">
        <v>368</v>
      </c>
      <c r="D54" s="272"/>
      <c r="E54" s="272"/>
      <c r="F54" s="272"/>
      <c r="G54" s="764">
        <v>582.5242718446602</v>
      </c>
      <c r="I54" s="366"/>
      <c r="J54" s="366"/>
      <c r="K54" s="366"/>
      <c r="L54" s="366"/>
      <c r="M54" s="366"/>
      <c r="N54" s="366"/>
      <c r="O54" s="366"/>
      <c r="P54" s="366"/>
      <c r="Q54" s="366"/>
      <c r="R54" s="366"/>
      <c r="S54" s="366"/>
      <c r="T54" s="366"/>
      <c r="U54" s="366"/>
      <c r="V54" s="366"/>
      <c r="W54" s="366"/>
      <c r="X54" s="366"/>
      <c r="Y54" s="366"/>
      <c r="Z54" s="366"/>
      <c r="AA54" s="366"/>
      <c r="AB54" s="366"/>
      <c r="AC54" s="366"/>
      <c r="AD54" s="366"/>
      <c r="AE54" s="366"/>
      <c r="AF54" s="366"/>
      <c r="AG54" s="366"/>
      <c r="AH54" s="366"/>
      <c r="AI54" s="366"/>
      <c r="AJ54" s="366"/>
      <c r="AK54" s="366"/>
      <c r="AL54" s="366"/>
    </row>
    <row r="55" spans="1:38" ht="12.75">
      <c r="A55" s="8"/>
      <c r="C55" s="275" t="s">
        <v>369</v>
      </c>
      <c r="D55" s="276"/>
      <c r="E55" s="276"/>
      <c r="F55" s="276"/>
      <c r="G55" s="765">
        <v>1787.006004854369</v>
      </c>
      <c r="I55" s="366"/>
      <c r="J55" s="366"/>
      <c r="K55" s="366"/>
      <c r="L55" s="366"/>
      <c r="M55" s="366"/>
      <c r="N55" s="366"/>
      <c r="O55" s="366"/>
      <c r="P55" s="366"/>
      <c r="Q55" s="366"/>
      <c r="R55" s="366"/>
      <c r="S55" s="366"/>
      <c r="T55" s="366"/>
      <c r="U55" s="366"/>
      <c r="V55" s="366"/>
      <c r="W55" s="366"/>
      <c r="X55" s="366"/>
      <c r="Y55" s="366"/>
      <c r="Z55" s="366"/>
      <c r="AA55" s="366"/>
      <c r="AB55" s="366"/>
      <c r="AC55" s="366"/>
      <c r="AD55" s="366"/>
      <c r="AE55" s="366"/>
      <c r="AF55" s="366"/>
      <c r="AG55" s="366"/>
      <c r="AH55" s="366"/>
      <c r="AI55" s="366"/>
      <c r="AJ55" s="366"/>
      <c r="AK55" s="366"/>
      <c r="AL55" s="366"/>
    </row>
    <row r="56" spans="1:38" ht="12.75">
      <c r="A56" s="8"/>
      <c r="G56" s="424"/>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row>
    <row r="57" spans="1:38" ht="12.75">
      <c r="A57" s="8"/>
      <c r="C57" s="11" t="s">
        <v>827</v>
      </c>
      <c r="G57" s="424"/>
      <c r="I57" s="366"/>
      <c r="J57" s="714">
        <v>1</v>
      </c>
      <c r="K57" s="714">
        <v>1</v>
      </c>
      <c r="L57" s="714">
        <v>1</v>
      </c>
      <c r="M57" s="714">
        <v>1</v>
      </c>
      <c r="N57" s="714">
        <v>1</v>
      </c>
      <c r="O57" s="714">
        <v>1</v>
      </c>
      <c r="P57" s="714">
        <v>1</v>
      </c>
      <c r="Q57" s="714">
        <v>1</v>
      </c>
      <c r="R57" s="714">
        <v>1</v>
      </c>
      <c r="S57" s="714">
        <v>1</v>
      </c>
      <c r="T57" s="714">
        <v>1</v>
      </c>
      <c r="U57" s="714">
        <v>1</v>
      </c>
      <c r="V57" s="714">
        <v>1</v>
      </c>
      <c r="W57" s="714">
        <v>1</v>
      </c>
      <c r="X57" s="714">
        <v>1</v>
      </c>
      <c r="Y57" s="714">
        <v>1</v>
      </c>
      <c r="Z57" s="714">
        <v>1</v>
      </c>
      <c r="AA57" s="714">
        <v>1</v>
      </c>
      <c r="AB57" s="714">
        <v>1</v>
      </c>
      <c r="AC57" s="714">
        <v>1</v>
      </c>
      <c r="AD57" s="714">
        <v>0.75</v>
      </c>
      <c r="AE57" s="714">
        <v>0.5</v>
      </c>
      <c r="AF57" s="714">
        <v>0.25</v>
      </c>
      <c r="AG57" s="714">
        <v>0.1</v>
      </c>
      <c r="AH57" s="366"/>
      <c r="AI57" s="366"/>
      <c r="AJ57" s="366"/>
      <c r="AK57" s="366"/>
      <c r="AL57" s="366"/>
    </row>
    <row r="58" spans="1:38" ht="12.75">
      <c r="A58" s="8"/>
      <c r="C58" s="11" t="s">
        <v>370</v>
      </c>
      <c r="G58" s="875">
        <f>1669530/1000</f>
        <v>1669.53</v>
      </c>
      <c r="I58" s="366"/>
      <c r="J58" s="366"/>
      <c r="K58" s="366"/>
      <c r="L58" s="366"/>
      <c r="M58" s="366"/>
      <c r="N58" s="366"/>
      <c r="O58" s="366"/>
      <c r="P58" s="366"/>
      <c r="Q58" s="366"/>
      <c r="R58" s="366"/>
      <c r="S58" s="366"/>
      <c r="T58" s="366"/>
      <c r="U58" s="366"/>
      <c r="V58" s="366"/>
      <c r="W58" s="366"/>
      <c r="X58" s="366"/>
      <c r="Y58" s="366"/>
      <c r="Z58" s="366"/>
      <c r="AA58" s="366"/>
      <c r="AB58" s="366"/>
      <c r="AC58" s="366"/>
      <c r="AD58" s="366"/>
      <c r="AE58" s="366"/>
      <c r="AF58" s="366"/>
      <c r="AG58" s="366"/>
      <c r="AH58" s="366"/>
      <c r="AI58" s="366"/>
      <c r="AJ58" s="366"/>
      <c r="AK58" s="366"/>
      <c r="AL58" s="366"/>
    </row>
    <row r="59" spans="1:38" ht="12.75">
      <c r="A59" s="8"/>
      <c r="C59" s="367" t="s">
        <v>372</v>
      </c>
      <c r="D59" s="368"/>
      <c r="G59" s="425">
        <v>0.0145</v>
      </c>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6"/>
      <c r="AH59" s="366"/>
      <c r="AI59" s="366"/>
      <c r="AJ59" s="366"/>
      <c r="AK59" s="366"/>
      <c r="AL59" s="366"/>
    </row>
    <row r="60" spans="1:38" ht="12.75">
      <c r="A60" s="8"/>
      <c r="C60" s="426" t="s">
        <v>442</v>
      </c>
      <c r="D60" s="427"/>
      <c r="E60" s="428"/>
      <c r="G60" s="429">
        <f>2807+16+1545.72+696+432.664</f>
        <v>5497.384</v>
      </c>
      <c r="I60" s="366"/>
      <c r="J60" s="899"/>
      <c r="K60" s="899"/>
      <c r="L60" s="899"/>
      <c r="M60" s="899"/>
      <c r="N60" s="899"/>
      <c r="O60" s="899"/>
      <c r="P60" s="899"/>
      <c r="Q60" s="899"/>
      <c r="R60" s="899"/>
      <c r="S60" s="899"/>
      <c r="T60" s="899"/>
      <c r="U60" s="899"/>
      <c r="V60" s="899"/>
      <c r="W60" s="899"/>
      <c r="X60" s="899"/>
      <c r="Y60" s="899"/>
      <c r="Z60" s="899"/>
      <c r="AA60" s="899"/>
      <c r="AB60" s="899"/>
      <c r="AC60" s="366"/>
      <c r="AD60" s="366"/>
      <c r="AE60" s="366"/>
      <c r="AF60" s="366"/>
      <c r="AG60" s="366"/>
      <c r="AH60" s="366"/>
      <c r="AI60" s="366"/>
      <c r="AJ60" s="366"/>
      <c r="AK60" s="366"/>
      <c r="AL60" s="366"/>
    </row>
    <row r="61" spans="1:38" ht="12.75">
      <c r="A61" s="8"/>
      <c r="C61" s="426" t="s">
        <v>861</v>
      </c>
      <c r="D61" s="427"/>
      <c r="E61" s="428"/>
      <c r="F61" s="435"/>
      <c r="G61" s="133"/>
      <c r="I61" s="366"/>
      <c r="J61" s="899">
        <v>0.8060796645702305</v>
      </c>
      <c r="K61" s="899">
        <v>0.8178721174004192</v>
      </c>
      <c r="L61" s="899">
        <v>0.8303197064989518</v>
      </c>
      <c r="M61" s="899">
        <v>0.7950733752620546</v>
      </c>
      <c r="N61" s="899">
        <v>0.8466981132075472</v>
      </c>
      <c r="O61" s="899">
        <v>0.8073899371069182</v>
      </c>
      <c r="P61" s="899">
        <v>0.8698899371069182</v>
      </c>
      <c r="Q61" s="899">
        <v>0.8625524109014676</v>
      </c>
      <c r="R61" s="899">
        <v>0.951388888888889</v>
      </c>
      <c r="S61" s="899">
        <v>0.9057914046121593</v>
      </c>
      <c r="T61" s="899">
        <v>0.905922431865828</v>
      </c>
      <c r="U61" s="899">
        <v>0.9067085953878407</v>
      </c>
      <c r="V61" s="899">
        <v>0.9185010482180292</v>
      </c>
      <c r="W61" s="899">
        <v>0.9178459119496856</v>
      </c>
      <c r="X61" s="899">
        <v>0.9178459119496856</v>
      </c>
      <c r="Y61" s="899">
        <v>0.8798480083857443</v>
      </c>
      <c r="Z61" s="899">
        <v>0.9139150943396226</v>
      </c>
      <c r="AA61" s="899">
        <v>0.9191561844863733</v>
      </c>
      <c r="AB61" s="899">
        <v>0.9185010482180292</v>
      </c>
      <c r="AC61" s="899">
        <f>AB61</f>
        <v>0.9185010482180292</v>
      </c>
      <c r="AD61" s="899">
        <f>AC61</f>
        <v>0.9185010482180292</v>
      </c>
      <c r="AE61" s="899">
        <f>AD61</f>
        <v>0.9185010482180292</v>
      </c>
      <c r="AF61" s="899">
        <f>AE61</f>
        <v>0.9185010482180292</v>
      </c>
      <c r="AG61" s="899">
        <f>AF61</f>
        <v>0.9185010482180292</v>
      </c>
      <c r="AH61" s="366"/>
      <c r="AI61" s="366"/>
      <c r="AJ61" s="366"/>
      <c r="AK61" s="366"/>
      <c r="AL61" s="366"/>
    </row>
    <row r="62" spans="1:38" ht="12.75">
      <c r="A62" s="8"/>
      <c r="C62" s="679" t="s">
        <v>684</v>
      </c>
      <c r="D62" s="678"/>
      <c r="F62" s="435"/>
      <c r="G62" s="876">
        <v>0.06</v>
      </c>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row>
    <row r="63" spans="1:38" ht="12.75">
      <c r="A63" s="8"/>
      <c r="C63" s="434"/>
      <c r="D63" s="427"/>
      <c r="E63" s="428"/>
      <c r="F63" s="435"/>
      <c r="G63" s="133"/>
      <c r="H63" s="133"/>
      <c r="I63" s="133"/>
      <c r="J63" s="133"/>
      <c r="K63" s="133"/>
      <c r="L63" s="133"/>
      <c r="M63" s="133"/>
      <c r="N63" s="133"/>
      <c r="O63" s="133"/>
      <c r="P63" s="133"/>
      <c r="Q63" s="366"/>
      <c r="R63" s="366"/>
      <c r="S63" s="366"/>
      <c r="T63" s="366"/>
      <c r="U63" s="366"/>
      <c r="V63" s="366"/>
      <c r="W63" s="366"/>
      <c r="X63" s="366"/>
      <c r="Y63" s="366"/>
      <c r="Z63" s="366"/>
      <c r="AA63" s="366"/>
      <c r="AB63" s="366"/>
      <c r="AC63" s="366"/>
      <c r="AD63" s="366"/>
      <c r="AE63" s="366"/>
      <c r="AF63" s="366"/>
      <c r="AG63" s="366"/>
      <c r="AH63" s="366"/>
      <c r="AI63" s="366"/>
      <c r="AJ63" s="366"/>
      <c r="AK63" s="366"/>
      <c r="AL63" s="366"/>
    </row>
    <row r="64" spans="3:16" ht="12.75">
      <c r="C64" s="268" t="s">
        <v>305</v>
      </c>
      <c r="D64" s="269"/>
      <c r="E64" s="269"/>
      <c r="F64" s="270"/>
      <c r="G64" s="133"/>
      <c r="H64" s="133"/>
      <c r="I64" s="133"/>
      <c r="J64" s="133"/>
      <c r="K64" s="133"/>
      <c r="L64" s="133"/>
      <c r="M64" s="133"/>
      <c r="N64" s="133"/>
      <c r="O64" s="133"/>
      <c r="P64" s="133"/>
    </row>
    <row r="65" spans="3:17" ht="12.75">
      <c r="C65" s="271"/>
      <c r="D65" s="272" t="s">
        <v>306</v>
      </c>
      <c r="E65" s="272"/>
      <c r="F65" s="273">
        <f>'PPW PPE'!L16</f>
        <v>179240310.31</v>
      </c>
      <c r="G65" s="133"/>
      <c r="H65" s="133"/>
      <c r="I65" s="133"/>
      <c r="J65" s="133"/>
      <c r="K65" s="133"/>
      <c r="L65" s="133"/>
      <c r="M65" s="133"/>
      <c r="N65" s="133"/>
      <c r="O65" s="133"/>
      <c r="P65" s="133"/>
      <c r="Q65" s="696"/>
    </row>
    <row r="66" spans="3:17" ht="12.75">
      <c r="C66" s="271"/>
      <c r="D66" s="272" t="s">
        <v>307</v>
      </c>
      <c r="E66" s="272"/>
      <c r="F66" s="273">
        <f>'PPW PPE'!N16</f>
        <v>64225552.37</v>
      </c>
      <c r="G66" s="133"/>
      <c r="H66" s="133"/>
      <c r="I66" s="133"/>
      <c r="J66" s="133"/>
      <c r="K66" s="133"/>
      <c r="L66" s="133"/>
      <c r="M66" s="133"/>
      <c r="N66" s="133"/>
      <c r="O66" s="133"/>
      <c r="P66" s="133"/>
      <c r="Q66" s="696"/>
    </row>
    <row r="67" spans="3:17" ht="12.75">
      <c r="C67" s="271"/>
      <c r="D67" s="272" t="s">
        <v>308</v>
      </c>
      <c r="E67" s="272"/>
      <c r="F67" s="274">
        <f>F66/F65</f>
        <v>0.35832091709125313</v>
      </c>
      <c r="G67" s="133"/>
      <c r="H67" s="133"/>
      <c r="I67" s="133"/>
      <c r="J67" s="133"/>
      <c r="K67" s="133"/>
      <c r="L67" s="133"/>
      <c r="M67" s="133"/>
      <c r="N67" s="133"/>
      <c r="O67" s="133"/>
      <c r="P67" s="133"/>
      <c r="Q67" s="739"/>
    </row>
    <row r="68" spans="3:17" ht="12.75">
      <c r="C68" s="275"/>
      <c r="D68" s="276" t="s">
        <v>309</v>
      </c>
      <c r="E68" s="276"/>
      <c r="F68" s="277">
        <f>(100%-F67)</f>
        <v>0.6416790829087469</v>
      </c>
      <c r="G68" s="133"/>
      <c r="H68" s="133"/>
      <c r="I68" s="133"/>
      <c r="J68" s="133"/>
      <c r="K68" s="133"/>
      <c r="L68" s="133"/>
      <c r="M68" s="133"/>
      <c r="N68" s="133"/>
      <c r="O68" s="133"/>
      <c r="P68" s="133"/>
      <c r="Q68" s="737"/>
    </row>
    <row r="69" spans="7:17" ht="12.75">
      <c r="G69" s="133"/>
      <c r="H69" s="133"/>
      <c r="I69" s="133"/>
      <c r="J69" s="133"/>
      <c r="K69" s="133"/>
      <c r="L69" s="133"/>
      <c r="M69" s="133"/>
      <c r="N69" s="133"/>
      <c r="O69" s="133"/>
      <c r="P69" s="133"/>
      <c r="Q69" s="738"/>
    </row>
    <row r="70" spans="7:17" ht="12.75">
      <c r="G70" s="133"/>
      <c r="H70" s="133"/>
      <c r="I70" s="133"/>
      <c r="J70" s="133"/>
      <c r="K70" s="133"/>
      <c r="L70" s="133"/>
      <c r="M70" s="133"/>
      <c r="N70" s="133"/>
      <c r="O70" s="133"/>
      <c r="P70" s="133"/>
      <c r="Q70" s="696"/>
    </row>
    <row r="71" spans="3:17" ht="12.75">
      <c r="C71" s="268" t="s">
        <v>826</v>
      </c>
      <c r="D71" s="269"/>
      <c r="E71" s="269"/>
      <c r="F71" s="269"/>
      <c r="G71" s="863"/>
      <c r="H71" s="933" t="s">
        <v>882</v>
      </c>
      <c r="I71" s="934" t="s">
        <v>883</v>
      </c>
      <c r="J71" s="928" t="s">
        <v>884</v>
      </c>
      <c r="K71" s="133"/>
      <c r="L71" s="133"/>
      <c r="M71" s="133"/>
      <c r="N71" s="133"/>
      <c r="O71" s="133"/>
      <c r="P71" s="133"/>
      <c r="Q71" s="736"/>
    </row>
    <row r="72" spans="3:17" ht="12.75">
      <c r="C72" s="271"/>
      <c r="D72" s="864" t="s">
        <v>121</v>
      </c>
      <c r="E72" s="864" t="s">
        <v>122</v>
      </c>
      <c r="F72" s="643"/>
      <c r="G72" s="865" t="s">
        <v>123</v>
      </c>
      <c r="H72" s="935" t="s">
        <v>123</v>
      </c>
      <c r="I72" s="630" t="s">
        <v>7</v>
      </c>
      <c r="J72" s="936" t="s">
        <v>7</v>
      </c>
      <c r="K72" s="736"/>
      <c r="Q72" s="739"/>
    </row>
    <row r="73" spans="3:17" ht="12.75">
      <c r="C73" s="271"/>
      <c r="D73" s="866">
        <v>0.52</v>
      </c>
      <c r="E73" s="866">
        <v>0.472</v>
      </c>
      <c r="F73" s="643" t="s">
        <v>124</v>
      </c>
      <c r="G73" s="911">
        <v>0.07121</v>
      </c>
      <c r="H73" s="937">
        <f>Rate*E73</f>
        <v>0.033611119999999994</v>
      </c>
      <c r="I73" s="930">
        <f>H73*(1-G79)</f>
        <v>0.020848641624799998</v>
      </c>
      <c r="J73" s="274">
        <f>I73/(1-$G$79)</f>
        <v>0.033611119999999994</v>
      </c>
      <c r="Q73" s="736"/>
    </row>
    <row r="74" spans="3:17" ht="12.75">
      <c r="C74" s="271"/>
      <c r="D74" s="866">
        <v>0</v>
      </c>
      <c r="E74" s="866">
        <v>0.04</v>
      </c>
      <c r="F74" s="643" t="s">
        <v>125</v>
      </c>
      <c r="G74" s="911">
        <v>0.06017</v>
      </c>
      <c r="H74" s="937">
        <f>Preferred_*RatePreferred</f>
        <v>0.0024068</v>
      </c>
      <c r="I74" s="929">
        <f>Preferred_*RatePreferred</f>
        <v>0.0024068</v>
      </c>
      <c r="J74" s="274">
        <f>I74/(1-$G$79)</f>
        <v>0.003880120588756872</v>
      </c>
      <c r="Q74" s="737"/>
    </row>
    <row r="75" spans="3:17" ht="12.75">
      <c r="C75" s="271"/>
      <c r="D75" s="866">
        <f>1-DebtTarget</f>
        <v>0.48</v>
      </c>
      <c r="E75" s="866">
        <v>0.488</v>
      </c>
      <c r="F75" s="643" t="s">
        <v>126</v>
      </c>
      <c r="G75" s="914">
        <v>0.1125</v>
      </c>
      <c r="H75" s="938">
        <f>Common_*RateCommon</f>
        <v>0.0549</v>
      </c>
      <c r="I75" s="931">
        <f>Common_*RateCommon</f>
        <v>0.0549</v>
      </c>
      <c r="J75" s="939">
        <f>I75/(1-$G$79)</f>
        <v>0.08850698866659143</v>
      </c>
      <c r="Q75" s="736"/>
    </row>
    <row r="76" spans="3:17" ht="12.75">
      <c r="C76" s="271"/>
      <c r="D76" s="134">
        <f>SUM(D73:D75)</f>
        <v>1</v>
      </c>
      <c r="E76" s="134">
        <f>SUM(E73:E75)</f>
        <v>1</v>
      </c>
      <c r="F76" s="868" t="s">
        <v>127</v>
      </c>
      <c r="G76" s="867">
        <f>ROUND(E73*Rate*Preferred_*RatePreferred+Common_*RateCommon,4)</f>
        <v>0.055</v>
      </c>
      <c r="H76" s="940">
        <f>ROUND(SUM(H73:H75),4)</f>
        <v>0.0909</v>
      </c>
      <c r="I76" s="932">
        <f>I73+H74+H75</f>
        <v>0.0781554416248</v>
      </c>
      <c r="J76" s="274">
        <f>SUM(J73:J75)</f>
        <v>0.1259982292553483</v>
      </c>
      <c r="Q76" s="736"/>
    </row>
    <row r="77" spans="3:17" ht="12.75">
      <c r="C77" s="271"/>
      <c r="D77" s="643"/>
      <c r="E77" s="643"/>
      <c r="F77" s="868" t="s">
        <v>128</v>
      </c>
      <c r="G77" s="911">
        <f>I73+H74+H75</f>
        <v>0.0781554416248</v>
      </c>
      <c r="H77" s="941"/>
      <c r="I77" s="932"/>
      <c r="J77" s="631"/>
      <c r="Q77" s="740"/>
    </row>
    <row r="78" spans="3:10" ht="12.75">
      <c r="C78" s="271"/>
      <c r="D78" s="643"/>
      <c r="E78" s="643"/>
      <c r="F78" s="869" t="s">
        <v>129</v>
      </c>
      <c r="G78" s="870">
        <f>ROUND((Preferred_*RatePreferred+Common_*RateCommon)/(1-G79)*G79,4)</f>
        <v>0.0351</v>
      </c>
      <c r="H78" s="941"/>
      <c r="I78" s="272"/>
      <c r="J78" s="631"/>
    </row>
    <row r="79" spans="3:10" ht="12.75">
      <c r="C79" s="275"/>
      <c r="D79" s="871"/>
      <c r="E79" s="872"/>
      <c r="F79" s="873" t="s">
        <v>30</v>
      </c>
      <c r="G79" s="874">
        <v>0.37971</v>
      </c>
      <c r="H79" s="942"/>
      <c r="I79" s="276"/>
      <c r="J79" s="759"/>
    </row>
    <row r="80" ht="12.75">
      <c r="H80" s="133"/>
    </row>
    <row r="81" spans="3:6" ht="12.75">
      <c r="C81" s="268" t="s">
        <v>794</v>
      </c>
      <c r="D81" s="269"/>
      <c r="E81" s="837" t="s">
        <v>885</v>
      </c>
      <c r="F81" s="270" t="s">
        <v>795</v>
      </c>
    </row>
    <row r="82" spans="3:6" ht="12.75">
      <c r="C82" s="271"/>
      <c r="D82" s="272"/>
      <c r="E82" s="272"/>
      <c r="F82" s="631" t="s">
        <v>796</v>
      </c>
    </row>
    <row r="83" spans="3:13" ht="12.75">
      <c r="C83" s="275"/>
      <c r="D83" s="276"/>
      <c r="E83" s="276"/>
      <c r="F83" s="759" t="s">
        <v>797</v>
      </c>
      <c r="K83" s="412"/>
      <c r="L83" s="412"/>
      <c r="M83" s="412"/>
    </row>
    <row r="85" spans="5:13" ht="12.75">
      <c r="E85" s="11" t="s">
        <v>798</v>
      </c>
      <c r="F85" s="266">
        <f>'Keep RevReq'!F68</f>
        <v>10449268.263658516</v>
      </c>
      <c r="G85" s="266">
        <f>NPV(Inputs!$G$8,'Keep RevReq'!K68:T68)*(1+Inputs!$G$8/2)</f>
        <v>4887802.9616473485</v>
      </c>
      <c r="K85" s="266"/>
      <c r="L85" s="266"/>
      <c r="M85" s="266"/>
    </row>
    <row r="86" spans="5:13" ht="12.75">
      <c r="E86" s="11" t="s">
        <v>799</v>
      </c>
      <c r="F86" s="266">
        <f>'Sell RevReq'!E13</f>
        <v>10438845.91139189</v>
      </c>
      <c r="G86" s="266">
        <f>NPV(Inputs!$G$8,'Sell RevReq'!H13:Q13)*(1+Inputs!$G$8/2)</f>
        <v>4848743.305990866</v>
      </c>
      <c r="K86" s="266"/>
      <c r="L86" s="266"/>
      <c r="M86" s="266"/>
    </row>
    <row r="88" spans="11:13" ht="12.75">
      <c r="K88" s="696"/>
      <c r="L88" s="696"/>
      <c r="M88" s="696"/>
    </row>
  </sheetData>
  <printOptions/>
  <pageMargins left="0.75" right="0.75" top="1" bottom="1" header="0.5" footer="0.5"/>
  <pageSetup horizontalDpi="600" verticalDpi="600" orientation="landscape" pageOrder="overThenDown" scale="70" r:id="rId3"/>
  <headerFooter alignWithMargins="0">
    <oddHeader>&amp;C&amp;A</oddHead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U185"/>
  <sheetViews>
    <sheetView zoomScale="75" zoomScaleNormal="75" workbookViewId="0" topLeftCell="A1">
      <selection activeCell="A1" sqref="A1"/>
    </sheetView>
  </sheetViews>
  <sheetFormatPr defaultColWidth="9.140625" defaultRowHeight="15.75" customHeight="1"/>
  <cols>
    <col min="1" max="1" width="10.28125" style="0" customWidth="1"/>
    <col min="2" max="2" width="32.140625" style="0" customWidth="1"/>
    <col min="3" max="3" width="3.00390625" style="57" customWidth="1"/>
    <col min="4" max="4" width="17.57421875" style="0" customWidth="1"/>
    <col min="5" max="5" width="16.8515625" style="0" customWidth="1"/>
    <col min="6" max="8" width="16.7109375" style="0" customWidth="1"/>
    <col min="9" max="9" width="17.8515625" style="0" customWidth="1"/>
    <col min="10" max="10" width="19.28125" style="0" customWidth="1"/>
    <col min="11" max="11" width="16.8515625" style="57" customWidth="1"/>
    <col min="12" max="13" width="17.57421875" style="0" customWidth="1"/>
    <col min="14" max="14" width="19.421875" style="0" customWidth="1"/>
    <col min="15" max="15" width="18.57421875" style="0" customWidth="1"/>
    <col min="16" max="16" width="16.57421875" style="0" customWidth="1"/>
    <col min="17" max="17" width="16.7109375" style="0" customWidth="1"/>
    <col min="18" max="18" width="18.00390625" style="0" customWidth="1"/>
    <col min="19" max="19" width="17.57421875" style="0" customWidth="1"/>
    <col min="20" max="20" width="17.00390625" style="0" customWidth="1"/>
    <col min="21" max="21" width="13.8515625" style="0" bestFit="1" customWidth="1"/>
  </cols>
  <sheetData>
    <row r="1" spans="4:21" ht="23.25" customHeight="1">
      <c r="D1" s="140" t="s">
        <v>131</v>
      </c>
      <c r="E1" s="140"/>
      <c r="F1" s="140"/>
      <c r="G1" s="140"/>
      <c r="H1" s="140"/>
      <c r="I1" s="652"/>
      <c r="J1" s="653" t="s">
        <v>661</v>
      </c>
      <c r="K1" s="141"/>
      <c r="L1" s="142" t="s">
        <v>132</v>
      </c>
      <c r="M1" s="142"/>
      <c r="N1" s="142"/>
      <c r="O1" s="142"/>
      <c r="P1" s="142"/>
      <c r="R1" s="716" t="s">
        <v>722</v>
      </c>
      <c r="S1" s="716"/>
      <c r="T1" s="716"/>
      <c r="U1" s="717"/>
    </row>
    <row r="2" spans="2:21" ht="15.75" customHeight="1">
      <c r="B2" s="143" t="s">
        <v>133</v>
      </c>
      <c r="C2" s="144"/>
      <c r="D2" s="145">
        <v>101</v>
      </c>
      <c r="E2" s="145" t="s">
        <v>134</v>
      </c>
      <c r="F2" s="145"/>
      <c r="G2" s="2" t="s">
        <v>662</v>
      </c>
      <c r="H2" s="2">
        <v>107</v>
      </c>
      <c r="I2" s="2"/>
      <c r="J2" s="2">
        <v>107</v>
      </c>
      <c r="K2" s="146"/>
      <c r="L2" s="145">
        <v>101</v>
      </c>
      <c r="M2" s="145" t="s">
        <v>134</v>
      </c>
      <c r="N2" s="145"/>
      <c r="O2" s="2" t="s">
        <v>662</v>
      </c>
      <c r="P2" s="2">
        <v>107</v>
      </c>
      <c r="R2" s="145">
        <v>101</v>
      </c>
      <c r="S2" s="145" t="s">
        <v>134</v>
      </c>
      <c r="T2" s="2"/>
      <c r="U2" s="2">
        <v>107</v>
      </c>
    </row>
    <row r="3" spans="4:21" ht="15.75" customHeight="1">
      <c r="D3" s="147" t="s">
        <v>135</v>
      </c>
      <c r="E3" s="147" t="s">
        <v>136</v>
      </c>
      <c r="F3" s="147" t="s">
        <v>137</v>
      </c>
      <c r="G3" s="147">
        <v>106</v>
      </c>
      <c r="H3" s="147" t="s">
        <v>138</v>
      </c>
      <c r="I3" s="145"/>
      <c r="J3" s="147" t="s">
        <v>138</v>
      </c>
      <c r="K3" s="146"/>
      <c r="L3" s="147" t="s">
        <v>135</v>
      </c>
      <c r="M3" s="147" t="s">
        <v>136</v>
      </c>
      <c r="N3" s="147" t="s">
        <v>137</v>
      </c>
      <c r="O3" s="147">
        <v>106</v>
      </c>
      <c r="P3" s="147" t="s">
        <v>138</v>
      </c>
      <c r="R3" s="147" t="s">
        <v>135</v>
      </c>
      <c r="S3" s="147" t="s">
        <v>136</v>
      </c>
      <c r="T3" s="147" t="s">
        <v>137</v>
      </c>
      <c r="U3" s="147" t="s">
        <v>138</v>
      </c>
    </row>
    <row r="4" ht="15.75" customHeight="1">
      <c r="A4" t="s">
        <v>139</v>
      </c>
    </row>
    <row r="5" ht="15.75" customHeight="1">
      <c r="A5" s="8" t="s">
        <v>140</v>
      </c>
    </row>
    <row r="6" spans="1:21" ht="15.75" customHeight="1">
      <c r="A6">
        <v>201000</v>
      </c>
      <c r="B6" t="s">
        <v>141</v>
      </c>
      <c r="D6" s="148">
        <f>1736343.94+26605438.42+9009.65+836227.46-7008881</f>
        <v>22178138.470000003</v>
      </c>
      <c r="E6" s="148">
        <f>-15612398.49+4367818.03</f>
        <v>-11244580.46</v>
      </c>
      <c r="F6" s="149">
        <f>D6+E6</f>
        <v>10933558.010000002</v>
      </c>
      <c r="G6" s="149"/>
      <c r="H6" s="150">
        <v>168448.47</v>
      </c>
      <c r="I6" s="150"/>
      <c r="J6" s="150">
        <v>176148.7</v>
      </c>
      <c r="K6" s="151"/>
      <c r="L6" s="148">
        <f>29187019.47-16139.4+403275-7008881</f>
        <v>22565274.07</v>
      </c>
      <c r="M6" s="148">
        <f>-15612398.49-767288.83-7833.42+77266+4504488.93</f>
        <v>-11805765.81</v>
      </c>
      <c r="N6" s="149">
        <f>L6+M6</f>
        <v>10759508.26</v>
      </c>
      <c r="O6" s="149"/>
      <c r="P6" s="150">
        <f>416156+H6</f>
        <v>584604.47</v>
      </c>
      <c r="R6" s="148">
        <f>29187019.47-37725.67-7008881</f>
        <v>22140412.799999997</v>
      </c>
      <c r="S6" s="148">
        <f>-15612398.49-254651.77+4413374.99</f>
        <v>-11453675.27</v>
      </c>
      <c r="T6" s="149">
        <f>R6+S6</f>
        <v>10686737.529999997</v>
      </c>
      <c r="U6" s="150">
        <v>176148.7</v>
      </c>
    </row>
    <row r="7" spans="1:21" ht="15.75" customHeight="1">
      <c r="A7">
        <v>201001</v>
      </c>
      <c r="B7" t="s">
        <v>142</v>
      </c>
      <c r="D7" s="148">
        <f>75493690+768258.72</f>
        <v>76261948.72</v>
      </c>
      <c r="E7" s="148">
        <v>-49939315.79</v>
      </c>
      <c r="F7" s="149">
        <f>D7+E7</f>
        <v>26322632.93</v>
      </c>
      <c r="G7" s="149"/>
      <c r="H7" s="150">
        <f>86083.58</f>
        <v>86083.58</v>
      </c>
      <c r="I7" s="150"/>
      <c r="J7" s="150">
        <v>7287.58</v>
      </c>
      <c r="K7" s="151"/>
      <c r="L7" s="148">
        <f>76261948.72+79671.43</f>
        <v>76341620.15</v>
      </c>
      <c r="M7" s="148">
        <f>-49939315.79-1668431.03</f>
        <v>-51607746.82</v>
      </c>
      <c r="N7" s="149">
        <f>L7+M7</f>
        <v>24733873.330000006</v>
      </c>
      <c r="O7" s="149"/>
      <c r="P7" s="150">
        <f>H7</f>
        <v>86083.58</v>
      </c>
      <c r="R7" s="148">
        <f>76261948.72+79671.43</f>
        <v>76341620.15</v>
      </c>
      <c r="S7" s="148">
        <f>-49939315.79-556143.64</f>
        <v>-50495459.43</v>
      </c>
      <c r="T7" s="149">
        <f>R7+S7</f>
        <v>25846160.720000006</v>
      </c>
      <c r="U7" s="150">
        <v>7287.58</v>
      </c>
    </row>
    <row r="8" spans="1:21" ht="15.75" customHeight="1">
      <c r="A8">
        <v>201002</v>
      </c>
      <c r="B8" t="s">
        <v>143</v>
      </c>
      <c r="D8" s="148">
        <f>73912645.47+752894.22</f>
        <v>74665539.69</v>
      </c>
      <c r="E8" s="148">
        <v>-49117447.36</v>
      </c>
      <c r="F8" s="149">
        <f>D8+E8</f>
        <v>25548092.33</v>
      </c>
      <c r="G8" s="149"/>
      <c r="H8" s="150">
        <f>213982.12</f>
        <v>213982.12</v>
      </c>
      <c r="I8" s="150"/>
      <c r="J8" s="150">
        <v>218042.64</v>
      </c>
      <c r="K8" s="151"/>
      <c r="L8" s="148">
        <f>74665539.69+718450+60739</f>
        <v>75444728.69</v>
      </c>
      <c r="M8" s="148">
        <f>-49117447.36-1631168.32</f>
        <v>-50748615.68</v>
      </c>
      <c r="N8" s="149">
        <f>L8+M8</f>
        <v>24696113.009999998</v>
      </c>
      <c r="O8" s="149"/>
      <c r="P8" s="150">
        <f>H8</f>
        <v>213982.12</v>
      </c>
      <c r="R8" s="148">
        <f>74665539.69</f>
        <v>74665539.69</v>
      </c>
      <c r="S8" s="148">
        <f>-49117447.36-543722.75</f>
        <v>-49661170.11</v>
      </c>
      <c r="T8" s="149">
        <f>R8+S8</f>
        <v>25004369.58</v>
      </c>
      <c r="U8" s="150">
        <v>218042.64</v>
      </c>
    </row>
    <row r="9" spans="2:21" ht="15.75" customHeight="1">
      <c r="B9" t="s">
        <v>862</v>
      </c>
      <c r="D9" s="148">
        <v>3647870.49</v>
      </c>
      <c r="E9" s="148">
        <v>-172278.1</v>
      </c>
      <c r="F9" s="149">
        <f>D9+E9</f>
        <v>3475592.39</v>
      </c>
      <c r="G9" s="149"/>
      <c r="H9" s="150"/>
      <c r="I9" s="150"/>
      <c r="J9" s="150"/>
      <c r="K9" s="151"/>
      <c r="L9" s="148">
        <v>3647870.49</v>
      </c>
      <c r="M9" s="148">
        <v>-259132.16</v>
      </c>
      <c r="N9" s="149">
        <f>L9+M9</f>
        <v>3388738.33</v>
      </c>
      <c r="O9" s="149"/>
      <c r="P9" s="150"/>
      <c r="R9" s="148">
        <v>3647870.49</v>
      </c>
      <c r="S9" s="148">
        <v>-201229.45</v>
      </c>
      <c r="T9" s="149">
        <f>R9+S9</f>
        <v>3446641.04</v>
      </c>
      <c r="U9" s="150"/>
    </row>
    <row r="10" spans="2:21" ht="15.75" customHeight="1">
      <c r="B10" s="143" t="s">
        <v>144</v>
      </c>
      <c r="C10" s="144"/>
      <c r="D10" s="149">
        <f>SUM(D6:D9)</f>
        <v>176753497.37</v>
      </c>
      <c r="E10" s="149">
        <f>SUM(E6:E9)</f>
        <v>-110473621.71</v>
      </c>
      <c r="F10" s="149">
        <f>SUM(F6:F9)</f>
        <v>66279875.66</v>
      </c>
      <c r="G10" s="149"/>
      <c r="H10" s="149">
        <f>SUM(H6:H9)</f>
        <v>468514.17</v>
      </c>
      <c r="I10" s="149"/>
      <c r="J10" s="149">
        <f>SUM(J6:J9)</f>
        <v>401478.92000000004</v>
      </c>
      <c r="K10" s="151"/>
      <c r="L10" s="149">
        <f>SUM(L6:L9)</f>
        <v>177999493.4</v>
      </c>
      <c r="M10" s="149">
        <f>SUM(M6:M9)</f>
        <v>-114421260.47</v>
      </c>
      <c r="N10" s="149">
        <f>SUM(N6:N9)</f>
        <v>63578232.93</v>
      </c>
      <c r="P10" s="149">
        <f>SUM(P6:P9)</f>
        <v>884670.1699999999</v>
      </c>
      <c r="R10" s="149">
        <f>SUM(R6:R9)</f>
        <v>176795443.13</v>
      </c>
      <c r="S10" s="149">
        <f>SUM(S6:S8)</f>
        <v>-111610304.81</v>
      </c>
      <c r="T10" s="149">
        <f>SUM(T6:T8)</f>
        <v>61537267.83</v>
      </c>
      <c r="U10" s="149">
        <f>SUM(U6:U8)</f>
        <v>401478.92000000004</v>
      </c>
    </row>
    <row r="11" spans="1:21" ht="15.75" customHeight="1">
      <c r="A11" s="8" t="s">
        <v>145</v>
      </c>
      <c r="D11" s="149"/>
      <c r="E11" s="149"/>
      <c r="F11" s="149"/>
      <c r="G11" s="149"/>
      <c r="H11" s="149"/>
      <c r="I11" s="149"/>
      <c r="J11" s="149"/>
      <c r="K11" s="151"/>
      <c r="L11" s="149"/>
      <c r="M11" s="149"/>
      <c r="N11" s="149"/>
      <c r="P11" s="152"/>
      <c r="R11" s="149"/>
      <c r="S11" s="149"/>
      <c r="T11" s="149"/>
      <c r="U11" s="149"/>
    </row>
    <row r="12" spans="1:21" ht="15.75" customHeight="1">
      <c r="A12">
        <v>238024</v>
      </c>
      <c r="B12" t="s">
        <v>146</v>
      </c>
      <c r="D12" s="148">
        <v>954710.13</v>
      </c>
      <c r="E12" s="148">
        <v>-400561.88</v>
      </c>
      <c r="F12" s="149">
        <f>D12+E12</f>
        <v>554148.25</v>
      </c>
      <c r="G12" s="149"/>
      <c r="H12" s="149">
        <v>0</v>
      </c>
      <c r="I12" s="149"/>
      <c r="J12" s="149">
        <v>0</v>
      </c>
      <c r="K12" s="151"/>
      <c r="L12" s="148">
        <v>954710.13</v>
      </c>
      <c r="M12" s="148">
        <f>-400561.88-18905.15</f>
        <v>-419467.03</v>
      </c>
      <c r="N12" s="149">
        <f>L12+M12</f>
        <v>535243.1</v>
      </c>
      <c r="O12" s="149"/>
      <c r="P12" s="150">
        <v>0</v>
      </c>
      <c r="R12" s="148">
        <f>954710.13</f>
        <v>954710.13</v>
      </c>
      <c r="S12" s="148">
        <f>-400561.88-6301.72</f>
        <v>-406863.6</v>
      </c>
      <c r="T12" s="149">
        <f>R12+S12</f>
        <v>547846.53</v>
      </c>
      <c r="U12" s="149">
        <v>0</v>
      </c>
    </row>
    <row r="13" spans="1:21" ht="15.75" customHeight="1">
      <c r="A13">
        <v>238098</v>
      </c>
      <c r="B13" t="s">
        <v>147</v>
      </c>
      <c r="D13" s="148">
        <v>167496.39</v>
      </c>
      <c r="E13" s="148">
        <v>-98632.88</v>
      </c>
      <c r="F13" s="149">
        <f>D13+E13</f>
        <v>68863.51000000001</v>
      </c>
      <c r="G13" s="149"/>
      <c r="H13" s="149">
        <v>0</v>
      </c>
      <c r="I13" s="149"/>
      <c r="J13" s="149">
        <v>0</v>
      </c>
      <c r="K13" s="151"/>
      <c r="L13" s="148">
        <v>167496.39</v>
      </c>
      <c r="M13" s="148">
        <f>-98632.88-3912.41</f>
        <v>-102545.29000000001</v>
      </c>
      <c r="N13" s="149">
        <f>L13+M13</f>
        <v>64951.100000000006</v>
      </c>
      <c r="O13" s="149"/>
      <c r="P13" s="150">
        <v>0</v>
      </c>
      <c r="R13" s="148">
        <f>167496.39</f>
        <v>167496.39</v>
      </c>
      <c r="S13" s="148">
        <f>-98632.88-1304.14</f>
        <v>-99937.02</v>
      </c>
      <c r="T13" s="149">
        <f>R13+S13</f>
        <v>67559.37000000001</v>
      </c>
      <c r="U13" s="149">
        <v>0</v>
      </c>
    </row>
    <row r="14" spans="1:21" ht="15.75" customHeight="1">
      <c r="A14">
        <v>238099</v>
      </c>
      <c r="B14" t="s">
        <v>148</v>
      </c>
      <c r="D14" s="148">
        <v>118610.39</v>
      </c>
      <c r="E14" s="148">
        <v>-68717.98</v>
      </c>
      <c r="F14" s="149">
        <f>D14+E14</f>
        <v>49892.41</v>
      </c>
      <c r="G14" s="149"/>
      <c r="H14" s="149">
        <v>0</v>
      </c>
      <c r="I14" s="149"/>
      <c r="J14" s="149">
        <v>0</v>
      </c>
      <c r="K14" s="151"/>
      <c r="L14" s="148">
        <v>118610.39</v>
      </c>
      <c r="M14" s="148">
        <f>-68717.98-2767.17</f>
        <v>-71485.15</v>
      </c>
      <c r="N14" s="149">
        <f>L14+M14</f>
        <v>47125.240000000005</v>
      </c>
      <c r="O14" s="149"/>
      <c r="P14" s="150">
        <v>0</v>
      </c>
      <c r="R14" s="148">
        <f>118610.39</f>
        <v>118610.39</v>
      </c>
      <c r="S14" s="148">
        <f>-68717.98-922.39</f>
        <v>-69640.37</v>
      </c>
      <c r="T14" s="149">
        <f>R14+S14</f>
        <v>48970.020000000004</v>
      </c>
      <c r="U14" s="149">
        <v>0</v>
      </c>
    </row>
    <row r="15" spans="2:21" ht="15.75" customHeight="1">
      <c r="B15" s="143" t="s">
        <v>144</v>
      </c>
      <c r="C15" s="144"/>
      <c r="D15" s="149">
        <f>SUM(D12:D14)</f>
        <v>1240816.91</v>
      </c>
      <c r="E15" s="149">
        <f>SUM(E12:E14)</f>
        <v>-567912.74</v>
      </c>
      <c r="F15" s="149">
        <f>SUM(F12:F14)</f>
        <v>672904.17</v>
      </c>
      <c r="G15" s="149"/>
      <c r="H15" s="149">
        <f>SUM(H12:H14)</f>
        <v>0</v>
      </c>
      <c r="I15" s="149"/>
      <c r="J15" s="149">
        <f>SUM(J12:J14)</f>
        <v>0</v>
      </c>
      <c r="K15" s="151"/>
      <c r="L15" s="149">
        <f>SUM(L12:L14)</f>
        <v>1240816.91</v>
      </c>
      <c r="M15" s="149">
        <f>SUM(M12:M14)</f>
        <v>-593497.4700000001</v>
      </c>
      <c r="N15" s="149">
        <f>SUM(N12:N14)</f>
        <v>647319.44</v>
      </c>
      <c r="P15" s="152">
        <f>SUM(P12:P14)</f>
        <v>0</v>
      </c>
      <c r="R15" s="149">
        <f>SUM(R12:R14)</f>
        <v>1240816.91</v>
      </c>
      <c r="S15" s="149">
        <f>SUM(S12:S14)</f>
        <v>-576440.99</v>
      </c>
      <c r="T15" s="149">
        <f>SUM(T12:T14)</f>
        <v>664375.92</v>
      </c>
      <c r="U15" s="149">
        <f>SUM(U12:U14)</f>
        <v>0</v>
      </c>
    </row>
    <row r="16" spans="2:21" ht="15.75" customHeight="1">
      <c r="B16" s="153" t="s">
        <v>149</v>
      </c>
      <c r="C16" s="154"/>
      <c r="D16" s="155">
        <f>D10+D15</f>
        <v>177994314.28</v>
      </c>
      <c r="E16" s="155">
        <f>E10+E15</f>
        <v>-111041534.44999999</v>
      </c>
      <c r="F16" s="155">
        <f>F10+F15</f>
        <v>66952779.83</v>
      </c>
      <c r="G16" s="155"/>
      <c r="H16" s="155">
        <f>H10+H15</f>
        <v>468514.17</v>
      </c>
      <c r="I16" s="156"/>
      <c r="J16" s="155">
        <f>J15+J10</f>
        <v>401478.92000000004</v>
      </c>
      <c r="K16" s="156"/>
      <c r="L16" s="155">
        <f>L10+L15</f>
        <v>179240310.31</v>
      </c>
      <c r="M16" s="155">
        <f>M10+M15</f>
        <v>-115014757.94</v>
      </c>
      <c r="N16" s="155">
        <f>N10+N15</f>
        <v>64225552.37</v>
      </c>
      <c r="O16" s="157"/>
      <c r="P16" s="158">
        <f>P15+P10</f>
        <v>884670.1699999999</v>
      </c>
      <c r="R16" s="155">
        <f>R10+R15</f>
        <v>178036260.04</v>
      </c>
      <c r="S16" s="155">
        <f>S10+S15</f>
        <v>-112186745.8</v>
      </c>
      <c r="T16" s="155">
        <f>T10+T15</f>
        <v>62201643.75</v>
      </c>
      <c r="U16" s="155">
        <f>U15+U10</f>
        <v>401478.92000000004</v>
      </c>
    </row>
    <row r="17" spans="2:21" ht="15.75" customHeight="1">
      <c r="B17" s="143"/>
      <c r="C17" s="144"/>
      <c r="D17" s="152"/>
      <c r="E17" s="152"/>
      <c r="F17" s="152"/>
      <c r="G17" s="152"/>
      <c r="H17" s="152"/>
      <c r="I17" s="152"/>
      <c r="J17" s="152"/>
      <c r="K17" s="152"/>
      <c r="L17" s="152"/>
      <c r="M17" s="152"/>
      <c r="N17" s="152"/>
      <c r="O17" s="152"/>
      <c r="P17" s="152"/>
      <c r="R17" s="149"/>
      <c r="S17" s="149"/>
      <c r="T17" s="149"/>
      <c r="U17" s="149"/>
    </row>
    <row r="18" spans="1:21" ht="15.75" customHeight="1">
      <c r="A18" s="8" t="s">
        <v>150</v>
      </c>
      <c r="B18" s="143"/>
      <c r="C18" s="144"/>
      <c r="D18" s="149"/>
      <c r="E18" s="149"/>
      <c r="F18" s="149"/>
      <c r="G18" s="149"/>
      <c r="H18" s="149"/>
      <c r="I18" s="149"/>
      <c r="J18" s="149"/>
      <c r="K18" s="151"/>
      <c r="L18" s="149"/>
      <c r="M18" s="149"/>
      <c r="N18" s="149"/>
      <c r="R18" s="149"/>
      <c r="S18" s="149"/>
      <c r="T18" s="149"/>
      <c r="U18" s="149"/>
    </row>
    <row r="19" spans="1:21" ht="15.75" customHeight="1">
      <c r="A19">
        <v>238030</v>
      </c>
      <c r="B19" t="s">
        <v>151</v>
      </c>
      <c r="D19" s="148">
        <v>61375.49</v>
      </c>
      <c r="E19" s="148">
        <v>-20629.33</v>
      </c>
      <c r="F19" s="149">
        <f>D19+E19</f>
        <v>40746.159999999996</v>
      </c>
      <c r="G19" s="149"/>
      <c r="H19" s="149">
        <v>73.26</v>
      </c>
      <c r="I19" s="149"/>
      <c r="J19" s="149">
        <v>73.26</v>
      </c>
      <c r="K19" s="151"/>
      <c r="L19" s="148">
        <v>61375.49</v>
      </c>
      <c r="M19" s="148">
        <f>-20629.33-1215.36</f>
        <v>-21844.690000000002</v>
      </c>
      <c r="N19" s="149">
        <f>L19+M19</f>
        <v>39530.799999999996</v>
      </c>
      <c r="O19" s="149"/>
      <c r="P19" s="149">
        <v>73.26</v>
      </c>
      <c r="R19" s="148">
        <f>61375.49</f>
        <v>61375.49</v>
      </c>
      <c r="S19" s="148">
        <f>-20629.33-405.13</f>
        <v>-21034.460000000003</v>
      </c>
      <c r="T19" s="149">
        <f>R19+S19</f>
        <v>40341.03</v>
      </c>
      <c r="U19" s="149">
        <v>73.26</v>
      </c>
    </row>
    <row r="20" spans="1:21" ht="15.75" customHeight="1">
      <c r="A20">
        <v>238097</v>
      </c>
      <c r="B20" t="s">
        <v>152</v>
      </c>
      <c r="D20" s="148">
        <v>126679.57</v>
      </c>
      <c r="E20" s="148">
        <v>-69530.97</v>
      </c>
      <c r="F20" s="149">
        <f>D20+E20</f>
        <v>57148.600000000006</v>
      </c>
      <c r="G20" s="149"/>
      <c r="H20" s="149">
        <v>0</v>
      </c>
      <c r="I20" s="149"/>
      <c r="J20" s="149">
        <v>0</v>
      </c>
      <c r="K20" s="151"/>
      <c r="L20" s="148">
        <v>126679.57</v>
      </c>
      <c r="M20" s="148">
        <f>-69530.97-3124.61</f>
        <v>-72655.58</v>
      </c>
      <c r="N20" s="149">
        <f>L20+M20</f>
        <v>54023.990000000005</v>
      </c>
      <c r="O20" s="149"/>
      <c r="P20" s="149">
        <v>0</v>
      </c>
      <c r="R20" s="148">
        <f>126679.57</f>
        <v>126679.57</v>
      </c>
      <c r="S20" s="148">
        <f>-69530.97-1041.53</f>
        <v>-70572.5</v>
      </c>
      <c r="T20" s="149">
        <f>R20+S20</f>
        <v>56107.07000000001</v>
      </c>
      <c r="U20" s="149">
        <v>0</v>
      </c>
    </row>
    <row r="21" spans="2:21" ht="15.75" customHeight="1">
      <c r="B21" s="143" t="s">
        <v>144</v>
      </c>
      <c r="C21" s="144"/>
      <c r="D21" s="152">
        <f>SUM(D19:D20)</f>
        <v>188055.06</v>
      </c>
      <c r="E21" s="152">
        <f>SUM(E19:E20)</f>
        <v>-90160.3</v>
      </c>
      <c r="F21" s="152">
        <f>SUM(F19:F20)</f>
        <v>97894.76000000001</v>
      </c>
      <c r="G21" s="152"/>
      <c r="H21" s="152">
        <f>SUM(H19:H20)</f>
        <v>73.26</v>
      </c>
      <c r="I21" s="152"/>
      <c r="J21" s="152">
        <f>SUM(J19:J20)</f>
        <v>73.26</v>
      </c>
      <c r="K21" s="159"/>
      <c r="L21" s="152">
        <f>SUM(L19:L20)</f>
        <v>188055.06</v>
      </c>
      <c r="M21" s="152">
        <f>SUM(M19:M20)</f>
        <v>-94500.27</v>
      </c>
      <c r="N21" s="152">
        <f>SUM(N19:N20)</f>
        <v>93554.79000000001</v>
      </c>
      <c r="P21" s="152">
        <f>SUM(P19:P20)</f>
        <v>73.26</v>
      </c>
      <c r="R21" s="152">
        <f>SUM(R19:R20)</f>
        <v>188055.06</v>
      </c>
      <c r="S21" s="152">
        <f>SUM(S19:S20)</f>
        <v>-91606.96</v>
      </c>
      <c r="T21" s="152">
        <f>SUM(T19:T20)</f>
        <v>96448.1</v>
      </c>
      <c r="U21" s="152">
        <f>SUM(U19:U20)</f>
        <v>73.26</v>
      </c>
    </row>
    <row r="22" spans="1:21" ht="15.75" customHeight="1">
      <c r="A22" s="8" t="s">
        <v>153</v>
      </c>
      <c r="B22" s="143"/>
      <c r="C22" s="144"/>
      <c r="D22" s="152"/>
      <c r="E22" s="152"/>
      <c r="F22" s="152"/>
      <c r="G22" s="152"/>
      <c r="H22" s="152"/>
      <c r="I22" s="152"/>
      <c r="J22" s="152"/>
      <c r="K22" s="159"/>
      <c r="L22" s="152"/>
      <c r="M22" s="152"/>
      <c r="N22" s="152"/>
      <c r="R22" s="152"/>
      <c r="S22" s="152"/>
      <c r="T22" s="152"/>
      <c r="U22" s="152"/>
    </row>
    <row r="23" spans="1:21" ht="15.75" customHeight="1">
      <c r="A23">
        <v>201003</v>
      </c>
      <c r="B23" t="s">
        <v>154</v>
      </c>
      <c r="D23" s="148">
        <f>1651520.82+7008881</f>
        <v>8660401.82</v>
      </c>
      <c r="E23" s="148">
        <f>-240008.06-4367818.03</f>
        <v>-4607826.09</v>
      </c>
      <c r="F23" s="152">
        <f>D23+E23</f>
        <v>4052575.7300000004</v>
      </c>
      <c r="G23" s="152"/>
      <c r="H23" s="152">
        <v>0</v>
      </c>
      <c r="I23" s="152"/>
      <c r="J23" s="152">
        <v>0</v>
      </c>
      <c r="K23" s="159"/>
      <c r="L23" s="148">
        <f>1651520.82+7008881</f>
        <v>8660401.82</v>
      </c>
      <c r="M23" s="148">
        <f>-240008.06-25356.42-4504488.93</f>
        <v>-4769853.41</v>
      </c>
      <c r="N23" s="152">
        <f>L23+M23</f>
        <v>3890548.41</v>
      </c>
      <c r="O23" s="149"/>
      <c r="P23" s="149">
        <v>0</v>
      </c>
      <c r="R23" s="148">
        <f>1651520.82+7008881</f>
        <v>8660401.82</v>
      </c>
      <c r="S23" s="148">
        <f>-240008.06-8452.15-4413374.99</f>
        <v>-4661835.2</v>
      </c>
      <c r="T23" s="152">
        <f>R23+S23</f>
        <v>3998566.62</v>
      </c>
      <c r="U23" s="152">
        <v>0</v>
      </c>
    </row>
    <row r="24" spans="2:21" ht="15.75" customHeight="1">
      <c r="B24" s="143" t="s">
        <v>144</v>
      </c>
      <c r="C24" s="144"/>
      <c r="D24" s="160">
        <f>SUM(D23)</f>
        <v>8660401.82</v>
      </c>
      <c r="E24" s="160">
        <f>SUM(E23)</f>
        <v>-4607826.09</v>
      </c>
      <c r="F24" s="160">
        <f>SUM(F23)</f>
        <v>4052575.7300000004</v>
      </c>
      <c r="G24" s="160"/>
      <c r="H24" s="160">
        <f>SUM(H23)</f>
        <v>0</v>
      </c>
      <c r="I24" s="160"/>
      <c r="J24" s="160">
        <f>SUM(J23)</f>
        <v>0</v>
      </c>
      <c r="K24" s="161"/>
      <c r="L24" s="160">
        <f>SUM(L23)</f>
        <v>8660401.82</v>
      </c>
      <c r="M24" s="160">
        <f>SUM(M23)</f>
        <v>-4769853.41</v>
      </c>
      <c r="N24" s="160">
        <f>SUM(N23)</f>
        <v>3890548.41</v>
      </c>
      <c r="O24" s="149"/>
      <c r="P24" s="149">
        <f>SUM(P23)</f>
        <v>0</v>
      </c>
      <c r="R24" s="160">
        <f>SUM(R23)</f>
        <v>8660401.82</v>
      </c>
      <c r="S24" s="160">
        <f>SUM(S23)</f>
        <v>-4661835.2</v>
      </c>
      <c r="T24" s="160">
        <f>SUM(T23)</f>
        <v>3998566.62</v>
      </c>
      <c r="U24" s="160">
        <f>SUM(U23)</f>
        <v>0</v>
      </c>
    </row>
    <row r="25" spans="2:21" ht="15.75" customHeight="1">
      <c r="B25" s="153" t="s">
        <v>155</v>
      </c>
      <c r="C25" s="154"/>
      <c r="D25" s="162">
        <f>D24+D21</f>
        <v>8848456.88</v>
      </c>
      <c r="E25" s="162">
        <f>E24+E21</f>
        <v>-4697986.39</v>
      </c>
      <c r="F25" s="162">
        <f>F24+F21</f>
        <v>4150470.49</v>
      </c>
      <c r="G25" s="162"/>
      <c r="H25" s="162">
        <f>H21+H24</f>
        <v>73.26</v>
      </c>
      <c r="I25" s="162"/>
      <c r="J25" s="162">
        <f>J24+J21</f>
        <v>73.26</v>
      </c>
      <c r="K25" s="163"/>
      <c r="L25" s="162">
        <f>L24+L21</f>
        <v>8848456.88</v>
      </c>
      <c r="M25" s="162">
        <f>M24+M21</f>
        <v>-4864353.68</v>
      </c>
      <c r="N25" s="162">
        <f>N24+N21</f>
        <v>3984103.2</v>
      </c>
      <c r="O25" s="157"/>
      <c r="P25" s="158">
        <f>P24+P21</f>
        <v>73.26</v>
      </c>
      <c r="R25" s="162">
        <f>R24+R21</f>
        <v>8848456.88</v>
      </c>
      <c r="S25" s="162">
        <f>S24+S21</f>
        <v>-4753442.16</v>
      </c>
      <c r="T25" s="162">
        <f>T21+T24</f>
        <v>4095014.72</v>
      </c>
      <c r="U25" s="162">
        <f>U24+U21</f>
        <v>73.26</v>
      </c>
    </row>
    <row r="27" spans="1:14" ht="15.75" customHeight="1">
      <c r="A27" s="8" t="s">
        <v>156</v>
      </c>
      <c r="N27" s="152"/>
    </row>
    <row r="28" spans="1:21" ht="15.75" customHeight="1">
      <c r="A28">
        <v>202000</v>
      </c>
      <c r="B28" t="s">
        <v>157</v>
      </c>
      <c r="D28" s="148">
        <v>91317342.67</v>
      </c>
      <c r="E28" s="148">
        <v>-52608254.33</v>
      </c>
      <c r="F28" s="149">
        <f>D28+E28</f>
        <v>38709088.34</v>
      </c>
      <c r="G28" s="149"/>
      <c r="H28" s="150">
        <v>537338.81</v>
      </c>
      <c r="I28" s="150"/>
      <c r="J28" s="150">
        <v>621962.67</v>
      </c>
      <c r="K28" s="151"/>
      <c r="L28" s="160">
        <f>N28-M28</f>
        <v>94245342.67</v>
      </c>
      <c r="M28" s="148">
        <v>-56781054.33</v>
      </c>
      <c r="N28" s="148">
        <v>37464288.34</v>
      </c>
      <c r="O28" s="149"/>
      <c r="P28" s="149">
        <v>0</v>
      </c>
      <c r="R28" s="148">
        <f>91317342.67-100</f>
        <v>91317242.67</v>
      </c>
      <c r="S28" s="148">
        <f>-52608254.33-1373104.27+92.1</f>
        <v>-53981266.5</v>
      </c>
      <c r="T28" s="149">
        <f>R28+S28</f>
        <v>37335976.17</v>
      </c>
      <c r="U28" s="150">
        <v>621962.67</v>
      </c>
    </row>
    <row r="29" spans="2:21" ht="15.75" customHeight="1">
      <c r="B29" s="143" t="s">
        <v>144</v>
      </c>
      <c r="C29" s="144"/>
      <c r="D29" s="160">
        <f>SUM(D28)</f>
        <v>91317342.67</v>
      </c>
      <c r="E29" s="160">
        <f>SUM(E28)</f>
        <v>-52608254.33</v>
      </c>
      <c r="F29" s="160">
        <f>SUM(F28)</f>
        <v>38709088.34</v>
      </c>
      <c r="G29" s="160"/>
      <c r="H29" s="160">
        <f>SUM(H28)</f>
        <v>537338.81</v>
      </c>
      <c r="I29" s="160"/>
      <c r="J29" s="160">
        <f>SUM(J28)</f>
        <v>621962.67</v>
      </c>
      <c r="K29" s="161"/>
      <c r="L29" s="160">
        <f>SUM(L28)</f>
        <v>94245342.67</v>
      </c>
      <c r="M29" s="160">
        <f>SUM(M28)</f>
        <v>-56781054.33</v>
      </c>
      <c r="N29" s="160">
        <f>SUM(N28)</f>
        <v>37464288.34</v>
      </c>
      <c r="O29" s="149"/>
      <c r="P29" s="149">
        <f>SUM(P28)</f>
        <v>0</v>
      </c>
      <c r="R29" s="160">
        <f>SUM(R28)</f>
        <v>91317242.67</v>
      </c>
      <c r="S29" s="160">
        <f>SUM(S28)</f>
        <v>-53981266.5</v>
      </c>
      <c r="T29" s="160">
        <f>SUM(T28)</f>
        <v>37335976.17</v>
      </c>
      <c r="U29" s="160">
        <f>SUM(U28)</f>
        <v>621962.67</v>
      </c>
    </row>
    <row r="30" spans="2:21" ht="15.75" customHeight="1">
      <c r="B30" s="143"/>
      <c r="C30" s="144"/>
      <c r="D30" s="152"/>
      <c r="E30" s="152"/>
      <c r="F30" s="152"/>
      <c r="G30" s="152"/>
      <c r="H30" s="152"/>
      <c r="I30" s="152"/>
      <c r="J30" s="152"/>
      <c r="K30" s="152"/>
      <c r="L30" s="152"/>
      <c r="M30" s="152"/>
      <c r="N30" s="152"/>
      <c r="O30" s="152"/>
      <c r="P30" s="152"/>
      <c r="R30" s="160"/>
      <c r="S30" s="160"/>
      <c r="T30" s="160"/>
      <c r="U30" s="160"/>
    </row>
    <row r="31" spans="2:21" ht="15.75" customHeight="1">
      <c r="B31" s="143" t="s">
        <v>133</v>
      </c>
      <c r="C31" s="144"/>
      <c r="D31" s="164">
        <v>121</v>
      </c>
      <c r="E31" s="164">
        <v>122</v>
      </c>
      <c r="F31" s="160"/>
      <c r="G31" s="2" t="s">
        <v>662</v>
      </c>
      <c r="H31" s="2">
        <v>107</v>
      </c>
      <c r="I31" s="2"/>
      <c r="J31" s="2">
        <v>107</v>
      </c>
      <c r="K31" s="161"/>
      <c r="L31" s="164">
        <v>121</v>
      </c>
      <c r="M31" s="164">
        <v>122</v>
      </c>
      <c r="N31" s="160"/>
      <c r="O31" s="2" t="s">
        <v>662</v>
      </c>
      <c r="P31" s="2">
        <v>107</v>
      </c>
      <c r="R31" s="164">
        <v>121</v>
      </c>
      <c r="S31" s="164">
        <v>122</v>
      </c>
      <c r="T31" s="2" t="s">
        <v>662</v>
      </c>
      <c r="U31" s="2">
        <v>107</v>
      </c>
    </row>
    <row r="32" spans="2:21" ht="15.75" customHeight="1">
      <c r="B32" s="143"/>
      <c r="C32" s="144"/>
      <c r="D32" s="147" t="s">
        <v>135</v>
      </c>
      <c r="E32" s="147" t="s">
        <v>136</v>
      </c>
      <c r="F32" s="147" t="s">
        <v>137</v>
      </c>
      <c r="G32" s="147">
        <v>106</v>
      </c>
      <c r="H32" s="147" t="s">
        <v>138</v>
      </c>
      <c r="I32" s="145"/>
      <c r="J32" s="147" t="s">
        <v>138</v>
      </c>
      <c r="K32" s="146"/>
      <c r="L32" s="147" t="s">
        <v>135</v>
      </c>
      <c r="M32" s="147" t="s">
        <v>136</v>
      </c>
      <c r="N32" s="147" t="s">
        <v>137</v>
      </c>
      <c r="O32" s="147">
        <v>106</v>
      </c>
      <c r="P32" s="147" t="s">
        <v>138</v>
      </c>
      <c r="R32" s="147" t="s">
        <v>135</v>
      </c>
      <c r="S32" s="147" t="s">
        <v>136</v>
      </c>
      <c r="T32" s="147">
        <v>106</v>
      </c>
      <c r="U32" s="147" t="s">
        <v>138</v>
      </c>
    </row>
    <row r="33" spans="1:21" ht="15.75" customHeight="1">
      <c r="A33" s="8" t="s">
        <v>158</v>
      </c>
      <c r="B33" s="143"/>
      <c r="C33" s="144"/>
      <c r="D33" s="152"/>
      <c r="E33" s="152"/>
      <c r="F33" s="152"/>
      <c r="G33" s="152"/>
      <c r="H33" s="152"/>
      <c r="I33" s="152"/>
      <c r="J33" s="152"/>
      <c r="K33" s="159"/>
      <c r="L33" s="152"/>
      <c r="M33" s="152"/>
      <c r="N33" s="152"/>
      <c r="R33" s="152"/>
      <c r="S33" s="152"/>
      <c r="T33" s="152"/>
      <c r="U33" s="152"/>
    </row>
    <row r="34" spans="1:21" ht="15.75" customHeight="1">
      <c r="A34">
        <v>203000</v>
      </c>
      <c r="B34" t="s">
        <v>159</v>
      </c>
      <c r="D34" s="148">
        <v>60939527.23</v>
      </c>
      <c r="E34" s="148">
        <v>-28570829.13</v>
      </c>
      <c r="F34" s="149">
        <f>D34+E34</f>
        <v>32368698.099999998</v>
      </c>
      <c r="G34" s="149"/>
      <c r="H34" s="149">
        <v>593900.86</v>
      </c>
      <c r="I34" s="149"/>
      <c r="J34" s="149">
        <v>687432.51</v>
      </c>
      <c r="K34" s="151"/>
      <c r="L34" s="160">
        <f>N34-M34</f>
        <v>64306527.230000004</v>
      </c>
      <c r="M34" s="148">
        <v>-32882729.13</v>
      </c>
      <c r="N34" s="148">
        <v>31423798.1</v>
      </c>
      <c r="O34" s="149"/>
      <c r="P34" s="149">
        <v>0</v>
      </c>
      <c r="R34" s="148">
        <f>60939527.23</f>
        <v>60939527.23</v>
      </c>
      <c r="S34" s="148">
        <f>-28570829.13-1463408.14</f>
        <v>-30034237.27</v>
      </c>
      <c r="T34" s="149">
        <f>R34+S34</f>
        <v>30905289.959999997</v>
      </c>
      <c r="U34" s="149">
        <v>687432.51</v>
      </c>
    </row>
    <row r="35" spans="1:21" ht="15.75" customHeight="1">
      <c r="A35">
        <v>203100</v>
      </c>
      <c r="B35" t="s">
        <v>160</v>
      </c>
      <c r="D35" s="148">
        <v>6448412.21</v>
      </c>
      <c r="E35" s="148">
        <v>-3891236.57</v>
      </c>
      <c r="F35" s="149">
        <f>D35+E35</f>
        <v>2557175.64</v>
      </c>
      <c r="G35" s="149"/>
      <c r="H35" s="149">
        <v>0</v>
      </c>
      <c r="I35" s="149"/>
      <c r="J35" s="149">
        <v>0</v>
      </c>
      <c r="K35" s="151"/>
      <c r="L35" s="160">
        <f>N35-M35</f>
        <v>6448412.21</v>
      </c>
      <c r="M35" s="148">
        <v>-4406236.57</v>
      </c>
      <c r="N35" s="149">
        <v>2042175.64</v>
      </c>
      <c r="O35" s="149"/>
      <c r="P35" s="149">
        <v>0</v>
      </c>
      <c r="R35" s="148">
        <f>6448412.21</f>
        <v>6448412.21</v>
      </c>
      <c r="S35" s="148">
        <f>-3891236.57-155248.58</f>
        <v>-4046485.15</v>
      </c>
      <c r="T35" s="149">
        <f>R35+S35</f>
        <v>2401927.06</v>
      </c>
      <c r="U35" s="149">
        <v>0</v>
      </c>
    </row>
    <row r="36" spans="1:21" ht="15.75" customHeight="1">
      <c r="A36">
        <v>203200</v>
      </c>
      <c r="B36" t="s">
        <v>161</v>
      </c>
      <c r="D36" s="148">
        <v>2561474.43</v>
      </c>
      <c r="E36" s="148">
        <v>-1022565.62</v>
      </c>
      <c r="F36" s="149">
        <f>D36+E36</f>
        <v>1538908.81</v>
      </c>
      <c r="G36" s="149"/>
      <c r="H36" s="149">
        <v>0</v>
      </c>
      <c r="I36" s="149"/>
      <c r="J36" s="149">
        <v>0</v>
      </c>
      <c r="K36" s="151"/>
      <c r="L36" s="160">
        <f>N36-M36</f>
        <v>2561474.43</v>
      </c>
      <c r="M36" s="148">
        <v>-1150565.62</v>
      </c>
      <c r="N36" s="149">
        <v>1410908.81</v>
      </c>
      <c r="O36" s="149"/>
      <c r="P36" s="149">
        <v>0</v>
      </c>
      <c r="R36" s="148">
        <f>2561474.43</f>
        <v>2561474.43</v>
      </c>
      <c r="S36" s="148">
        <f>-1022565.62-42691.24</f>
        <v>-1065256.86</v>
      </c>
      <c r="T36" s="149">
        <f>R36+S36</f>
        <v>1496217.57</v>
      </c>
      <c r="U36" s="149">
        <v>0</v>
      </c>
    </row>
    <row r="37" spans="2:21" ht="15.75" customHeight="1">
      <c r="B37" s="143" t="s">
        <v>144</v>
      </c>
      <c r="C37" s="144"/>
      <c r="D37" s="149">
        <f>SUM(D34:D36)</f>
        <v>69949413.87</v>
      </c>
      <c r="E37" s="149">
        <f>SUM(E34:E36)</f>
        <v>-33484631.32</v>
      </c>
      <c r="F37" s="149">
        <f>SUM(F34:F36)</f>
        <v>36464782.55</v>
      </c>
      <c r="G37" s="149"/>
      <c r="H37" s="149">
        <f>SUM(H34:H36)</f>
        <v>593900.86</v>
      </c>
      <c r="I37" s="149"/>
      <c r="J37" s="149">
        <f>SUM(J34:J36)</f>
        <v>687432.51</v>
      </c>
      <c r="K37" s="151"/>
      <c r="L37" s="149">
        <f>SUM(L34:L36)</f>
        <v>73316413.87</v>
      </c>
      <c r="M37" s="149">
        <f>SUM(M34:M36)</f>
        <v>-38439531.32</v>
      </c>
      <c r="N37" s="149">
        <f>SUM(N34:N36)</f>
        <v>34876882.550000004</v>
      </c>
      <c r="P37" s="152">
        <f>SUM(P34:P36)</f>
        <v>0</v>
      </c>
      <c r="R37" s="149">
        <f>SUM(R34:R36)</f>
        <v>69949413.87</v>
      </c>
      <c r="S37" s="149">
        <f>SUM(S34:S36)</f>
        <v>-35145979.28</v>
      </c>
      <c r="T37" s="149">
        <f>SUM(T34:T36)</f>
        <v>34803434.589999996</v>
      </c>
      <c r="U37" s="149">
        <f>SUM(U34:U36)</f>
        <v>687432.51</v>
      </c>
    </row>
    <row r="38" spans="2:21" ht="15.75" customHeight="1">
      <c r="B38" s="143"/>
      <c r="C38" s="144"/>
      <c r="D38" s="149"/>
      <c r="E38" s="149"/>
      <c r="F38" s="149"/>
      <c r="G38" s="149"/>
      <c r="H38" s="149"/>
      <c r="I38" s="149"/>
      <c r="J38" s="149"/>
      <c r="K38" s="151"/>
      <c r="L38" s="149"/>
      <c r="M38" s="149"/>
      <c r="N38" s="149"/>
      <c r="P38" s="152"/>
      <c r="R38" s="149"/>
      <c r="S38" s="149"/>
      <c r="T38" s="149"/>
      <c r="U38" s="149"/>
    </row>
    <row r="39" spans="2:21" ht="15.75" customHeight="1">
      <c r="B39" s="153" t="s">
        <v>163</v>
      </c>
      <c r="C39" s="154"/>
      <c r="D39" s="162">
        <f>D29+D37</f>
        <v>161266756.54000002</v>
      </c>
      <c r="E39" s="162">
        <f>E29+E37</f>
        <v>-86092885.65</v>
      </c>
      <c r="F39" s="162">
        <f>F29+F37</f>
        <v>75173870.89</v>
      </c>
      <c r="G39" s="162"/>
      <c r="H39" s="162">
        <f>H29+H37</f>
        <v>1131239.67</v>
      </c>
      <c r="I39" s="163"/>
      <c r="J39" s="162">
        <f>J37+J29</f>
        <v>1309395.1800000002</v>
      </c>
      <c r="K39" s="163"/>
      <c r="L39" s="162">
        <f>L29+L37</f>
        <v>167561756.54000002</v>
      </c>
      <c r="M39" s="162">
        <f>M29+M37</f>
        <v>-95220585.65</v>
      </c>
      <c r="N39" s="162">
        <f>N29+N37</f>
        <v>72341170.89000002</v>
      </c>
      <c r="O39" s="157"/>
      <c r="P39" s="158">
        <f>P37+P29</f>
        <v>0</v>
      </c>
      <c r="R39" s="162">
        <f>R29+R37</f>
        <v>161266656.54000002</v>
      </c>
      <c r="S39" s="162">
        <f>S29+S37</f>
        <v>-89127245.78</v>
      </c>
      <c r="T39" s="162">
        <f>T29+T37</f>
        <v>72139410.75999999</v>
      </c>
      <c r="U39" s="162">
        <f>U37+U29</f>
        <v>1309395.1800000002</v>
      </c>
    </row>
    <row r="40" spans="4:16" ht="23.25" customHeight="1">
      <c r="D40" s="152"/>
      <c r="E40" s="152"/>
      <c r="F40" s="152"/>
      <c r="G40" s="152"/>
      <c r="H40" s="152"/>
      <c r="I40" s="152"/>
      <c r="J40" s="152"/>
      <c r="K40" s="152"/>
      <c r="L40" s="152"/>
      <c r="M40" s="152"/>
      <c r="N40" s="152"/>
      <c r="O40" s="152"/>
      <c r="P40" s="152"/>
    </row>
    <row r="41" spans="1:21" ht="22.5" customHeight="1">
      <c r="A41" s="165"/>
      <c r="B41" s="166" t="s">
        <v>164</v>
      </c>
      <c r="C41" s="29"/>
      <c r="D41" s="162">
        <f>D39+D16</f>
        <v>339261070.82000005</v>
      </c>
      <c r="E41" s="162">
        <f>E39+E16</f>
        <v>-197134420.1</v>
      </c>
      <c r="F41" s="162">
        <f>F39+F16</f>
        <v>142126650.72</v>
      </c>
      <c r="G41" s="162"/>
      <c r="H41" s="162">
        <f>H39+H16</f>
        <v>1599753.8399999999</v>
      </c>
      <c r="I41" s="163"/>
      <c r="J41" s="162">
        <f>J39+J16</f>
        <v>1710874.1</v>
      </c>
      <c r="K41" s="163"/>
      <c r="L41" s="162">
        <f>L39+L16</f>
        <v>346802066.85</v>
      </c>
      <c r="M41" s="162">
        <f>M39+M16</f>
        <v>-210235343.59</v>
      </c>
      <c r="N41" s="162">
        <f>N39+N16</f>
        <v>136566723.26000002</v>
      </c>
      <c r="O41" s="167"/>
      <c r="P41" s="168">
        <f>P39+P16</f>
        <v>884670.1699999999</v>
      </c>
      <c r="R41" s="162">
        <f>R39+R16</f>
        <v>339302916.58000004</v>
      </c>
      <c r="S41" s="162">
        <f>S39+S16</f>
        <v>-201313991.57999998</v>
      </c>
      <c r="T41" s="162">
        <f>T39+T16</f>
        <v>134341054.51</v>
      </c>
      <c r="U41" s="162">
        <f>U39+U16</f>
        <v>1710874.1</v>
      </c>
    </row>
    <row r="42" spans="4:16" ht="15.75" customHeight="1">
      <c r="D42" s="152"/>
      <c r="E42" s="152"/>
      <c r="F42" s="152"/>
      <c r="G42" s="152"/>
      <c r="H42" s="152"/>
      <c r="I42" s="152"/>
      <c r="J42" s="152"/>
      <c r="K42" s="152"/>
      <c r="L42" s="152"/>
      <c r="M42" s="152"/>
      <c r="N42" s="152"/>
      <c r="O42" s="152"/>
      <c r="P42" s="152"/>
    </row>
    <row r="44" spans="1:13" ht="15.75" customHeight="1">
      <c r="A44" s="8" t="s">
        <v>140</v>
      </c>
      <c r="D44" s="256">
        <v>36160</v>
      </c>
      <c r="E44" s="256">
        <v>36160</v>
      </c>
      <c r="F44" s="256" t="s">
        <v>739</v>
      </c>
      <c r="G44" s="256">
        <v>36280</v>
      </c>
      <c r="J44" s="654"/>
      <c r="K44" s="654"/>
      <c r="L44" s="722"/>
      <c r="M44" s="542"/>
    </row>
    <row r="45" spans="1:13" ht="15.75" customHeight="1">
      <c r="A45" s="8" t="s">
        <v>663</v>
      </c>
      <c r="D45" s="147" t="s">
        <v>664</v>
      </c>
      <c r="E45" s="147" t="s">
        <v>665</v>
      </c>
      <c r="F45" s="147" t="s">
        <v>666</v>
      </c>
      <c r="G45" s="147" t="s">
        <v>725</v>
      </c>
      <c r="J45" s="654"/>
      <c r="K45" s="654"/>
      <c r="L45" s="654"/>
      <c r="M45" s="169"/>
    </row>
    <row r="46" spans="1:21" ht="15.75" customHeight="1">
      <c r="A46">
        <v>15987</v>
      </c>
      <c r="B46" t="s">
        <v>667</v>
      </c>
      <c r="D46" s="150">
        <v>76596.34</v>
      </c>
      <c r="E46" s="150">
        <f>D46*0.475</f>
        <v>36383.26149999999</v>
      </c>
      <c r="F46" s="150">
        <v>0</v>
      </c>
      <c r="G46" s="152">
        <f>E46+F46</f>
        <v>36383.26149999999</v>
      </c>
      <c r="J46" s="57"/>
      <c r="L46" s="29"/>
      <c r="M46" s="655"/>
      <c r="R46" s="718" t="s">
        <v>723</v>
      </c>
      <c r="S46" s="718">
        <v>36311</v>
      </c>
      <c r="T46" s="718" t="s">
        <v>724</v>
      </c>
      <c r="U46" s="256">
        <v>36341</v>
      </c>
    </row>
    <row r="47" spans="1:21" ht="15.75" customHeight="1">
      <c r="A47">
        <v>47593</v>
      </c>
      <c r="B47" t="s">
        <v>668</v>
      </c>
      <c r="D47" s="150">
        <v>1743453.09</v>
      </c>
      <c r="E47" s="150">
        <f>D47*0.475</f>
        <v>828140.21775</v>
      </c>
      <c r="F47" s="150">
        <v>179594.53</v>
      </c>
      <c r="G47" s="152">
        <f>E47+F47</f>
        <v>1007734.74775</v>
      </c>
      <c r="R47" s="147" t="s">
        <v>664</v>
      </c>
      <c r="S47" s="147" t="s">
        <v>725</v>
      </c>
      <c r="T47" s="147" t="s">
        <v>664</v>
      </c>
      <c r="U47" s="147" t="s">
        <v>725</v>
      </c>
    </row>
    <row r="48" spans="1:21" ht="15.75" customHeight="1">
      <c r="A48">
        <v>47688</v>
      </c>
      <c r="B48" t="s">
        <v>669</v>
      </c>
      <c r="D48" s="150">
        <v>422449.93</v>
      </c>
      <c r="E48" s="150">
        <f>D48*0.475</f>
        <v>200663.71675</v>
      </c>
      <c r="F48" s="150">
        <v>0</v>
      </c>
      <c r="G48" s="152">
        <f>E48+F48</f>
        <v>200663.71675</v>
      </c>
      <c r="R48" s="719">
        <v>0</v>
      </c>
      <c r="S48" s="719">
        <f>N48+R48</f>
        <v>0</v>
      </c>
      <c r="T48" s="719">
        <v>0</v>
      </c>
      <c r="U48" s="159">
        <f>N48+T48</f>
        <v>0</v>
      </c>
    </row>
    <row r="49" spans="2:21" ht="15.75" customHeight="1">
      <c r="B49" s="153" t="s">
        <v>670</v>
      </c>
      <c r="D49" s="162">
        <f>SUM(D46:D48)</f>
        <v>2242499.3600000003</v>
      </c>
      <c r="E49" s="162">
        <f>SUM(E46:E48)</f>
        <v>1065187.196</v>
      </c>
      <c r="F49" s="162">
        <f>SUM(F46:F48)</f>
        <v>179594.53</v>
      </c>
      <c r="G49" s="162">
        <f>SUM(G46:G48)</f>
        <v>1244781.726</v>
      </c>
      <c r="R49" s="719">
        <v>195440.77</v>
      </c>
      <c r="S49" s="719">
        <f>N49+R49</f>
        <v>195440.77</v>
      </c>
      <c r="T49" s="719">
        <v>227631.32</v>
      </c>
      <c r="U49" s="159">
        <f>N49+T49</f>
        <v>227631.32</v>
      </c>
    </row>
    <row r="50" spans="10:21" ht="15.75" customHeight="1">
      <c r="J50" s="161" t="s">
        <v>36</v>
      </c>
      <c r="K50" s="161"/>
      <c r="L50" s="160">
        <f>L10-D10+L15-D15</f>
        <v>1245996.0300000014</v>
      </c>
      <c r="M50" s="152">
        <f>P16-J16</f>
        <v>483191.2499999999</v>
      </c>
      <c r="N50" s="152">
        <f>L50+M50</f>
        <v>1729187.2800000012</v>
      </c>
      <c r="R50" s="719">
        <v>2.82</v>
      </c>
      <c r="S50" s="719">
        <f>N50+R50</f>
        <v>1729190.1000000013</v>
      </c>
      <c r="T50" s="719">
        <v>0</v>
      </c>
      <c r="U50" s="159">
        <f>N50+T50</f>
        <v>1729187.2800000012</v>
      </c>
    </row>
    <row r="51" spans="4:21" ht="15.75" customHeight="1">
      <c r="D51" s="256"/>
      <c r="E51" s="256"/>
      <c r="F51" s="256"/>
      <c r="G51" s="256"/>
      <c r="J51" t="s">
        <v>37</v>
      </c>
      <c r="K51"/>
      <c r="L51" s="568">
        <f>L39-D39</f>
        <v>6295000</v>
      </c>
      <c r="M51" s="169">
        <f>P39-J39</f>
        <v>-1309395.1800000002</v>
      </c>
      <c r="N51" s="152">
        <f>L51+M51</f>
        <v>4985604.82</v>
      </c>
      <c r="R51" s="720">
        <f>SUM(R48:R50)</f>
        <v>195443.59</v>
      </c>
      <c r="S51" s="720">
        <f>SUM(S48:S50)</f>
        <v>1924630.8700000013</v>
      </c>
      <c r="T51" s="720">
        <f>SUM(T48:T50)</f>
        <v>227631.32</v>
      </c>
      <c r="U51" s="162">
        <f>SUM(U48:U50)</f>
        <v>1956818.6000000013</v>
      </c>
    </row>
    <row r="52" spans="4:13" ht="15.75" customHeight="1">
      <c r="D52" s="256"/>
      <c r="E52" s="256"/>
      <c r="F52" s="256"/>
      <c r="G52" s="256"/>
      <c r="K52"/>
      <c r="L52" s="152">
        <f>SUM(L50:L51)</f>
        <v>7540996.030000001</v>
      </c>
      <c r="M52" s="152">
        <f>SUM(M50:M51)</f>
        <v>-826203.9300000003</v>
      </c>
    </row>
    <row r="53" spans="4:15" ht="15.75" customHeight="1">
      <c r="D53" s="256"/>
      <c r="E53" s="256"/>
      <c r="F53" s="256"/>
      <c r="G53" s="256"/>
      <c r="K53"/>
      <c r="O53" s="152">
        <f>J48+O48</f>
        <v>0</v>
      </c>
    </row>
    <row r="54" spans="4:15" ht="15.75" customHeight="1">
      <c r="D54" s="256"/>
      <c r="E54" s="256"/>
      <c r="F54" s="256"/>
      <c r="G54" s="256"/>
      <c r="K54"/>
      <c r="L54" s="152">
        <f>O54+L52</f>
        <v>7540996.030000001</v>
      </c>
      <c r="M54" s="169">
        <f>P41-J41</f>
        <v>-826203.9300000002</v>
      </c>
      <c r="O54" s="152">
        <f>H53-O53</f>
        <v>0</v>
      </c>
    </row>
    <row r="55" spans="4:7" ht="15.75" customHeight="1">
      <c r="D55" s="256"/>
      <c r="E55" s="256"/>
      <c r="F55" s="256"/>
      <c r="G55" s="256"/>
    </row>
    <row r="56" spans="4:7" ht="15.75" customHeight="1">
      <c r="D56" s="256"/>
      <c r="E56" s="256"/>
      <c r="F56" s="256"/>
      <c r="G56" s="256"/>
    </row>
    <row r="57" spans="4:7" ht="15.75" customHeight="1">
      <c r="D57" s="256"/>
      <c r="E57" s="256"/>
      <c r="F57" s="256"/>
      <c r="G57" s="256"/>
    </row>
    <row r="59" spans="11:13" ht="15.75" customHeight="1">
      <c r="K59"/>
      <c r="M59" s="57"/>
    </row>
    <row r="60" spans="11:13" ht="15.75" customHeight="1">
      <c r="K60"/>
      <c r="M60" s="57"/>
    </row>
    <row r="61" spans="11:13" ht="15.75" customHeight="1">
      <c r="K61"/>
      <c r="M61" s="57"/>
    </row>
    <row r="62" spans="11:13" ht="15.75" customHeight="1">
      <c r="K62"/>
      <c r="M62" s="57"/>
    </row>
    <row r="63" spans="11:13" ht="15.75" customHeight="1">
      <c r="K63"/>
      <c r="M63" s="57"/>
    </row>
    <row r="64" spans="11:13" ht="15.75" customHeight="1">
      <c r="K64"/>
      <c r="M64" s="57"/>
    </row>
    <row r="65" spans="11:13" ht="15.75" customHeight="1">
      <c r="K65"/>
      <c r="M65" s="57"/>
    </row>
    <row r="66" spans="11:13" ht="15.75" customHeight="1">
      <c r="K66"/>
      <c r="M66" s="57"/>
    </row>
    <row r="67" spans="11:13" ht="15.75" customHeight="1">
      <c r="K67"/>
      <c r="M67" s="57"/>
    </row>
    <row r="68" spans="11:13" ht="15.75" customHeight="1">
      <c r="K68"/>
      <c r="M68" s="57"/>
    </row>
    <row r="69" spans="11:13" ht="15.75" customHeight="1">
      <c r="K69"/>
      <c r="M69" s="57"/>
    </row>
    <row r="70" spans="11:13" ht="15.75" customHeight="1">
      <c r="K70"/>
      <c r="M70" s="57"/>
    </row>
    <row r="71" spans="11:13" ht="15.75" customHeight="1">
      <c r="K71"/>
      <c r="M71" s="57"/>
    </row>
    <row r="72" spans="11:13" ht="15.75" customHeight="1">
      <c r="K72"/>
      <c r="M72" s="57"/>
    </row>
    <row r="73" spans="11:13" ht="15.75" customHeight="1">
      <c r="K73"/>
      <c r="M73" s="57"/>
    </row>
    <row r="74" spans="11:13" ht="15.75" customHeight="1">
      <c r="K74"/>
      <c r="M74" s="57"/>
    </row>
    <row r="75" spans="11:13" ht="15.75" customHeight="1">
      <c r="K75"/>
      <c r="M75" s="57"/>
    </row>
    <row r="76" spans="11:13" ht="15.75" customHeight="1">
      <c r="K76"/>
      <c r="M76" s="57"/>
    </row>
    <row r="77" spans="11:13" ht="15.75" customHeight="1">
      <c r="K77"/>
      <c r="M77" s="57"/>
    </row>
    <row r="78" spans="11:13" ht="15.75" customHeight="1">
      <c r="K78"/>
      <c r="M78" s="57"/>
    </row>
    <row r="79" spans="11:13" ht="15.75" customHeight="1">
      <c r="K79"/>
      <c r="M79" s="57"/>
    </row>
    <row r="80" spans="11:13" ht="15.75" customHeight="1">
      <c r="K80"/>
      <c r="M80" s="57"/>
    </row>
    <row r="81" spans="11:13" ht="15.75" customHeight="1">
      <c r="K81"/>
      <c r="M81" s="57"/>
    </row>
    <row r="82" spans="11:13" ht="15.75" customHeight="1">
      <c r="K82"/>
      <c r="M82" s="57"/>
    </row>
    <row r="83" spans="11:13" ht="15.75" customHeight="1">
      <c r="K83"/>
      <c r="M83" s="57"/>
    </row>
    <row r="84" spans="11:13" ht="15.75" customHeight="1">
      <c r="K84"/>
      <c r="M84" s="57"/>
    </row>
    <row r="85" spans="11:13" ht="15.75" customHeight="1">
      <c r="K85"/>
      <c r="M85" s="57"/>
    </row>
    <row r="86" spans="11:13" ht="15.75" customHeight="1">
      <c r="K86"/>
      <c r="M86" s="57"/>
    </row>
    <row r="87" spans="11:13" ht="15.75" customHeight="1">
      <c r="K87"/>
      <c r="M87" s="57"/>
    </row>
    <row r="88" spans="11:13" ht="15.75" customHeight="1">
      <c r="K88"/>
      <c r="M88" s="57"/>
    </row>
    <row r="89" spans="11:13" ht="15.75" customHeight="1">
      <c r="K89"/>
      <c r="M89" s="57"/>
    </row>
    <row r="90" spans="11:13" ht="15.75" customHeight="1">
      <c r="K90"/>
      <c r="M90" s="57"/>
    </row>
    <row r="91" spans="11:13" ht="15.75" customHeight="1">
      <c r="K91"/>
      <c r="M91" s="57"/>
    </row>
    <row r="92" spans="11:13" ht="15.75" customHeight="1">
      <c r="K92"/>
      <c r="M92" s="57"/>
    </row>
    <row r="93" spans="11:13" ht="15.75" customHeight="1">
      <c r="K93"/>
      <c r="M93" s="57"/>
    </row>
    <row r="94" spans="11:13" ht="15.75" customHeight="1">
      <c r="K94"/>
      <c r="M94" s="57"/>
    </row>
    <row r="95" spans="11:13" ht="15.75" customHeight="1">
      <c r="K95"/>
      <c r="M95" s="57"/>
    </row>
    <row r="96" spans="11:13" ht="15.75" customHeight="1">
      <c r="K96"/>
      <c r="M96" s="57"/>
    </row>
    <row r="97" spans="11:13" ht="15.75" customHeight="1">
      <c r="K97"/>
      <c r="M97" s="57"/>
    </row>
    <row r="98" spans="11:13" ht="15.75" customHeight="1">
      <c r="K98"/>
      <c r="M98" s="57"/>
    </row>
    <row r="99" spans="11:13" ht="15.75" customHeight="1">
      <c r="K99"/>
      <c r="M99" s="57"/>
    </row>
    <row r="100" spans="11:13" ht="15.75" customHeight="1">
      <c r="K100"/>
      <c r="M100" s="57"/>
    </row>
    <row r="101" spans="11:13" ht="15.75" customHeight="1">
      <c r="K101"/>
      <c r="M101" s="57"/>
    </row>
    <row r="102" spans="11:13" ht="15.75" customHeight="1">
      <c r="K102"/>
      <c r="M102" s="57"/>
    </row>
    <row r="103" spans="11:13" ht="15.75" customHeight="1">
      <c r="K103"/>
      <c r="M103" s="57"/>
    </row>
    <row r="104" spans="11:13" ht="15.75" customHeight="1">
      <c r="K104"/>
      <c r="M104" s="57"/>
    </row>
    <row r="105" spans="11:13" ht="15.75" customHeight="1">
      <c r="K105"/>
      <c r="M105" s="57"/>
    </row>
    <row r="106" spans="11:13" ht="15.75" customHeight="1">
      <c r="K106"/>
      <c r="M106" s="57"/>
    </row>
    <row r="107" spans="11:13" ht="15.75" customHeight="1">
      <c r="K107"/>
      <c r="M107" s="57"/>
    </row>
    <row r="108" spans="11:13" ht="15.75" customHeight="1">
      <c r="K108"/>
      <c r="M108" s="57"/>
    </row>
    <row r="109" spans="11:13" ht="15.75" customHeight="1">
      <c r="K109"/>
      <c r="M109" s="57"/>
    </row>
    <row r="110" spans="11:13" ht="15.75" customHeight="1">
      <c r="K110"/>
      <c r="M110" s="57"/>
    </row>
    <row r="111" spans="11:13" ht="15.75" customHeight="1">
      <c r="K111"/>
      <c r="M111" s="57"/>
    </row>
    <row r="112" spans="11:13" ht="15.75" customHeight="1">
      <c r="K112"/>
      <c r="M112" s="57"/>
    </row>
    <row r="113" spans="11:13" ht="15.75" customHeight="1">
      <c r="K113"/>
      <c r="M113" s="57"/>
    </row>
    <row r="114" spans="11:13" ht="15.75" customHeight="1">
      <c r="K114"/>
      <c r="M114" s="57"/>
    </row>
    <row r="115" spans="11:13" ht="15.75" customHeight="1">
      <c r="K115"/>
      <c r="M115" s="57"/>
    </row>
    <row r="116" spans="11:13" ht="15.75" customHeight="1">
      <c r="K116"/>
      <c r="M116" s="57"/>
    </row>
    <row r="117" spans="11:13" ht="15.75" customHeight="1">
      <c r="K117"/>
      <c r="M117" s="57"/>
    </row>
    <row r="118" spans="11:13" ht="15.75" customHeight="1">
      <c r="K118"/>
      <c r="M118" s="57"/>
    </row>
    <row r="119" spans="11:13" ht="15.75" customHeight="1">
      <c r="K119"/>
      <c r="M119" s="57"/>
    </row>
    <row r="120" spans="11:13" ht="15.75" customHeight="1">
      <c r="K120"/>
      <c r="M120" s="57"/>
    </row>
    <row r="121" spans="11:13" ht="15.75" customHeight="1">
      <c r="K121"/>
      <c r="M121" s="57"/>
    </row>
    <row r="122" spans="11:13" ht="15.75" customHeight="1">
      <c r="K122"/>
      <c r="M122" s="57"/>
    </row>
    <row r="123" spans="11:13" ht="15.75" customHeight="1">
      <c r="K123"/>
      <c r="M123" s="57"/>
    </row>
    <row r="124" spans="11:13" ht="15.75" customHeight="1">
      <c r="K124"/>
      <c r="M124" s="57"/>
    </row>
    <row r="125" spans="11:13" ht="15.75" customHeight="1">
      <c r="K125"/>
      <c r="M125" s="57"/>
    </row>
    <row r="126" spans="11:13" ht="15.75" customHeight="1">
      <c r="K126"/>
      <c r="M126" s="57"/>
    </row>
    <row r="127" spans="11:13" ht="15.75" customHeight="1">
      <c r="K127"/>
      <c r="M127" s="57"/>
    </row>
    <row r="128" spans="11:13" ht="15.75" customHeight="1">
      <c r="K128"/>
      <c r="M128" s="57"/>
    </row>
    <row r="129" spans="11:13" ht="15.75" customHeight="1">
      <c r="K129"/>
      <c r="M129" s="57"/>
    </row>
    <row r="130" spans="11:13" ht="15.75" customHeight="1">
      <c r="K130"/>
      <c r="M130" s="57"/>
    </row>
    <row r="131" spans="11:13" ht="15.75" customHeight="1">
      <c r="K131"/>
      <c r="M131" s="57"/>
    </row>
    <row r="132" spans="11:13" ht="15.75" customHeight="1">
      <c r="K132"/>
      <c r="M132" s="57"/>
    </row>
    <row r="133" spans="11:13" ht="15.75" customHeight="1">
      <c r="K133"/>
      <c r="M133" s="57"/>
    </row>
    <row r="134" spans="11:13" ht="15.75" customHeight="1">
      <c r="K134"/>
      <c r="M134" s="57"/>
    </row>
    <row r="135" spans="11:13" ht="15.75" customHeight="1">
      <c r="K135"/>
      <c r="M135" s="57"/>
    </row>
    <row r="136" spans="11:13" ht="15.75" customHeight="1">
      <c r="K136"/>
      <c r="M136" s="57"/>
    </row>
    <row r="137" spans="11:13" ht="15.75" customHeight="1">
      <c r="K137"/>
      <c r="M137" s="57"/>
    </row>
    <row r="138" spans="11:13" ht="15.75" customHeight="1">
      <c r="K138"/>
      <c r="M138" s="57"/>
    </row>
    <row r="139" spans="11:13" ht="15.75" customHeight="1">
      <c r="K139"/>
      <c r="M139" s="57"/>
    </row>
    <row r="140" spans="11:13" ht="15.75" customHeight="1">
      <c r="K140"/>
      <c r="M140" s="57"/>
    </row>
    <row r="141" spans="11:13" ht="15.75" customHeight="1">
      <c r="K141"/>
      <c r="M141" s="57"/>
    </row>
    <row r="142" spans="11:13" ht="15.75" customHeight="1">
      <c r="K142"/>
      <c r="M142" s="57"/>
    </row>
    <row r="143" spans="11:13" ht="15.75" customHeight="1">
      <c r="K143"/>
      <c r="M143" s="57"/>
    </row>
    <row r="144" spans="11:13" ht="15.75" customHeight="1">
      <c r="K144"/>
      <c r="M144" s="57"/>
    </row>
    <row r="145" spans="11:13" ht="15.75" customHeight="1">
      <c r="K145"/>
      <c r="M145" s="57"/>
    </row>
    <row r="146" spans="11:13" ht="15.75" customHeight="1">
      <c r="K146"/>
      <c r="M146" s="57"/>
    </row>
    <row r="147" spans="11:13" ht="15.75" customHeight="1">
      <c r="K147"/>
      <c r="M147" s="57"/>
    </row>
    <row r="148" spans="11:13" ht="15.75" customHeight="1">
      <c r="K148"/>
      <c r="M148" s="57"/>
    </row>
    <row r="149" spans="11:13" ht="15.75" customHeight="1">
      <c r="K149"/>
      <c r="M149" s="57"/>
    </row>
    <row r="150" spans="11:13" ht="15.75" customHeight="1">
      <c r="K150"/>
      <c r="M150" s="57"/>
    </row>
    <row r="151" spans="11:13" ht="15.75" customHeight="1">
      <c r="K151"/>
      <c r="M151" s="57"/>
    </row>
    <row r="152" spans="11:13" ht="15.75" customHeight="1">
      <c r="K152"/>
      <c r="M152" s="57"/>
    </row>
    <row r="153" spans="11:13" ht="15.75" customHeight="1">
      <c r="K153"/>
      <c r="M153" s="57"/>
    </row>
    <row r="154" spans="11:13" ht="15.75" customHeight="1">
      <c r="K154"/>
      <c r="M154" s="57"/>
    </row>
    <row r="155" spans="11:13" ht="15.75" customHeight="1">
      <c r="K155"/>
      <c r="M155" s="57"/>
    </row>
    <row r="156" spans="11:13" ht="15.75" customHeight="1">
      <c r="K156"/>
      <c r="M156" s="57"/>
    </row>
    <row r="157" spans="11:13" ht="15.75" customHeight="1">
      <c r="K157"/>
      <c r="M157" s="57"/>
    </row>
    <row r="158" spans="11:13" ht="15.75" customHeight="1">
      <c r="K158"/>
      <c r="M158" s="57"/>
    </row>
    <row r="159" spans="11:13" ht="15.75" customHeight="1">
      <c r="K159"/>
      <c r="M159" s="57"/>
    </row>
    <row r="160" spans="11:13" ht="15.75" customHeight="1">
      <c r="K160"/>
      <c r="M160" s="57"/>
    </row>
    <row r="161" spans="11:13" ht="15.75" customHeight="1">
      <c r="K161"/>
      <c r="M161" s="57"/>
    </row>
    <row r="162" spans="11:13" ht="15.75" customHeight="1">
      <c r="K162"/>
      <c r="M162" s="57"/>
    </row>
    <row r="163" spans="11:13" ht="15.75" customHeight="1">
      <c r="K163"/>
      <c r="M163" s="57"/>
    </row>
    <row r="164" spans="11:13" ht="15.75" customHeight="1">
      <c r="K164"/>
      <c r="M164" s="57"/>
    </row>
    <row r="165" spans="11:13" ht="15.75" customHeight="1">
      <c r="K165"/>
      <c r="M165" s="57"/>
    </row>
    <row r="166" spans="11:13" ht="15.75" customHeight="1">
      <c r="K166"/>
      <c r="M166" s="57"/>
    </row>
    <row r="167" spans="11:13" ht="15.75" customHeight="1">
      <c r="K167"/>
      <c r="M167" s="57"/>
    </row>
    <row r="168" spans="11:13" ht="15.75" customHeight="1">
      <c r="K168"/>
      <c r="M168" s="57"/>
    </row>
    <row r="169" spans="11:13" ht="15.75" customHeight="1">
      <c r="K169"/>
      <c r="M169" s="57"/>
    </row>
    <row r="170" spans="11:13" ht="15.75" customHeight="1">
      <c r="K170"/>
      <c r="M170" s="57"/>
    </row>
    <row r="171" spans="11:13" ht="15.75" customHeight="1">
      <c r="K171"/>
      <c r="M171" s="57"/>
    </row>
    <row r="172" spans="11:13" ht="15.75" customHeight="1">
      <c r="K172"/>
      <c r="M172" s="57"/>
    </row>
    <row r="173" spans="11:13" ht="15.75" customHeight="1">
      <c r="K173"/>
      <c r="M173" s="57"/>
    </row>
    <row r="174" spans="11:13" ht="15.75" customHeight="1">
      <c r="K174"/>
      <c r="M174" s="57"/>
    </row>
    <row r="175" spans="11:13" ht="15.75" customHeight="1">
      <c r="K175"/>
      <c r="M175" s="57"/>
    </row>
    <row r="176" spans="11:13" ht="15.75" customHeight="1">
      <c r="K176"/>
      <c r="M176" s="57"/>
    </row>
    <row r="177" spans="11:13" ht="15.75" customHeight="1">
      <c r="K177"/>
      <c r="M177" s="57"/>
    </row>
    <row r="178" spans="11:13" ht="15.75" customHeight="1">
      <c r="K178"/>
      <c r="M178" s="57"/>
    </row>
    <row r="179" spans="11:13" ht="15.75" customHeight="1">
      <c r="K179"/>
      <c r="M179" s="57"/>
    </row>
    <row r="180" spans="11:13" ht="15.75" customHeight="1">
      <c r="K180"/>
      <c r="M180" s="57"/>
    </row>
    <row r="181" spans="11:13" ht="15.75" customHeight="1">
      <c r="K181"/>
      <c r="M181" s="57"/>
    </row>
    <row r="182" spans="11:13" ht="15.75" customHeight="1">
      <c r="K182"/>
      <c r="M182" s="57"/>
    </row>
    <row r="183" spans="11:13" ht="15.75" customHeight="1">
      <c r="K183"/>
      <c r="M183" s="57"/>
    </row>
    <row r="184" spans="11:13" ht="15.75" customHeight="1">
      <c r="K184"/>
      <c r="M184" s="57"/>
    </row>
    <row r="185" spans="11:13" ht="15.75" customHeight="1">
      <c r="K185"/>
      <c r="M185" s="57"/>
    </row>
  </sheetData>
  <printOptions/>
  <pageMargins left="0.75" right="0.75" top="1" bottom="1" header="0.5" footer="0.5"/>
  <pageSetup fitToHeight="1" fitToWidth="1" horizontalDpi="600" verticalDpi="600" orientation="landscape" scale="39" r:id="rId1"/>
</worksheet>
</file>

<file path=xl/worksheets/sheet6.xml><?xml version="1.0" encoding="utf-8"?>
<worksheet xmlns="http://schemas.openxmlformats.org/spreadsheetml/2006/main" xmlns:r="http://schemas.openxmlformats.org/officeDocument/2006/relationships">
  <dimension ref="A1:AH126"/>
  <sheetViews>
    <sheetView workbookViewId="0" topLeftCell="A1">
      <selection activeCell="A1" sqref="A1"/>
    </sheetView>
  </sheetViews>
  <sheetFormatPr defaultColWidth="9.140625" defaultRowHeight="12.75"/>
  <cols>
    <col min="2" max="2" width="28.00390625" style="0" customWidth="1"/>
    <col min="3" max="3" width="0.71875" style="0" customWidth="1"/>
    <col min="4" max="4" width="12.8515625" style="0" customWidth="1"/>
    <col min="5" max="5" width="11.421875" style="0" customWidth="1"/>
    <col min="6" max="6" width="11.57421875" style="0" customWidth="1"/>
    <col min="7" max="7" width="11.421875" style="0" customWidth="1"/>
    <col min="8" max="8" width="12.8515625" style="0" customWidth="1"/>
    <col min="9" max="9" width="11.8515625" style="0" customWidth="1"/>
    <col min="10" max="10" width="11.00390625" style="0" customWidth="1"/>
    <col min="28" max="28" width="9.7109375" style="0" customWidth="1"/>
  </cols>
  <sheetData>
    <row r="1" spans="1:10" ht="12.75">
      <c r="A1" s="227" t="s">
        <v>270</v>
      </c>
      <c r="B1" s="227"/>
      <c r="C1" s="227"/>
      <c r="D1" s="227"/>
      <c r="E1" s="227"/>
      <c r="F1" s="227"/>
      <c r="G1" s="227"/>
      <c r="H1" s="227"/>
      <c r="I1" s="227"/>
      <c r="J1" s="227"/>
    </row>
    <row r="2" spans="1:10" ht="12.75">
      <c r="A2" s="227" t="s">
        <v>271</v>
      </c>
      <c r="B2" s="227"/>
      <c r="C2" s="227"/>
      <c r="D2" s="227"/>
      <c r="E2" s="227"/>
      <c r="F2" s="227"/>
      <c r="G2" s="227"/>
      <c r="H2" s="227"/>
      <c r="I2" s="227"/>
      <c r="J2" s="227"/>
    </row>
    <row r="3" spans="1:10" ht="12.75">
      <c r="A3" s="227" t="s">
        <v>272</v>
      </c>
      <c r="B3" s="227"/>
      <c r="C3" s="227"/>
      <c r="D3" s="227"/>
      <c r="E3" s="227"/>
      <c r="F3" s="227"/>
      <c r="G3" s="227"/>
      <c r="H3" s="227"/>
      <c r="I3" s="227"/>
      <c r="J3" s="227"/>
    </row>
    <row r="4" spans="1:10" ht="12.75">
      <c r="A4" s="949"/>
      <c r="B4" s="949"/>
      <c r="C4" s="949"/>
      <c r="D4" s="949"/>
      <c r="E4" s="949"/>
      <c r="F4" s="949"/>
      <c r="G4" s="949"/>
      <c r="H4" s="949"/>
      <c r="I4" s="949"/>
      <c r="J4" s="949"/>
    </row>
    <row r="5" spans="4:10" ht="12.75">
      <c r="D5" s="119"/>
      <c r="E5" s="119"/>
      <c r="F5" s="950" t="s">
        <v>273</v>
      </c>
      <c r="G5" s="950"/>
      <c r="H5" s="950"/>
      <c r="I5" s="243"/>
      <c r="J5" s="119"/>
    </row>
    <row r="6" spans="4:10" ht="12.75">
      <c r="D6" s="119"/>
      <c r="E6" s="119"/>
      <c r="F6" s="244" t="s">
        <v>8</v>
      </c>
      <c r="G6" s="244" t="s">
        <v>8</v>
      </c>
      <c r="H6" s="244" t="s">
        <v>3</v>
      </c>
      <c r="I6" s="244" t="s">
        <v>2</v>
      </c>
      <c r="J6" s="244" t="s">
        <v>274</v>
      </c>
    </row>
    <row r="7" spans="2:10" ht="12.75">
      <c r="B7" s="6" t="s">
        <v>275</v>
      </c>
      <c r="C7" s="412"/>
      <c r="D7" s="7" t="s">
        <v>6</v>
      </c>
      <c r="E7" s="7" t="s">
        <v>7</v>
      </c>
      <c r="F7" s="7" t="s">
        <v>276</v>
      </c>
      <c r="G7" s="7" t="s">
        <v>277</v>
      </c>
      <c r="H7" s="7" t="s">
        <v>8</v>
      </c>
      <c r="I7" s="7" t="s">
        <v>9</v>
      </c>
      <c r="J7" s="7" t="s">
        <v>278</v>
      </c>
    </row>
    <row r="8" spans="4:10" ht="12.75">
      <c r="D8" s="119"/>
      <c r="E8" s="119"/>
      <c r="F8" s="119"/>
      <c r="G8" s="119"/>
      <c r="H8" s="119"/>
      <c r="I8" s="119"/>
      <c r="J8" s="119"/>
    </row>
    <row r="9" spans="1:10" ht="12.75">
      <c r="A9" s="122">
        <v>1</v>
      </c>
      <c r="B9" t="s">
        <v>51</v>
      </c>
      <c r="D9" s="119">
        <v>161629727.67117748</v>
      </c>
      <c r="E9" s="119">
        <f>+D9</f>
        <v>161629727.67117748</v>
      </c>
      <c r="F9" s="119">
        <v>0</v>
      </c>
      <c r="G9" s="119">
        <f>+D9-E9</f>
        <v>0</v>
      </c>
      <c r="H9" s="119">
        <f>+D9-E9</f>
        <v>0</v>
      </c>
      <c r="I9" s="119"/>
      <c r="J9" s="119"/>
    </row>
    <row r="10" spans="1:10" ht="12.75">
      <c r="A10" s="122">
        <f>A9+1</f>
        <v>2</v>
      </c>
      <c r="D10" s="119"/>
      <c r="E10" s="119"/>
      <c r="F10" s="119"/>
      <c r="G10" s="119"/>
      <c r="H10" s="119"/>
      <c r="I10" s="119"/>
      <c r="J10" s="119"/>
    </row>
    <row r="11" spans="1:10" ht="12.75">
      <c r="A11" s="122">
        <f aca="true" t="shared" si="0" ref="A11:A45">A10+1</f>
        <v>3</v>
      </c>
      <c r="B11" t="s">
        <v>22</v>
      </c>
      <c r="D11" s="119"/>
      <c r="E11" s="119"/>
      <c r="F11" s="119"/>
      <c r="G11" s="119"/>
      <c r="H11" s="119"/>
      <c r="I11" s="119"/>
      <c r="J11" s="119"/>
    </row>
    <row r="12" spans="1:10" ht="12.75">
      <c r="A12" s="122">
        <f t="shared" si="0"/>
        <v>4</v>
      </c>
      <c r="B12" t="s">
        <v>140</v>
      </c>
      <c r="C12" s="152"/>
      <c r="D12" s="119">
        <f>'PPW PPE'!N10</f>
        <v>63578232.93</v>
      </c>
      <c r="E12" s="13">
        <f>25696700</f>
        <v>25696700</v>
      </c>
      <c r="F12" s="44">
        <f>+D12-E12</f>
        <v>37881532.93</v>
      </c>
      <c r="G12" s="44"/>
      <c r="H12" s="119">
        <f>+D12-E12</f>
        <v>37881532.93</v>
      </c>
      <c r="I12" s="119">
        <f>+H12*H$34-J12</f>
        <v>11540884.746935</v>
      </c>
      <c r="J12" s="119">
        <v>2835157</v>
      </c>
    </row>
    <row r="13" spans="1:10" ht="12.75">
      <c r="A13" s="122">
        <f t="shared" si="0"/>
        <v>5</v>
      </c>
      <c r="D13" s="119"/>
      <c r="E13" s="13"/>
      <c r="F13" s="44"/>
      <c r="G13" s="44"/>
      <c r="H13" s="119"/>
      <c r="I13" s="119"/>
      <c r="J13" s="119"/>
    </row>
    <row r="14" spans="1:10" ht="12.75">
      <c r="A14" s="122">
        <f t="shared" si="0"/>
        <v>6</v>
      </c>
      <c r="B14" t="s">
        <v>279</v>
      </c>
      <c r="D14" s="119">
        <v>0</v>
      </c>
      <c r="E14" s="119">
        <v>0</v>
      </c>
      <c r="F14" s="44">
        <f>+D14-E14</f>
        <v>0</v>
      </c>
      <c r="G14" s="44"/>
      <c r="H14" s="119">
        <f>+D14-E14</f>
        <v>0</v>
      </c>
      <c r="I14" s="119">
        <f>+H14*H$34-J14</f>
        <v>0</v>
      </c>
      <c r="J14" s="119">
        <f>+H14/SUM(H$12:H$17)*(K$12-J$18)</f>
        <v>0</v>
      </c>
    </row>
    <row r="15" spans="1:10" ht="12.75">
      <c r="A15" s="122">
        <f t="shared" si="0"/>
        <v>7</v>
      </c>
      <c r="B15" t="s">
        <v>280</v>
      </c>
      <c r="C15" s="152"/>
      <c r="D15" s="119">
        <f>'PPW PPE'!N15</f>
        <v>647319.44</v>
      </c>
      <c r="E15" s="119">
        <f>25707300-E12</f>
        <v>10600</v>
      </c>
      <c r="F15" s="44">
        <f>+D15-E15</f>
        <v>636719.44</v>
      </c>
      <c r="G15" s="44"/>
      <c r="H15" s="119">
        <f>+D15-E15</f>
        <v>636719.44</v>
      </c>
      <c r="I15" s="119">
        <f>+H15*H$34-J15</f>
        <v>199014.02748</v>
      </c>
      <c r="J15" s="119">
        <v>42621</v>
      </c>
    </row>
    <row r="16" spans="1:10" ht="12.75">
      <c r="A16" s="122">
        <f t="shared" si="0"/>
        <v>8</v>
      </c>
      <c r="D16" s="119"/>
      <c r="E16" s="119"/>
      <c r="F16" s="44"/>
      <c r="G16" s="44"/>
      <c r="H16" s="119"/>
      <c r="I16" s="119"/>
      <c r="J16" s="119"/>
    </row>
    <row r="17" spans="1:10" ht="12.75">
      <c r="A17" s="122">
        <f t="shared" si="0"/>
        <v>9</v>
      </c>
      <c r="B17" t="s">
        <v>48</v>
      </c>
      <c r="C17" s="152"/>
      <c r="D17" s="53">
        <f>'PPW PPE'!N29</f>
        <v>37464288.34</v>
      </c>
      <c r="E17" s="119">
        <v>14846600</v>
      </c>
      <c r="F17" s="44">
        <f>+D17-E17</f>
        <v>22617688.340000004</v>
      </c>
      <c r="G17" s="44"/>
      <c r="H17" s="119">
        <f>+D17-E17</f>
        <v>22617688.340000004</v>
      </c>
      <c r="I17" s="119">
        <f>+H17*H$34-J17</f>
        <v>6522755.725030001</v>
      </c>
      <c r="J17" s="119">
        <v>2060657</v>
      </c>
    </row>
    <row r="18" spans="1:10" ht="12.75">
      <c r="A18" s="122">
        <f t="shared" si="0"/>
        <v>10</v>
      </c>
      <c r="B18" t="s">
        <v>49</v>
      </c>
      <c r="C18" s="152"/>
      <c r="D18" s="53">
        <f>'PPW PPE'!N37</f>
        <v>34876882.550000004</v>
      </c>
      <c r="E18" s="119">
        <v>18202200</v>
      </c>
      <c r="F18" s="44">
        <f>+D18-E18</f>
        <v>16674682.550000004</v>
      </c>
      <c r="G18" s="44"/>
      <c r="H18" s="119">
        <f>+D18-E18</f>
        <v>16674682.550000004</v>
      </c>
      <c r="I18" s="119">
        <f>+H18*H$34-J18</f>
        <v>6274102.027725002</v>
      </c>
      <c r="J18" s="119">
        <v>53940</v>
      </c>
    </row>
    <row r="19" spans="1:10" ht="12.75">
      <c r="A19" s="122">
        <f t="shared" si="0"/>
        <v>11</v>
      </c>
      <c r="B19" s="245"/>
      <c r="C19" s="245"/>
      <c r="D19" s="119"/>
      <c r="E19" s="13"/>
      <c r="F19" s="44"/>
      <c r="G19" s="44"/>
      <c r="H19" s="119"/>
      <c r="I19" s="119"/>
      <c r="J19" s="119"/>
    </row>
    <row r="20" spans="1:10" ht="12.75">
      <c r="A20" s="122">
        <f t="shared" si="0"/>
        <v>12</v>
      </c>
      <c r="B20" t="s">
        <v>282</v>
      </c>
      <c r="C20" s="119"/>
      <c r="D20" s="119">
        <f>'Gain Calculation'!D26</f>
        <v>-25305971</v>
      </c>
      <c r="E20" s="119">
        <v>-14083814</v>
      </c>
      <c r="F20" s="119"/>
      <c r="G20" s="44">
        <f aca="true" t="shared" si="1" ref="G20:G29">+D20-E20</f>
        <v>-11222157</v>
      </c>
      <c r="H20" s="119">
        <f aca="true" t="shared" si="2" ref="H20:H29">+D20-E20</f>
        <v>-11222157</v>
      </c>
      <c r="I20" s="119">
        <f>+H20*H$34-J20</f>
        <v>-4742221.5815</v>
      </c>
      <c r="J20" s="119">
        <v>483413</v>
      </c>
    </row>
    <row r="21" spans="1:10" ht="12.75">
      <c r="A21" s="122">
        <f t="shared" si="0"/>
        <v>13</v>
      </c>
      <c r="B21" t="s">
        <v>281</v>
      </c>
      <c r="C21" s="143"/>
      <c r="D21" s="119">
        <v>2762420</v>
      </c>
      <c r="E21" s="119">
        <f>+D21</f>
        <v>2762420</v>
      </c>
      <c r="F21" s="119"/>
      <c r="G21" s="44">
        <f>+D21-E21</f>
        <v>0</v>
      </c>
      <c r="H21" s="119">
        <f t="shared" si="2"/>
        <v>0</v>
      </c>
      <c r="I21" s="119">
        <v>0</v>
      </c>
      <c r="J21" s="119">
        <v>0</v>
      </c>
    </row>
    <row r="22" spans="1:10" ht="12.75">
      <c r="A22" s="122">
        <f t="shared" si="0"/>
        <v>14</v>
      </c>
      <c r="B22" s="245" t="s">
        <v>283</v>
      </c>
      <c r="C22" s="656"/>
      <c r="D22" s="661">
        <f>CMCDefProj99!G29+12145451*0</f>
        <v>11915987.090307973</v>
      </c>
      <c r="E22" s="119">
        <v>20226312</v>
      </c>
      <c r="F22" s="119"/>
      <c r="G22" s="44">
        <f t="shared" si="1"/>
        <v>-8310324.909692027</v>
      </c>
      <c r="H22" s="119">
        <f t="shared" si="2"/>
        <v>-8310324.909692027</v>
      </c>
      <c r="I22" s="119">
        <f>+H22*H$34</f>
        <v>-3153768.303228124</v>
      </c>
      <c r="J22" s="119">
        <v>0</v>
      </c>
    </row>
    <row r="23" spans="1:10" ht="12.75">
      <c r="A23" s="122">
        <f t="shared" si="0"/>
        <v>15</v>
      </c>
      <c r="B23" s="245" t="s">
        <v>571</v>
      </c>
      <c r="C23" s="245"/>
      <c r="D23" s="119">
        <f>Inputs!G29</f>
        <v>6062997.91</v>
      </c>
      <c r="E23" s="119">
        <f>D23</f>
        <v>6062997.91</v>
      </c>
      <c r="F23" s="119"/>
      <c r="G23" s="44">
        <f t="shared" si="1"/>
        <v>0</v>
      </c>
      <c r="H23" s="119">
        <f t="shared" si="2"/>
        <v>0</v>
      </c>
      <c r="I23" s="119">
        <v>0</v>
      </c>
      <c r="J23" s="119">
        <f>+H23*0.3795</f>
        <v>0</v>
      </c>
    </row>
    <row r="24" spans="1:10" ht="12.75">
      <c r="A24" s="122">
        <f t="shared" si="0"/>
        <v>16</v>
      </c>
      <c r="B24" s="245" t="s">
        <v>572</v>
      </c>
      <c r="C24" s="245"/>
      <c r="D24" s="119">
        <f>Inputs!G28</f>
        <v>8757846.09</v>
      </c>
      <c r="E24" s="119">
        <f>D24-324996</f>
        <v>8432850.09</v>
      </c>
      <c r="F24" s="119"/>
      <c r="G24" s="44">
        <f t="shared" si="1"/>
        <v>324996</v>
      </c>
      <c r="H24" s="119">
        <f t="shared" si="2"/>
        <v>324996</v>
      </c>
      <c r="I24" s="119">
        <f>+H24*H$34-J24</f>
        <v>123335.982</v>
      </c>
      <c r="J24" s="119">
        <v>0</v>
      </c>
    </row>
    <row r="25" spans="1:10" ht="12.75">
      <c r="A25" s="122">
        <f t="shared" si="0"/>
        <v>17</v>
      </c>
      <c r="B25" s="245" t="s">
        <v>674</v>
      </c>
      <c r="C25" s="245"/>
      <c r="D25" s="119">
        <f>'Inventory Loss'!J55</f>
        <v>8392655.720012553</v>
      </c>
      <c r="E25" s="119">
        <f>D25</f>
        <v>8392655.720012553</v>
      </c>
      <c r="F25" s="119"/>
      <c r="G25" s="44">
        <f>+D25-E25</f>
        <v>0</v>
      </c>
      <c r="H25" s="119">
        <f t="shared" si="2"/>
        <v>0</v>
      </c>
      <c r="I25" s="119">
        <v>0</v>
      </c>
      <c r="J25" s="119">
        <f>+H25*0.3795</f>
        <v>0</v>
      </c>
    </row>
    <row r="26" spans="1:10" ht="12.75">
      <c r="A26" s="122">
        <f t="shared" si="0"/>
        <v>18</v>
      </c>
      <c r="B26" s="245" t="s">
        <v>880</v>
      </c>
      <c r="C26" s="245"/>
      <c r="D26" s="119">
        <f>Inputs!G35</f>
        <v>3000000</v>
      </c>
      <c r="E26" s="119">
        <f>IF(Inputs!$H$35="N",D26*0,D26)</f>
        <v>0</v>
      </c>
      <c r="F26" s="119"/>
      <c r="G26" s="44">
        <f>+D26-E26</f>
        <v>3000000</v>
      </c>
      <c r="H26" s="13">
        <f t="shared" si="2"/>
        <v>3000000</v>
      </c>
      <c r="I26" s="13">
        <f>+H26*H$34-J26</f>
        <v>1138500</v>
      </c>
      <c r="J26" s="13">
        <v>0</v>
      </c>
    </row>
    <row r="27" spans="1:10" ht="12.75">
      <c r="A27" s="122">
        <f t="shared" si="0"/>
        <v>19</v>
      </c>
      <c r="B27" s="245" t="s">
        <v>881</v>
      </c>
      <c r="C27" s="245"/>
      <c r="D27" s="119">
        <f>Inputs!G36</f>
        <v>2000000</v>
      </c>
      <c r="E27" s="119">
        <f>IF(Inputs!$H$36="N",D27*0,D27)</f>
        <v>0</v>
      </c>
      <c r="F27" s="119"/>
      <c r="G27" s="44">
        <f>+D27-E27</f>
        <v>2000000</v>
      </c>
      <c r="H27" s="13">
        <f t="shared" si="2"/>
        <v>2000000</v>
      </c>
      <c r="I27" s="13">
        <f>+H27*H$34-J27</f>
        <v>759000</v>
      </c>
      <c r="J27" s="13">
        <v>0</v>
      </c>
    </row>
    <row r="28" spans="1:10" ht="12.75">
      <c r="A28" s="122">
        <f t="shared" si="0"/>
        <v>20</v>
      </c>
      <c r="B28" s="245" t="s">
        <v>671</v>
      </c>
      <c r="C28" s="245"/>
      <c r="D28" s="119">
        <f>Inputs!G33*Inputs!G7</f>
        <v>1092500</v>
      </c>
      <c r="E28" s="119">
        <f>IF(Inputs!$H$33="N",D28*0,D28)</f>
        <v>0</v>
      </c>
      <c r="F28" s="119"/>
      <c r="G28" s="44">
        <f>+D28-E28</f>
        <v>1092500</v>
      </c>
      <c r="H28" s="13">
        <f t="shared" si="2"/>
        <v>1092500</v>
      </c>
      <c r="I28" s="13">
        <f>+H28*H$34-J28</f>
        <v>414603.75</v>
      </c>
      <c r="J28" s="13">
        <v>0</v>
      </c>
    </row>
    <row r="29" spans="1:10" ht="12.75">
      <c r="A29" s="122">
        <f t="shared" si="0"/>
        <v>21</v>
      </c>
      <c r="B29" s="245" t="s">
        <v>672</v>
      </c>
      <c r="C29" s="245"/>
      <c r="D29" s="246">
        <f>Inputs!G32</f>
        <v>5500000</v>
      </c>
      <c r="E29" s="119">
        <f>IF(Inputs!$H$32="N",D29*0,D29)</f>
        <v>0</v>
      </c>
      <c r="F29" s="246"/>
      <c r="G29" s="662">
        <f t="shared" si="1"/>
        <v>5500000</v>
      </c>
      <c r="H29" s="246">
        <f t="shared" si="2"/>
        <v>5500000</v>
      </c>
      <c r="I29" s="246">
        <f>+H29*H$34-J29</f>
        <v>2087250</v>
      </c>
      <c r="J29" s="246">
        <v>0</v>
      </c>
    </row>
    <row r="30" spans="1:10" ht="12.75">
      <c r="A30" s="122">
        <f t="shared" si="0"/>
        <v>22</v>
      </c>
      <c r="B30" s="143" t="s">
        <v>28</v>
      </c>
      <c r="C30" s="143"/>
      <c r="D30" s="119">
        <f aca="true" t="shared" si="3" ref="D30:J30">SUM(D12:D29)</f>
        <v>160745159.07032055</v>
      </c>
      <c r="E30" s="119">
        <f t="shared" si="3"/>
        <v>90549521.72001255</v>
      </c>
      <c r="F30" s="119">
        <f t="shared" si="3"/>
        <v>77810623.26</v>
      </c>
      <c r="G30" s="119">
        <f t="shared" si="3"/>
        <v>-7614985.909692027</v>
      </c>
      <c r="H30" s="119">
        <f t="shared" si="3"/>
        <v>70195637.35030797</v>
      </c>
      <c r="I30" s="119">
        <f t="shared" si="3"/>
        <v>21163456.374441877</v>
      </c>
      <c r="J30" s="119">
        <f t="shared" si="3"/>
        <v>5475788</v>
      </c>
    </row>
    <row r="31" spans="1:10" ht="12.75">
      <c r="A31" s="122">
        <f t="shared" si="0"/>
        <v>23</v>
      </c>
      <c r="D31" s="119"/>
      <c r="E31" s="119"/>
      <c r="F31" s="119"/>
      <c r="G31" s="119"/>
      <c r="H31" s="119"/>
      <c r="I31" s="119"/>
      <c r="J31" s="119"/>
    </row>
    <row r="32" spans="1:10" ht="12.75">
      <c r="A32" s="122">
        <f t="shared" si="0"/>
        <v>24</v>
      </c>
      <c r="B32" t="s">
        <v>29</v>
      </c>
      <c r="D32" s="119">
        <f>+D9-D30</f>
        <v>884568.60085693</v>
      </c>
      <c r="E32" s="119">
        <f>+E9-E30</f>
        <v>71080205.95116493</v>
      </c>
      <c r="F32" s="119">
        <f>+F9-F30</f>
        <v>-77810623.26</v>
      </c>
      <c r="G32" s="119">
        <f>+G9-G30</f>
        <v>7614985.909692027</v>
      </c>
      <c r="H32" s="119">
        <f>+H9-H30</f>
        <v>-70195637.35030797</v>
      </c>
      <c r="I32" s="119"/>
      <c r="J32" s="119"/>
    </row>
    <row r="33" spans="1:10" ht="12.75">
      <c r="A33" s="122">
        <f t="shared" si="0"/>
        <v>25</v>
      </c>
      <c r="D33" s="119"/>
      <c r="E33" s="119"/>
      <c r="F33" s="119"/>
      <c r="G33" s="119"/>
      <c r="H33" s="119"/>
      <c r="I33" s="119"/>
      <c r="J33" s="119"/>
    </row>
    <row r="34" spans="1:10" ht="12.75">
      <c r="A34" s="122">
        <f t="shared" si="0"/>
        <v>26</v>
      </c>
      <c r="B34" t="s">
        <v>30</v>
      </c>
      <c r="D34" s="46">
        <v>0.3795</v>
      </c>
      <c r="E34" s="46">
        <v>0.3795</v>
      </c>
      <c r="F34" s="46">
        <v>0.3795</v>
      </c>
      <c r="G34" s="46">
        <v>0.3795</v>
      </c>
      <c r="H34" s="46">
        <v>0.3795</v>
      </c>
      <c r="I34" s="27"/>
      <c r="J34" s="27"/>
    </row>
    <row r="35" spans="1:10" ht="12.75">
      <c r="A35" s="122">
        <f t="shared" si="0"/>
        <v>27</v>
      </c>
      <c r="D35" s="119"/>
      <c r="E35" s="119"/>
      <c r="F35" s="119"/>
      <c r="G35" s="119"/>
      <c r="H35" s="119"/>
      <c r="I35" s="119"/>
      <c r="J35" s="119"/>
    </row>
    <row r="36" spans="1:10" ht="12.75">
      <c r="A36" s="122">
        <f t="shared" si="0"/>
        <v>28</v>
      </c>
      <c r="B36" t="s">
        <v>7</v>
      </c>
      <c r="D36" s="119">
        <f>+D32*D34</f>
        <v>335693.78402520495</v>
      </c>
      <c r="E36" s="119">
        <f>+E32*E34</f>
        <v>26974938.15846709</v>
      </c>
      <c r="F36" s="119">
        <f>+F32*F34</f>
        <v>-29529131.527170002</v>
      </c>
      <c r="G36" s="119">
        <f>+G32*G34</f>
        <v>2889887.152728124</v>
      </c>
      <c r="H36" s="119">
        <f>+H32*H34</f>
        <v>-26639244.374441877</v>
      </c>
      <c r="I36" s="119">
        <f>+I30</f>
        <v>21163456.374441877</v>
      </c>
      <c r="J36" s="119">
        <f>+J30</f>
        <v>5475788</v>
      </c>
    </row>
    <row r="37" spans="1:10" ht="12.75">
      <c r="A37" s="122">
        <f t="shared" si="0"/>
        <v>29</v>
      </c>
      <c r="B37" t="s">
        <v>284</v>
      </c>
      <c r="D37" s="119">
        <f>+J39</f>
        <v>0</v>
      </c>
      <c r="E37" s="119"/>
      <c r="F37" s="119"/>
      <c r="G37" s="119"/>
      <c r="H37" s="119"/>
      <c r="I37" s="119"/>
      <c r="J37" s="119"/>
    </row>
    <row r="38" spans="1:10" ht="12.75">
      <c r="A38" s="122">
        <f t="shared" si="0"/>
        <v>30</v>
      </c>
      <c r="B38" t="s">
        <v>31</v>
      </c>
      <c r="D38" s="246">
        <f>+J40</f>
        <v>5475788</v>
      </c>
      <c r="E38" s="119"/>
      <c r="F38" s="119"/>
      <c r="G38" s="119" t="s">
        <v>285</v>
      </c>
      <c r="H38" s="119"/>
      <c r="I38" s="119"/>
      <c r="J38" s="119"/>
    </row>
    <row r="39" spans="1:10" ht="12.75">
      <c r="A39" s="122">
        <f t="shared" si="0"/>
        <v>31</v>
      </c>
      <c r="D39" s="119"/>
      <c r="E39" s="119"/>
      <c r="F39" s="119"/>
      <c r="G39" s="119"/>
      <c r="H39" s="119"/>
      <c r="I39" s="119" t="s">
        <v>286</v>
      </c>
      <c r="J39" s="119">
        <v>0</v>
      </c>
    </row>
    <row r="40" spans="1:10" ht="12.75">
      <c r="A40" s="122">
        <f t="shared" si="0"/>
        <v>32</v>
      </c>
      <c r="B40" t="s">
        <v>32</v>
      </c>
      <c r="D40" s="119">
        <f>SUM(D36:D39)</f>
        <v>5811481.784025205</v>
      </c>
      <c r="E40" s="119"/>
      <c r="F40" s="119"/>
      <c r="G40" s="119"/>
      <c r="H40" s="119"/>
      <c r="I40" s="119" t="s">
        <v>287</v>
      </c>
      <c r="J40" s="119">
        <f>+J36-J39</f>
        <v>5475788</v>
      </c>
    </row>
    <row r="41" spans="1:10" ht="12.75">
      <c r="A41" s="122">
        <f t="shared" si="0"/>
        <v>33</v>
      </c>
      <c r="B41" t="s">
        <v>288</v>
      </c>
      <c r="D41" s="119"/>
      <c r="E41" s="119">
        <f>+E36</f>
        <v>26974938.15846709</v>
      </c>
      <c r="F41" s="119"/>
      <c r="G41" s="119"/>
      <c r="H41" s="119"/>
      <c r="I41" s="119"/>
      <c r="J41" s="119"/>
    </row>
    <row r="42" spans="1:10" ht="12.75">
      <c r="A42" s="122">
        <f t="shared" si="0"/>
        <v>34</v>
      </c>
      <c r="D42" s="119"/>
      <c r="E42" s="119"/>
      <c r="F42" s="119"/>
      <c r="G42" s="119"/>
      <c r="H42" s="119"/>
      <c r="I42" s="119"/>
      <c r="J42" s="119"/>
    </row>
    <row r="43" spans="1:10" ht="12.75">
      <c r="A43" s="122">
        <f t="shared" si="0"/>
        <v>35</v>
      </c>
      <c r="B43" t="s">
        <v>289</v>
      </c>
      <c r="D43" s="247">
        <f>+D32-D40</f>
        <v>-4926913.183168275</v>
      </c>
      <c r="E43" s="119"/>
      <c r="F43" s="119"/>
      <c r="G43" s="119"/>
      <c r="H43" s="119"/>
      <c r="I43" s="119"/>
      <c r="J43" s="119"/>
    </row>
    <row r="44" spans="1:10" ht="12.75">
      <c r="A44" s="122">
        <f t="shared" si="0"/>
        <v>36</v>
      </c>
      <c r="D44" s="119"/>
      <c r="E44" s="119"/>
      <c r="F44" s="119"/>
      <c r="G44" s="119"/>
      <c r="H44" s="119"/>
      <c r="I44" s="119"/>
      <c r="J44" s="119"/>
    </row>
    <row r="45" spans="1:10" ht="12.75">
      <c r="A45" s="122">
        <f t="shared" si="0"/>
        <v>37</v>
      </c>
      <c r="B45" t="s">
        <v>290</v>
      </c>
      <c r="D45" s="248">
        <f>+D40/D32</f>
        <v>6.56984860009196</v>
      </c>
      <c r="E45" s="119"/>
      <c r="F45" s="119"/>
      <c r="G45" s="119"/>
      <c r="H45" s="119"/>
      <c r="I45" s="119"/>
      <c r="J45" s="119"/>
    </row>
    <row r="46" spans="1:10" ht="12.75">
      <c r="A46" s="122"/>
      <c r="D46" s="119"/>
      <c r="E46" s="119"/>
      <c r="F46" s="119"/>
      <c r="G46" s="119"/>
      <c r="H46" s="119"/>
      <c r="I46" s="119"/>
      <c r="J46" s="119"/>
    </row>
    <row r="47" spans="1:10" ht="12.75">
      <c r="A47" s="122"/>
      <c r="D47" s="119"/>
      <c r="E47" s="119"/>
      <c r="F47" s="119"/>
      <c r="G47" s="119"/>
      <c r="H47" s="119"/>
      <c r="I47" s="119"/>
      <c r="J47" s="119"/>
    </row>
    <row r="48" spans="1:10" ht="12.75">
      <c r="A48" s="122"/>
      <c r="B48" s="249" t="str">
        <f ca="1">CELL("filename")</f>
        <v>E:\[Centralia Model and Back-up.xls]Gain Calculation</v>
      </c>
      <c r="C48" s="249"/>
      <c r="D48" s="119"/>
      <c r="E48" s="119"/>
      <c r="F48" s="119"/>
      <c r="G48" s="119"/>
      <c r="H48" s="119"/>
      <c r="I48" s="119"/>
      <c r="J48" s="119"/>
    </row>
    <row r="49" spans="1:10" ht="12.75">
      <c r="A49" s="122"/>
      <c r="B49" t="s">
        <v>291</v>
      </c>
      <c r="D49" s="119"/>
      <c r="E49" s="119"/>
      <c r="F49" s="119"/>
      <c r="G49" s="119"/>
      <c r="H49" s="119"/>
      <c r="I49" s="119"/>
      <c r="J49" s="119"/>
    </row>
    <row r="52" spans="2:9" ht="12.75">
      <c r="B52" s="36" t="s">
        <v>773</v>
      </c>
      <c r="D52" s="119"/>
      <c r="E52" s="119"/>
      <c r="F52" s="119"/>
      <c r="G52" s="119"/>
      <c r="H52" s="119"/>
      <c r="I52" s="119"/>
    </row>
    <row r="53" ht="12.75">
      <c r="I53" s="811">
        <v>36525</v>
      </c>
    </row>
    <row r="54" ht="12.75">
      <c r="I54" s="122" t="s">
        <v>774</v>
      </c>
    </row>
    <row r="55" ht="12.75">
      <c r="I55" s="122" t="s">
        <v>775</v>
      </c>
    </row>
    <row r="56" ht="13.5" thickBot="1">
      <c r="I56" s="129" t="s">
        <v>776</v>
      </c>
    </row>
    <row r="57" spans="2:9" ht="13.5" thickBot="1">
      <c r="B57" s="8" t="s">
        <v>777</v>
      </c>
      <c r="I57" s="812">
        <f>I12+I15</f>
        <v>11739898.774415001</v>
      </c>
    </row>
    <row r="60" ht="12.75">
      <c r="B60" s="8" t="s">
        <v>778</v>
      </c>
    </row>
    <row r="61" spans="2:9" ht="12.75">
      <c r="B61" t="s">
        <v>48</v>
      </c>
      <c r="I61" s="119">
        <f>I17</f>
        <v>6522755.725030001</v>
      </c>
    </row>
    <row r="62" spans="2:9" ht="12.75">
      <c r="B62" t="s">
        <v>282</v>
      </c>
      <c r="I62" s="119">
        <f>I20</f>
        <v>-4742221.5815</v>
      </c>
    </row>
    <row r="63" ht="12.75">
      <c r="I63" s="119"/>
    </row>
    <row r="64" spans="2:9" ht="12.75">
      <c r="B64" t="str">
        <f>B22</f>
        <v>Deferred Stripping Box Cut</v>
      </c>
      <c r="I64" s="119">
        <f>I22</f>
        <v>-3153768.303228124</v>
      </c>
    </row>
    <row r="65" spans="4:9" ht="12.75">
      <c r="D65" t="s">
        <v>779</v>
      </c>
      <c r="F65" s="205">
        <f>CMCDefProj99!G18</f>
        <v>9839522.230467973</v>
      </c>
      <c r="G65" s="407">
        <f>F65/F67</f>
        <v>0.8257412630524817</v>
      </c>
      <c r="I65" s="813">
        <f>F65/F67</f>
        <v>0.8257412630524817</v>
      </c>
    </row>
    <row r="66" spans="4:9" ht="12.75">
      <c r="D66" t="s">
        <v>780</v>
      </c>
      <c r="F66" s="814">
        <f>CMCDefProj99!G26</f>
        <v>2076464.85984</v>
      </c>
      <c r="G66" s="813">
        <f>F66/F67</f>
        <v>0.1742587369475182</v>
      </c>
      <c r="I66" s="53">
        <f>I64*I65</f>
        <v>-2604196.6220824732</v>
      </c>
    </row>
    <row r="67" spans="6:7" ht="13.5" thickBot="1">
      <c r="F67" s="205">
        <f>F65+F66</f>
        <v>11915987.090307973</v>
      </c>
      <c r="G67" s="407">
        <f>G66+G65</f>
        <v>1</v>
      </c>
    </row>
    <row r="68" spans="2:9" ht="13.5" thickBot="1">
      <c r="B68" t="s">
        <v>781</v>
      </c>
      <c r="I68" s="815">
        <f>I61+I62+I66</f>
        <v>-823662.4785524723</v>
      </c>
    </row>
    <row r="73" spans="5:34" ht="12.75">
      <c r="E73" s="893">
        <v>2000</v>
      </c>
      <c r="F73" s="893">
        <f>E73+1</f>
        <v>2001</v>
      </c>
      <c r="G73" s="893">
        <f aca="true" t="shared" si="4" ref="G73:AB73">F73+1</f>
        <v>2002</v>
      </c>
      <c r="H73" s="893">
        <f t="shared" si="4"/>
        <v>2003</v>
      </c>
      <c r="I73" s="893">
        <f t="shared" si="4"/>
        <v>2004</v>
      </c>
      <c r="J73" s="893">
        <f t="shared" si="4"/>
        <v>2005</v>
      </c>
      <c r="K73" s="893">
        <f t="shared" si="4"/>
        <v>2006</v>
      </c>
      <c r="L73" s="893">
        <f t="shared" si="4"/>
        <v>2007</v>
      </c>
      <c r="M73" s="893">
        <f t="shared" si="4"/>
        <v>2008</v>
      </c>
      <c r="N73" s="893">
        <f t="shared" si="4"/>
        <v>2009</v>
      </c>
      <c r="O73" s="893">
        <f t="shared" si="4"/>
        <v>2010</v>
      </c>
      <c r="P73" s="893">
        <f t="shared" si="4"/>
        <v>2011</v>
      </c>
      <c r="Q73" s="893">
        <f t="shared" si="4"/>
        <v>2012</v>
      </c>
      <c r="R73" s="893">
        <f t="shared" si="4"/>
        <v>2013</v>
      </c>
      <c r="S73" s="893">
        <f t="shared" si="4"/>
        <v>2014</v>
      </c>
      <c r="T73" s="893">
        <f t="shared" si="4"/>
        <v>2015</v>
      </c>
      <c r="U73" s="893">
        <f t="shared" si="4"/>
        <v>2016</v>
      </c>
      <c r="V73" s="893">
        <f t="shared" si="4"/>
        <v>2017</v>
      </c>
      <c r="W73" s="893">
        <f t="shared" si="4"/>
        <v>2018</v>
      </c>
      <c r="X73" s="893">
        <f t="shared" si="4"/>
        <v>2019</v>
      </c>
      <c r="Y73" s="893">
        <f t="shared" si="4"/>
        <v>2020</v>
      </c>
      <c r="Z73" s="893">
        <f t="shared" si="4"/>
        <v>2021</v>
      </c>
      <c r="AA73" s="893">
        <f t="shared" si="4"/>
        <v>2022</v>
      </c>
      <c r="AB73" s="893">
        <f t="shared" si="4"/>
        <v>2023</v>
      </c>
      <c r="AC73" s="893">
        <f aca="true" t="shared" si="5" ref="AC73:AH73">AB73+1</f>
        <v>2024</v>
      </c>
      <c r="AD73" s="893">
        <f t="shared" si="5"/>
        <v>2025</v>
      </c>
      <c r="AE73" s="893">
        <f t="shared" si="5"/>
        <v>2026</v>
      </c>
      <c r="AF73" s="893">
        <f t="shared" si="5"/>
        <v>2027</v>
      </c>
      <c r="AG73" s="893">
        <f t="shared" si="5"/>
        <v>2028</v>
      </c>
      <c r="AH73" s="893">
        <f t="shared" si="5"/>
        <v>2029</v>
      </c>
    </row>
    <row r="74" spans="1:2" ht="12.75">
      <c r="A74" s="122"/>
      <c r="B74" s="36" t="s">
        <v>848</v>
      </c>
    </row>
    <row r="75" spans="1:34" ht="12.75">
      <c r="A75" s="895" t="s">
        <v>830</v>
      </c>
      <c r="B75" s="37" t="s">
        <v>61</v>
      </c>
      <c r="C75" s="312"/>
      <c r="E75" s="207">
        <f>'Keep RevReq'!K53</f>
        <v>64331.81900815037</v>
      </c>
      <c r="F75" s="207">
        <f>'Keep RevReq'!L53</f>
        <v>94883.2900458229</v>
      </c>
      <c r="G75" s="207">
        <f>'Keep RevReq'!M53</f>
        <v>141607.9079836902</v>
      </c>
      <c r="H75" s="207">
        <f>'Keep RevReq'!N53</f>
        <v>150304.90453281678</v>
      </c>
      <c r="I75" s="207">
        <f>'Keep RevReq'!O53</f>
        <v>140409.21679904265</v>
      </c>
      <c r="J75" s="207">
        <f>'Keep RevReq'!P53</f>
        <v>130430.0912038701</v>
      </c>
      <c r="K75" s="207">
        <f>'Keep RevReq'!Q53</f>
        <v>120788.84790858507</v>
      </c>
      <c r="L75" s="207">
        <f>'Keep RevReq'!R53</f>
        <v>111498.87689701276</v>
      </c>
      <c r="M75" s="207">
        <f>'Keep RevReq'!S53</f>
        <v>102374.75741859499</v>
      </c>
      <c r="N75" s="207">
        <f>'Keep RevReq'!T53</f>
        <v>93330.45209168218</v>
      </c>
      <c r="O75" s="207">
        <f>'Keep RevReq'!U53</f>
        <v>84460.82996050853</v>
      </c>
      <c r="P75" s="207">
        <f>'Keep RevReq'!V53</f>
        <v>75724.543973852</v>
      </c>
      <c r="Q75" s="207">
        <f>'Keep RevReq'!W53</f>
        <v>66977.94882565016</v>
      </c>
      <c r="R75" s="207">
        <f>'Keep RevReq'!X53</f>
        <v>58280.23212611828</v>
      </c>
      <c r="S75" s="207">
        <f>'Keep RevReq'!Y53</f>
        <v>50941.89835662911</v>
      </c>
      <c r="T75" s="207">
        <f>'Keep RevReq'!Z53</f>
        <v>44870.715761189276</v>
      </c>
      <c r="U75" s="207">
        <f>'Keep RevReq'!AA53</f>
        <v>38649.54195220143</v>
      </c>
      <c r="V75" s="207">
        <f>'Keep RevReq'!AB53</f>
        <v>32246.06810625511</v>
      </c>
      <c r="W75" s="207">
        <f>'Keep RevReq'!AC53</f>
        <v>25617.22090992701</v>
      </c>
      <c r="X75" s="207">
        <f>'Keep RevReq'!AD53</f>
        <v>18718.238098828635</v>
      </c>
      <c r="Y75" s="207">
        <f>'Keep RevReq'!AE53</f>
        <v>11158.930423565183</v>
      </c>
      <c r="Z75" s="207">
        <f>'Keep RevReq'!AF53</f>
        <v>2701.711771705127</v>
      </c>
      <c r="AA75" s="207">
        <f>'Keep RevReq'!AG53</f>
        <v>-6161.518979392299</v>
      </c>
      <c r="AB75" s="207">
        <f>'Keep RevReq'!AH53</f>
        <v>-18438.156013434666</v>
      </c>
      <c r="AC75" s="207">
        <f>'Keep RevReq'!AI53</f>
        <v>-13135.766653149081</v>
      </c>
      <c r="AD75" s="207">
        <f>'Keep RevReq'!AJ53</f>
        <v>0</v>
      </c>
      <c r="AE75" s="207">
        <f>'Keep RevReq'!AK53</f>
        <v>0</v>
      </c>
      <c r="AF75" s="207">
        <f>'Keep RevReq'!AL53</f>
        <v>0</v>
      </c>
      <c r="AG75" s="207">
        <f>'Keep RevReq'!AM53</f>
        <v>0</v>
      </c>
      <c r="AH75" s="207">
        <f>'Keep RevReq'!AN53</f>
        <v>0</v>
      </c>
    </row>
    <row r="76" spans="1:34" ht="12.75">
      <c r="A76" s="895" t="s">
        <v>831</v>
      </c>
      <c r="B76" s="37" t="s">
        <v>828</v>
      </c>
      <c r="C76" s="312"/>
      <c r="E76" s="892">
        <f>Inputs!$H$74+Inputs!$H$75</f>
        <v>0.0573068</v>
      </c>
      <c r="F76" s="892">
        <f>Inputs!$H$74+Inputs!$H$75</f>
        <v>0.0573068</v>
      </c>
      <c r="G76" s="892">
        <f>Inputs!$H$74+Inputs!$H$75</f>
        <v>0.0573068</v>
      </c>
      <c r="H76" s="892">
        <f>Inputs!$H$74+Inputs!$H$75</f>
        <v>0.0573068</v>
      </c>
      <c r="I76" s="892">
        <f>Inputs!$H$74+Inputs!$H$75</f>
        <v>0.0573068</v>
      </c>
      <c r="J76" s="892">
        <f>Inputs!$H$74+Inputs!$H$75</f>
        <v>0.0573068</v>
      </c>
      <c r="K76" s="892">
        <f>Inputs!$H$74+Inputs!$H$75</f>
        <v>0.0573068</v>
      </c>
      <c r="L76" s="892">
        <f>Inputs!$H$74+Inputs!$H$75</f>
        <v>0.0573068</v>
      </c>
      <c r="M76" s="892">
        <f>Inputs!$H$74+Inputs!$H$75</f>
        <v>0.0573068</v>
      </c>
      <c r="N76" s="892">
        <f>Inputs!$H$74+Inputs!$H$75</f>
        <v>0.0573068</v>
      </c>
      <c r="O76" s="892">
        <f>Inputs!$H$74+Inputs!$H$75</f>
        <v>0.0573068</v>
      </c>
      <c r="P76" s="892">
        <f>Inputs!$H$74+Inputs!$H$75</f>
        <v>0.0573068</v>
      </c>
      <c r="Q76" s="892">
        <f>Inputs!$H$74+Inputs!$H$75</f>
        <v>0.0573068</v>
      </c>
      <c r="R76" s="892">
        <f>Inputs!$H$74+Inputs!$H$75</f>
        <v>0.0573068</v>
      </c>
      <c r="S76" s="892">
        <f>Inputs!$H$74+Inputs!$H$75</f>
        <v>0.0573068</v>
      </c>
      <c r="T76" s="892">
        <f>Inputs!$H$74+Inputs!$H$75</f>
        <v>0.0573068</v>
      </c>
      <c r="U76" s="892">
        <f>Inputs!$H$74+Inputs!$H$75</f>
        <v>0.0573068</v>
      </c>
      <c r="V76" s="892">
        <f>Inputs!$H$74+Inputs!$H$75</f>
        <v>0.0573068</v>
      </c>
      <c r="W76" s="892">
        <f>Inputs!$H$74+Inputs!$H$75</f>
        <v>0.0573068</v>
      </c>
      <c r="X76" s="892">
        <f>Inputs!$H$74+Inputs!$H$75</f>
        <v>0.0573068</v>
      </c>
      <c r="Y76" s="892">
        <f>Inputs!$H$74+Inputs!$H$75</f>
        <v>0.0573068</v>
      </c>
      <c r="Z76" s="892">
        <f>Inputs!$H$74+Inputs!$H$75</f>
        <v>0.0573068</v>
      </c>
      <c r="AA76" s="892">
        <f>Inputs!$H$74+Inputs!$H$75</f>
        <v>0.0573068</v>
      </c>
      <c r="AB76" s="892">
        <f>Inputs!$H$74+Inputs!$H$75</f>
        <v>0.0573068</v>
      </c>
      <c r="AC76" s="892">
        <f>Inputs!$H$74+Inputs!$H$75</f>
        <v>0.0573068</v>
      </c>
      <c r="AD76" s="892">
        <f>Inputs!$H$74+Inputs!$H$75</f>
        <v>0.0573068</v>
      </c>
      <c r="AE76" s="892">
        <f>Inputs!$H$74+Inputs!$H$75</f>
        <v>0.0573068</v>
      </c>
      <c r="AF76" s="892">
        <f>Inputs!$H$74+Inputs!$H$75</f>
        <v>0.0573068</v>
      </c>
      <c r="AG76" s="892">
        <f>Inputs!$H$74+Inputs!$H$75</f>
        <v>0.0573068</v>
      </c>
      <c r="AH76" s="892">
        <f>Inputs!$H$74+Inputs!$H$75</f>
        <v>0.0573068</v>
      </c>
    </row>
    <row r="77" spans="1:34" ht="12.75">
      <c r="A77" s="895" t="s">
        <v>832</v>
      </c>
      <c r="B77" s="894" t="s">
        <v>829</v>
      </c>
      <c r="C77" s="312"/>
      <c r="E77" s="152">
        <f>E75*E76</f>
        <v>3686.6506855362713</v>
      </c>
      <c r="F77" s="152">
        <f>F75*F76</f>
        <v>5437.457725997963</v>
      </c>
      <c r="G77" s="152">
        <f aca="true" t="shared" si="6" ref="G77:AC77">G75*G76</f>
        <v>8115.0960612397375</v>
      </c>
      <c r="H77" s="152">
        <f t="shared" si="6"/>
        <v>8613.493103081224</v>
      </c>
      <c r="I77" s="152">
        <f t="shared" si="6"/>
        <v>8046.402905259377</v>
      </c>
      <c r="J77" s="152">
        <f t="shared" si="6"/>
        <v>7474.531150601943</v>
      </c>
      <c r="K77" s="152">
        <f t="shared" si="6"/>
        <v>6922.022349327703</v>
      </c>
      <c r="L77" s="152">
        <f t="shared" si="6"/>
        <v>6389.64383856173</v>
      </c>
      <c r="M77" s="152">
        <f t="shared" si="6"/>
        <v>5866.76974843594</v>
      </c>
      <c r="N77" s="152">
        <f t="shared" si="6"/>
        <v>5348.469551927612</v>
      </c>
      <c r="O77" s="152">
        <f t="shared" si="6"/>
        <v>4840.17989038087</v>
      </c>
      <c r="P77" s="152">
        <f t="shared" si="6"/>
        <v>4339.531296600742</v>
      </c>
      <c r="Q77" s="152">
        <f t="shared" si="6"/>
        <v>3838.2919177617687</v>
      </c>
      <c r="R77" s="152">
        <f t="shared" si="6"/>
        <v>3339.853606405035</v>
      </c>
      <c r="S77" s="152">
        <f t="shared" si="6"/>
        <v>2919.3171807436734</v>
      </c>
      <c r="T77" s="152">
        <f t="shared" si="6"/>
        <v>2571.3971339833215</v>
      </c>
      <c r="U77" s="152">
        <f t="shared" si="6"/>
        <v>2214.881570746417</v>
      </c>
      <c r="V77" s="152">
        <f t="shared" si="6"/>
        <v>1847.91897575154</v>
      </c>
      <c r="W77" s="152">
        <f t="shared" si="6"/>
        <v>1468.0409552410051</v>
      </c>
      <c r="X77" s="152">
        <f t="shared" si="6"/>
        <v>1072.6823270819527</v>
      </c>
      <c r="Y77" s="152">
        <f t="shared" si="6"/>
        <v>639.4825939971653</v>
      </c>
      <c r="Z77" s="152">
        <f t="shared" si="6"/>
        <v>154.82645615875137</v>
      </c>
      <c r="AA77" s="152">
        <f t="shared" si="6"/>
        <v>-353.0969358482386</v>
      </c>
      <c r="AB77" s="152">
        <f t="shared" si="6"/>
        <v>-1056.6317190306977</v>
      </c>
      <c r="AC77" s="152">
        <f t="shared" si="6"/>
        <v>-752.7687524386837</v>
      </c>
      <c r="AD77" s="152">
        <f>AD75*AD76</f>
        <v>0</v>
      </c>
      <c r="AE77" s="152">
        <f>AE75*AE76</f>
        <v>0</v>
      </c>
      <c r="AF77" s="152">
        <f>AF75*AF76</f>
        <v>0</v>
      </c>
      <c r="AG77" s="152">
        <f>AG75*AG76</f>
        <v>0</v>
      </c>
      <c r="AH77" s="152">
        <f>AH75*AH76</f>
        <v>0</v>
      </c>
    </row>
    <row r="78" spans="1:34" ht="12.75">
      <c r="A78" s="895"/>
      <c r="B78" s="894"/>
      <c r="C78" s="31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row>
    <row r="79" spans="1:34" ht="12.75">
      <c r="A79" s="895" t="s">
        <v>833</v>
      </c>
      <c r="B79" s="37" t="s">
        <v>841</v>
      </c>
      <c r="C79" s="312"/>
      <c r="E79" s="207">
        <f>'Keep RevReq'!K59</f>
        <v>6959.219048446363</v>
      </c>
      <c r="F79" s="207">
        <f>'Keep RevReq'!L59</f>
        <v>10189.248443469878</v>
      </c>
      <c r="G79" s="207">
        <f>'Keep RevReq'!M59</f>
        <v>11913.59738425797</v>
      </c>
      <c r="H79" s="207">
        <f>'Keep RevReq'!N59</f>
        <v>12033.695275960072</v>
      </c>
      <c r="I79" s="207">
        <f>'Keep RevReq'!O59</f>
        <v>12130.059933386257</v>
      </c>
      <c r="J79" s="207">
        <f>'Keep RevReq'!P59</f>
        <v>12234.539509332548</v>
      </c>
      <c r="K79" s="207">
        <f>'Keep RevReq'!Q59</f>
        <v>12348.132026069705</v>
      </c>
      <c r="L79" s="207">
        <f>'Keep RevReq'!R59</f>
        <v>12472.0146884407</v>
      </c>
      <c r="M79" s="207">
        <f>'Keep RevReq'!S59</f>
        <v>12607.588777072959</v>
      </c>
      <c r="N79" s="207">
        <f>'Keep RevReq'!T59</f>
        <v>12756.53950911693</v>
      </c>
      <c r="O79" s="207">
        <f>'Keep RevReq'!U59</f>
        <v>12920.917281265458</v>
      </c>
      <c r="P79" s="207">
        <f>'Keep RevReq'!V59</f>
        <v>13103.250163910212</v>
      </c>
      <c r="Q79" s="207">
        <f>'Keep RevReq'!W59</f>
        <v>13306.70327212798</v>
      </c>
      <c r="R79" s="207">
        <f>'Keep RevReq'!X59</f>
        <v>13535.310582816308</v>
      </c>
      <c r="S79" s="207">
        <f>'Keep RevReq'!Y59</f>
        <v>9353.675767969044</v>
      </c>
      <c r="T79" s="207">
        <f>'Keep RevReq'!Z59</f>
        <v>9650.100707413681</v>
      </c>
      <c r="U79" s="207">
        <f>'Keep RevReq'!AA59</f>
        <v>9993.583105995152</v>
      </c>
      <c r="V79" s="207">
        <f>'Keep RevReq'!AB59</f>
        <v>10397.91095803963</v>
      </c>
      <c r="W79" s="207">
        <f>'Keep RevReq'!AC59</f>
        <v>10883.77826024641</v>
      </c>
      <c r="X79" s="207">
        <f>'Keep RevReq'!AD59</f>
        <v>11484.31024577399</v>
      </c>
      <c r="Y79" s="207">
        <f>'Keep RevReq'!AE59</f>
        <v>12064.19894429906</v>
      </c>
      <c r="Z79" s="207">
        <f>'Keep RevReq'!AF59</f>
        <v>12462.389183952944</v>
      </c>
      <c r="AA79" s="207">
        <f>'Keep RevReq'!AG59</f>
        <v>12616.190164019254</v>
      </c>
      <c r="AB79" s="207">
        <f>'Keep RevReq'!AH59</f>
        <v>12647.873165912957</v>
      </c>
      <c r="AC79" s="207">
        <f>'Keep RevReq'!AI59</f>
        <v>0</v>
      </c>
      <c r="AD79" s="207">
        <f>'Keep RevReq'!AJ59</f>
        <v>0</v>
      </c>
      <c r="AE79" s="207">
        <f>'Keep RevReq'!AK59</f>
        <v>0</v>
      </c>
      <c r="AF79" s="207">
        <f>'Keep RevReq'!AL59</f>
        <v>0</v>
      </c>
      <c r="AG79" s="207">
        <f>'Keep RevReq'!AM59</f>
        <v>0</v>
      </c>
      <c r="AH79" s="207">
        <f>'Keep RevReq'!AN59</f>
        <v>0</v>
      </c>
    </row>
    <row r="80" spans="1:34" ht="12.75">
      <c r="A80" s="895"/>
      <c r="B80" s="37"/>
      <c r="C80" s="312"/>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row>
    <row r="81" spans="1:34" ht="12.75">
      <c r="A81" s="895" t="s">
        <v>836</v>
      </c>
      <c r="B81" s="344" t="s">
        <v>834</v>
      </c>
      <c r="C81" s="312"/>
      <c r="E81" s="207">
        <f>'Tax Depr'!L171</f>
        <v>609.9257503499999</v>
      </c>
      <c r="F81" s="207">
        <f>'Tax Depr'!M171</f>
        <v>6193.376636450077</v>
      </c>
      <c r="G81" s="207">
        <f>'Tax Depr'!N171</f>
        <v>14155.985493072163</v>
      </c>
      <c r="H81" s="207">
        <f>'Tax Depr'!O171</f>
        <v>16144.50174033212</v>
      </c>
      <c r="I81" s="207">
        <f>'Tax Depr'!P171</f>
        <v>15273.201965384676</v>
      </c>
      <c r="J81" s="207">
        <f>'Tax Depr'!Q171</f>
        <v>14436.04542511899</v>
      </c>
      <c r="K81" s="207">
        <f>'Tax Depr'!R171</f>
        <v>13671.692830453174</v>
      </c>
      <c r="L81" s="207">
        <f>'Tax Depr'!S171</f>
        <v>12994.430105021183</v>
      </c>
      <c r="M81" s="207">
        <f>'Tax Depr'!T171</f>
        <v>12387.864000093936</v>
      </c>
      <c r="N81" s="207">
        <f>'Tax Depr'!U171</f>
        <v>12252.107661080332</v>
      </c>
      <c r="O81" s="207">
        <f>'Tax Depr'!V171</f>
        <v>12430.486742719053</v>
      </c>
      <c r="P81" s="207">
        <f>'Tax Depr'!W171</f>
        <v>12664.710191602668</v>
      </c>
      <c r="Q81" s="207">
        <f>'Tax Depr'!X171</f>
        <v>12904.974745587895</v>
      </c>
      <c r="R81" s="207">
        <f>'Tax Depr'!Y171</f>
        <v>13154.08483348244</v>
      </c>
      <c r="S81" s="207">
        <f>'Tax Depr'!Z171</f>
        <v>13409.03062672406</v>
      </c>
      <c r="T81" s="207">
        <f>'Tax Depr'!AA171</f>
        <v>13673.262391052693</v>
      </c>
      <c r="U81" s="207">
        <f>'Tax Depr'!AB171</f>
        <v>13943.783511021422</v>
      </c>
      <c r="V81" s="207">
        <f>'Tax Depr'!AC171</f>
        <v>14224.057861878971</v>
      </c>
      <c r="W81" s="207">
        <f>'Tax Depr'!AD171</f>
        <v>14511.102845972488</v>
      </c>
      <c r="X81" s="207">
        <f>'Tax Depr'!AE171</f>
        <v>14640.55273472857</v>
      </c>
      <c r="Y81" s="207">
        <f>'Tax Depr'!AF171</f>
        <v>14676.563972137857</v>
      </c>
      <c r="Z81" s="207">
        <f>'Tax Depr'!AG171</f>
        <v>11429.190267795004</v>
      </c>
      <c r="AA81" s="207">
        <f>'Tax Depr'!AH171</f>
        <v>6369.254485976758</v>
      </c>
      <c r="AB81" s="207">
        <f>'Tax Depr'!AI171</f>
        <v>42459.842637568974</v>
      </c>
      <c r="AC81" s="207">
        <f>'Tax Depr'!AJ171</f>
        <v>0</v>
      </c>
      <c r="AD81" s="207">
        <f>'Tax Depr'!AK171</f>
        <v>0</v>
      </c>
      <c r="AE81" s="207">
        <f>'Tax Depr'!AL171</f>
        <v>0</v>
      </c>
      <c r="AF81" s="207">
        <f>'Tax Depr'!AM171</f>
        <v>0</v>
      </c>
      <c r="AG81" s="207">
        <f>'Tax Depr'!AN171</f>
        <v>0</v>
      </c>
      <c r="AH81" s="207">
        <f>'Tax Depr'!AO171</f>
        <v>0</v>
      </c>
    </row>
    <row r="82" spans="1:34" ht="12.75">
      <c r="A82" s="895" t="s">
        <v>837</v>
      </c>
      <c r="B82" s="344" t="s">
        <v>835</v>
      </c>
      <c r="C82" s="312"/>
      <c r="E82" s="207">
        <f>'Tax Depr'!L172</f>
        <v>6391.1227716250705</v>
      </c>
      <c r="F82" s="207">
        <f>'Tax Depr'!M172</f>
        <v>6382.294821744786</v>
      </c>
      <c r="G82" s="207">
        <f>'Tax Depr'!N172</f>
        <v>6374.1315493774155</v>
      </c>
      <c r="H82" s="207">
        <f>'Tax Depr'!O172</f>
        <v>6366.600688624276</v>
      </c>
      <c r="I82" s="207">
        <f>'Tax Depr'!P172</f>
        <v>6360.970289303698</v>
      </c>
      <c r="J82" s="207">
        <f>'Tax Depr'!Q172</f>
        <v>6360.970289303698</v>
      </c>
      <c r="K82" s="207">
        <f>'Tax Depr'!R172</f>
        <v>4273.250128622301</v>
      </c>
      <c r="L82" s="207">
        <f>'Tax Depr'!S172</f>
        <v>3921.893206161087</v>
      </c>
      <c r="M82" s="207">
        <f>'Tax Depr'!T172</f>
        <v>3681.2652801678023</v>
      </c>
      <c r="N82" s="207">
        <f>'Tax Depr'!U172</f>
        <v>3681.2652801678023</v>
      </c>
      <c r="O82" s="207">
        <f>'Tax Depr'!V172</f>
        <v>1530.3137481436704</v>
      </c>
      <c r="P82" s="207">
        <f>'Tax Depr'!W172</f>
        <v>1530.3137481436704</v>
      </c>
      <c r="Q82" s="207">
        <f>'Tax Depr'!X172</f>
        <v>802.8557063474984</v>
      </c>
      <c r="R82" s="207">
        <f>'Tax Depr'!Y172</f>
        <v>0</v>
      </c>
      <c r="S82" s="207">
        <f>'Tax Depr'!Z172</f>
        <v>0</v>
      </c>
      <c r="T82" s="207">
        <f>'Tax Depr'!AA172</f>
        <v>0</v>
      </c>
      <c r="U82" s="207">
        <f>'Tax Depr'!AB172</f>
        <v>0</v>
      </c>
      <c r="V82" s="207">
        <f>'Tax Depr'!AC172</f>
        <v>0</v>
      </c>
      <c r="W82" s="207">
        <f>'Tax Depr'!AD172</f>
        <v>0</v>
      </c>
      <c r="X82" s="207">
        <f>'Tax Depr'!AE172</f>
        <v>0</v>
      </c>
      <c r="Y82" s="207">
        <f>'Tax Depr'!AF172</f>
        <v>0</v>
      </c>
      <c r="Z82" s="207">
        <f>'Tax Depr'!AG172</f>
        <v>0</v>
      </c>
      <c r="AA82" s="207">
        <f>'Tax Depr'!AH172</f>
        <v>0</v>
      </c>
      <c r="AB82" s="207">
        <f>'Tax Depr'!AI172</f>
        <v>0</v>
      </c>
      <c r="AC82" s="207">
        <f>'Tax Depr'!AJ172</f>
        <v>0</v>
      </c>
      <c r="AD82" s="207">
        <f>'Tax Depr'!AK172</f>
        <v>0</v>
      </c>
      <c r="AE82" s="207">
        <f>'Tax Depr'!AL172</f>
        <v>0</v>
      </c>
      <c r="AF82" s="207">
        <f>'Tax Depr'!AM172</f>
        <v>0</v>
      </c>
      <c r="AG82" s="207">
        <f>'Tax Depr'!AN172</f>
        <v>0</v>
      </c>
      <c r="AH82" s="207">
        <f>'Tax Depr'!AO172</f>
        <v>0</v>
      </c>
    </row>
    <row r="83" spans="1:34" ht="12.75">
      <c r="A83" s="895" t="s">
        <v>839</v>
      </c>
      <c r="B83" s="344" t="s">
        <v>838</v>
      </c>
      <c r="C83" s="312"/>
      <c r="E83" s="892">
        <f>Inputs!$G$7</f>
        <v>0.475</v>
      </c>
      <c r="F83" s="892">
        <f>Inputs!$G$7</f>
        <v>0.475</v>
      </c>
      <c r="G83" s="892">
        <f>Inputs!$G$7</f>
        <v>0.475</v>
      </c>
      <c r="H83" s="892">
        <f>Inputs!$G$7</f>
        <v>0.475</v>
      </c>
      <c r="I83" s="892">
        <f>Inputs!$G$7</f>
        <v>0.475</v>
      </c>
      <c r="J83" s="892">
        <f>Inputs!$G$7</f>
        <v>0.475</v>
      </c>
      <c r="K83" s="892">
        <f>Inputs!$G$7</f>
        <v>0.475</v>
      </c>
      <c r="L83" s="892">
        <f>Inputs!$G$7</f>
        <v>0.475</v>
      </c>
      <c r="M83" s="892">
        <f>Inputs!$G$7</f>
        <v>0.475</v>
      </c>
      <c r="N83" s="892">
        <f>Inputs!$G$7</f>
        <v>0.475</v>
      </c>
      <c r="O83" s="892">
        <f>Inputs!$G$7</f>
        <v>0.475</v>
      </c>
      <c r="P83" s="892">
        <f>Inputs!$G$7</f>
        <v>0.475</v>
      </c>
      <c r="Q83" s="892">
        <f>Inputs!$G$7</f>
        <v>0.475</v>
      </c>
      <c r="R83" s="892">
        <f>Inputs!$G$7</f>
        <v>0.475</v>
      </c>
      <c r="S83" s="892">
        <f>Inputs!$G$7</f>
        <v>0.475</v>
      </c>
      <c r="T83" s="892">
        <f>Inputs!$G$7</f>
        <v>0.475</v>
      </c>
      <c r="U83" s="892">
        <f>Inputs!$G$7</f>
        <v>0.475</v>
      </c>
      <c r="V83" s="892">
        <f>Inputs!$G$7</f>
        <v>0.475</v>
      </c>
      <c r="W83" s="892">
        <f>Inputs!$G$7</f>
        <v>0.475</v>
      </c>
      <c r="X83" s="892">
        <f>Inputs!$G$7</f>
        <v>0.475</v>
      </c>
      <c r="Y83" s="892">
        <f>Inputs!$G$7</f>
        <v>0.475</v>
      </c>
      <c r="Z83" s="892">
        <f>Inputs!$G$7</f>
        <v>0.475</v>
      </c>
      <c r="AA83" s="892">
        <f>Inputs!$G$7</f>
        <v>0.475</v>
      </c>
      <c r="AB83" s="892">
        <f>Inputs!$G$7</f>
        <v>0.475</v>
      </c>
      <c r="AC83" s="892">
        <f>Inputs!$G$7</f>
        <v>0.475</v>
      </c>
      <c r="AD83" s="892">
        <f>Inputs!$G$7</f>
        <v>0.475</v>
      </c>
      <c r="AE83" s="892">
        <f>Inputs!$G$7</f>
        <v>0.475</v>
      </c>
      <c r="AF83" s="892">
        <f>Inputs!$G$7</f>
        <v>0.475</v>
      </c>
      <c r="AG83" s="892">
        <f>Inputs!$G$7</f>
        <v>0.475</v>
      </c>
      <c r="AH83" s="892">
        <f>Inputs!$G$7</f>
        <v>0.475</v>
      </c>
    </row>
    <row r="84" spans="1:34" ht="12.75">
      <c r="A84" s="895" t="s">
        <v>840</v>
      </c>
      <c r="B84" s="894" t="s">
        <v>829</v>
      </c>
      <c r="C84" s="312"/>
      <c r="E84" s="53">
        <f>(E81+E82)*E83</f>
        <v>3325.4980479381584</v>
      </c>
      <c r="F84" s="53">
        <f>(F81+F82)*F83</f>
        <v>5973.443942642559</v>
      </c>
      <c r="G84" s="53">
        <f aca="true" t="shared" si="7" ref="G84:AC84">(G81+G82)*G83</f>
        <v>9751.80559516355</v>
      </c>
      <c r="H84" s="53">
        <f t="shared" si="7"/>
        <v>10692.773653754286</v>
      </c>
      <c r="I84" s="53">
        <f t="shared" si="7"/>
        <v>10276.231820976978</v>
      </c>
      <c r="J84" s="53">
        <f t="shared" si="7"/>
        <v>9878.582464350775</v>
      </c>
      <c r="K84" s="53">
        <f t="shared" si="7"/>
        <v>8523.84790556085</v>
      </c>
      <c r="L84" s="53">
        <f t="shared" si="7"/>
        <v>8035.253572811578</v>
      </c>
      <c r="M84" s="53">
        <f t="shared" si="7"/>
        <v>7632.836408124325</v>
      </c>
      <c r="N84" s="53">
        <f t="shared" si="7"/>
        <v>7568.352147092863</v>
      </c>
      <c r="O84" s="53">
        <f t="shared" si="7"/>
        <v>6631.380233159793</v>
      </c>
      <c r="P84" s="53">
        <f t="shared" si="7"/>
        <v>6742.63637137951</v>
      </c>
      <c r="Q84" s="53">
        <f t="shared" si="7"/>
        <v>6511.2194646693115</v>
      </c>
      <c r="R84" s="53">
        <f t="shared" si="7"/>
        <v>6248.190295904159</v>
      </c>
      <c r="S84" s="53">
        <f t="shared" si="7"/>
        <v>6369.2895476939275</v>
      </c>
      <c r="T84" s="53">
        <f t="shared" si="7"/>
        <v>6494.799635750029</v>
      </c>
      <c r="U84" s="53">
        <f t="shared" si="7"/>
        <v>6623.297167735175</v>
      </c>
      <c r="V84" s="53">
        <f t="shared" si="7"/>
        <v>6756.427484392511</v>
      </c>
      <c r="W84" s="53">
        <f t="shared" si="7"/>
        <v>6892.7738518369315</v>
      </c>
      <c r="X84" s="53">
        <f t="shared" si="7"/>
        <v>6954.26254899607</v>
      </c>
      <c r="Y84" s="53">
        <f t="shared" si="7"/>
        <v>6971.367886765482</v>
      </c>
      <c r="Z84" s="53">
        <f t="shared" si="7"/>
        <v>5428.865377202626</v>
      </c>
      <c r="AA84" s="53">
        <f t="shared" si="7"/>
        <v>3025.39588083896</v>
      </c>
      <c r="AB84" s="53">
        <f t="shared" si="7"/>
        <v>20168.425252845263</v>
      </c>
      <c r="AC84" s="53">
        <f t="shared" si="7"/>
        <v>0</v>
      </c>
      <c r="AD84" s="53">
        <f>(AD81+AD82)*AD83</f>
        <v>0</v>
      </c>
      <c r="AE84" s="53">
        <f>(AE81+AE82)*AE83</f>
        <v>0</v>
      </c>
      <c r="AF84" s="53">
        <f>(AF81+AF82)*AF83</f>
        <v>0</v>
      </c>
      <c r="AG84" s="53">
        <f>(AG81+AG82)*AG83</f>
        <v>0</v>
      </c>
      <c r="AH84" s="53">
        <f>(AH81+AH82)*AH83</f>
        <v>0</v>
      </c>
    </row>
    <row r="85" spans="1:3" ht="12.75">
      <c r="A85" s="895"/>
      <c r="B85" s="312"/>
      <c r="C85" s="312"/>
    </row>
    <row r="86" spans="1:34" ht="12.75">
      <c r="A86" s="895" t="s">
        <v>843</v>
      </c>
      <c r="B86" s="37" t="s">
        <v>842</v>
      </c>
      <c r="C86" s="312"/>
      <c r="E86" s="207">
        <f>'Keep RevReq'!K61</f>
        <v>-460.123682707359</v>
      </c>
      <c r="F86" s="207">
        <f>'Keep RevReq'!L61</f>
        <v>-597.3148045370217</v>
      </c>
      <c r="G86" s="207">
        <f>'Keep RevReq'!M61</f>
        <v>222.23550773145118</v>
      </c>
      <c r="H86" s="207">
        <f>'Keep RevReq'!N61</f>
        <v>537.5396400270802</v>
      </c>
      <c r="I86" s="207">
        <f>'Keep RevReq'!O61</f>
        <v>343.4302028346191</v>
      </c>
      <c r="J86" s="207">
        <f>'Keep RevReq'!P61</f>
        <v>153.46753615150823</v>
      </c>
      <c r="K86" s="207">
        <f>'Keep RevReq'!Q61</f>
        <v>-403.3091098830429</v>
      </c>
      <c r="L86" s="207">
        <f>'Keep RevReq'!R61</f>
        <v>-635.0419092490692</v>
      </c>
      <c r="M86" s="207">
        <f>'Keep RevReq'!S61</f>
        <v>-838.4133170283576</v>
      </c>
      <c r="N86" s="207">
        <f>'Keep RevReq'!T61</f>
        <v>-918.4577544631939</v>
      </c>
      <c r="O86" s="207">
        <f>'Keep RevReq'!U61</f>
        <v>-1335.5488158730107</v>
      </c>
      <c r="P86" s="207">
        <f>'Keep RevReq'!V61</f>
        <v>-1361.314519559723</v>
      </c>
      <c r="Q86" s="207">
        <f>'Keep RevReq'!W61</f>
        <v>-1525.0745195520133</v>
      </c>
      <c r="R86" s="207">
        <f>'Keep RevReq'!X61</f>
        <v>-1710.2206127900708</v>
      </c>
      <c r="S86" s="207">
        <f>'Keep RevReq'!Y61</f>
        <v>-104.47431577237407</v>
      </c>
      <c r="T86" s="207">
        <f>'Keep RevReq'!Z61</f>
        <v>-167.3843689887341</v>
      </c>
      <c r="U86" s="207">
        <f>'Keep RevReq'!AA61</f>
        <v>-246.7126487101993</v>
      </c>
      <c r="V86" s="207">
        <f>'Keep RevReq'!AB61</f>
        <v>-346.97737036571885</v>
      </c>
      <c r="W86" s="207">
        <f>'Keep RevReq'!AC61</f>
        <v>-476.43541160589183</v>
      </c>
      <c r="X86" s="207">
        <f>'Keep RevReq'!AD61</f>
        <v>-677.0879672497975</v>
      </c>
      <c r="Y86" s="207">
        <f>'Keep RevReq'!AE61</f>
        <v>-886.8933135461263</v>
      </c>
      <c r="Z86" s="207">
        <f>'Keep RevReq'!AF61</f>
        <v>-1621.1232258014215</v>
      </c>
      <c r="AA86" s="207">
        <f>'Keep RevReq'!AG61</f>
        <v>-2591.112905595541</v>
      </c>
      <c r="AB86" s="207">
        <f>'Keep RevReq'!AH61</f>
        <v>3906.4489121190036</v>
      </c>
      <c r="AC86" s="207">
        <f>'Keep RevReq'!AI61</f>
        <v>0</v>
      </c>
      <c r="AD86" s="207">
        <f>'Keep RevReq'!AJ61</f>
        <v>0</v>
      </c>
      <c r="AE86" s="207">
        <f>'Keep RevReq'!AK61</f>
        <v>0</v>
      </c>
      <c r="AF86" s="207">
        <f>'Keep RevReq'!AL61</f>
        <v>0</v>
      </c>
      <c r="AG86" s="207">
        <f>'Keep RevReq'!AM61</f>
        <v>0</v>
      </c>
      <c r="AH86" s="207">
        <f>'Keep RevReq'!AN61</f>
        <v>0</v>
      </c>
    </row>
    <row r="87" spans="1:3" ht="12.75">
      <c r="A87" s="895"/>
      <c r="B87" s="312"/>
      <c r="C87" s="312"/>
    </row>
    <row r="88" spans="1:34" ht="12.75">
      <c r="A88" s="895" t="s">
        <v>845</v>
      </c>
      <c r="B88" s="312" t="s">
        <v>3</v>
      </c>
      <c r="C88" s="312"/>
      <c r="E88" s="175">
        <f>E77+E79-E84+E86</f>
        <v>6860.248003337117</v>
      </c>
      <c r="F88" s="175">
        <f>F77+F79-F84+F86</f>
        <v>9055.94742228826</v>
      </c>
      <c r="G88" s="175">
        <f aca="true" t="shared" si="8" ref="G88:AB88">G77+G79-G84+G86</f>
        <v>10499.12335806561</v>
      </c>
      <c r="H88" s="175">
        <f t="shared" si="8"/>
        <v>10491.954365314092</v>
      </c>
      <c r="I88" s="175">
        <f t="shared" si="8"/>
        <v>10243.661220503276</v>
      </c>
      <c r="J88" s="175">
        <f t="shared" si="8"/>
        <v>9983.955731735225</v>
      </c>
      <c r="K88" s="175">
        <f t="shared" si="8"/>
        <v>10342.997359953515</v>
      </c>
      <c r="L88" s="175">
        <f t="shared" si="8"/>
        <v>10191.363044941783</v>
      </c>
      <c r="M88" s="175">
        <f t="shared" si="8"/>
        <v>10003.108800356214</v>
      </c>
      <c r="N88" s="175">
        <f t="shared" si="8"/>
        <v>9618.199159488484</v>
      </c>
      <c r="O88" s="175">
        <f t="shared" si="8"/>
        <v>9794.168122613524</v>
      </c>
      <c r="P88" s="175">
        <f t="shared" si="8"/>
        <v>9338.830569571719</v>
      </c>
      <c r="Q88" s="175">
        <f t="shared" si="8"/>
        <v>9108.701205668423</v>
      </c>
      <c r="R88" s="175">
        <f t="shared" si="8"/>
        <v>8916.753280527115</v>
      </c>
      <c r="S88" s="175">
        <f t="shared" si="8"/>
        <v>5799.229085246416</v>
      </c>
      <c r="T88" s="175">
        <f t="shared" si="8"/>
        <v>5559.313836658239</v>
      </c>
      <c r="U88" s="175">
        <f t="shared" si="8"/>
        <v>5338.454860296194</v>
      </c>
      <c r="V88" s="175">
        <f t="shared" si="8"/>
        <v>5142.42507903294</v>
      </c>
      <c r="W88" s="175">
        <f t="shared" si="8"/>
        <v>4982.609952044592</v>
      </c>
      <c r="X88" s="175">
        <f t="shared" si="8"/>
        <v>4925.642056610075</v>
      </c>
      <c r="Y88" s="175">
        <f t="shared" si="8"/>
        <v>4845.420337984617</v>
      </c>
      <c r="Z88" s="175">
        <f t="shared" si="8"/>
        <v>5567.227037107647</v>
      </c>
      <c r="AA88" s="175">
        <f t="shared" si="8"/>
        <v>6646.584441736515</v>
      </c>
      <c r="AB88" s="175">
        <f t="shared" si="8"/>
        <v>-4670.734893844001</v>
      </c>
      <c r="AC88" s="175">
        <f aca="true" t="shared" si="9" ref="AC88:AH88">AC77+AC79-AC84+AC86</f>
        <v>-752.7687524386837</v>
      </c>
      <c r="AD88" s="175">
        <f t="shared" si="9"/>
        <v>0</v>
      </c>
      <c r="AE88" s="175">
        <f t="shared" si="9"/>
        <v>0</v>
      </c>
      <c r="AF88" s="175">
        <f t="shared" si="9"/>
        <v>0</v>
      </c>
      <c r="AG88" s="175">
        <f t="shared" si="9"/>
        <v>0</v>
      </c>
      <c r="AH88" s="175">
        <f t="shared" si="9"/>
        <v>0</v>
      </c>
    </row>
    <row r="89" spans="1:3" ht="12.75">
      <c r="A89" s="895"/>
      <c r="B89" s="312"/>
      <c r="C89" s="312"/>
    </row>
    <row r="90" spans="1:34" ht="12.75">
      <c r="A90" s="895" t="s">
        <v>846</v>
      </c>
      <c r="B90" s="312" t="s">
        <v>844</v>
      </c>
      <c r="C90" s="312"/>
      <c r="E90" s="407">
        <f>Inputs!$G$79/(1-Inputs!$G$79)</f>
        <v>0.6121491560399168</v>
      </c>
      <c r="F90" s="407">
        <f>Inputs!$G$79/(1-Inputs!$G$79)</f>
        <v>0.6121491560399168</v>
      </c>
      <c r="G90" s="407">
        <f>Inputs!$G$79/(1-Inputs!$G$79)</f>
        <v>0.6121491560399168</v>
      </c>
      <c r="H90" s="407">
        <f>Inputs!$G$79/(1-Inputs!$G$79)</f>
        <v>0.6121491560399168</v>
      </c>
      <c r="I90" s="407">
        <f>Inputs!$G$79/(1-Inputs!$G$79)</f>
        <v>0.6121491560399168</v>
      </c>
      <c r="J90" s="407">
        <f>Inputs!$G$79/(1-Inputs!$G$79)</f>
        <v>0.6121491560399168</v>
      </c>
      <c r="K90" s="407">
        <f>Inputs!$G$79/(1-Inputs!$G$79)</f>
        <v>0.6121491560399168</v>
      </c>
      <c r="L90" s="407">
        <f>Inputs!$G$79/(1-Inputs!$G$79)</f>
        <v>0.6121491560399168</v>
      </c>
      <c r="M90" s="407">
        <f>Inputs!$G$79/(1-Inputs!$G$79)</f>
        <v>0.6121491560399168</v>
      </c>
      <c r="N90" s="407">
        <f>Inputs!$G$79/(1-Inputs!$G$79)</f>
        <v>0.6121491560399168</v>
      </c>
      <c r="O90" s="407">
        <f>Inputs!$G$79/(1-Inputs!$G$79)</f>
        <v>0.6121491560399168</v>
      </c>
      <c r="P90" s="407">
        <f>Inputs!$G$79/(1-Inputs!$G$79)</f>
        <v>0.6121491560399168</v>
      </c>
      <c r="Q90" s="407">
        <f>Inputs!$G$79/(1-Inputs!$G$79)</f>
        <v>0.6121491560399168</v>
      </c>
      <c r="R90" s="407">
        <f>Inputs!$G$79/(1-Inputs!$G$79)</f>
        <v>0.6121491560399168</v>
      </c>
      <c r="S90" s="407">
        <f>Inputs!$G$79/(1-Inputs!$G$79)</f>
        <v>0.6121491560399168</v>
      </c>
      <c r="T90" s="407">
        <f>Inputs!$G$79/(1-Inputs!$G$79)</f>
        <v>0.6121491560399168</v>
      </c>
      <c r="U90" s="407">
        <f>Inputs!$G$79/(1-Inputs!$G$79)</f>
        <v>0.6121491560399168</v>
      </c>
      <c r="V90" s="407">
        <f>Inputs!$G$79/(1-Inputs!$G$79)</f>
        <v>0.6121491560399168</v>
      </c>
      <c r="W90" s="407">
        <f>Inputs!$G$79/(1-Inputs!$G$79)</f>
        <v>0.6121491560399168</v>
      </c>
      <c r="X90" s="407">
        <f>Inputs!$G$79/(1-Inputs!$G$79)</f>
        <v>0.6121491560399168</v>
      </c>
      <c r="Y90" s="407">
        <f>Inputs!$G$79/(1-Inputs!$G$79)</f>
        <v>0.6121491560399168</v>
      </c>
      <c r="Z90" s="407">
        <f>Inputs!$G$79/(1-Inputs!$G$79)</f>
        <v>0.6121491560399168</v>
      </c>
      <c r="AA90" s="407">
        <f>Inputs!$G$79/(1-Inputs!$G$79)</f>
        <v>0.6121491560399168</v>
      </c>
      <c r="AB90" s="407">
        <f>Inputs!$G$79/(1-Inputs!$G$79)</f>
        <v>0.6121491560399168</v>
      </c>
      <c r="AC90" s="407">
        <f>Inputs!$G$79/(1-Inputs!$G$79)</f>
        <v>0.6121491560399168</v>
      </c>
      <c r="AD90" s="407">
        <f>Inputs!$G$79/(1-Inputs!$G$79)</f>
        <v>0.6121491560399168</v>
      </c>
      <c r="AE90" s="407">
        <f>Inputs!$G$79/(1-Inputs!$G$79)</f>
        <v>0.6121491560399168</v>
      </c>
      <c r="AF90" s="407">
        <f>Inputs!$G$79/(1-Inputs!$G$79)</f>
        <v>0.6121491560399168</v>
      </c>
      <c r="AG90" s="407">
        <f>Inputs!$G$79/(1-Inputs!$G$79)</f>
        <v>0.6121491560399168</v>
      </c>
      <c r="AH90" s="407">
        <f>Inputs!$G$79/(1-Inputs!$G$79)</f>
        <v>0.6121491560399168</v>
      </c>
    </row>
    <row r="91" spans="1:3" ht="12.75">
      <c r="A91" s="895"/>
      <c r="B91" s="312"/>
      <c r="C91" s="312"/>
    </row>
    <row r="92" spans="1:34" ht="12.75">
      <c r="A92" s="895" t="s">
        <v>847</v>
      </c>
      <c r="B92" s="312"/>
      <c r="C92" s="312"/>
      <c r="E92" s="53">
        <f>E88*E90</f>
        <v>4199.49502546734</v>
      </c>
      <c r="F92" s="53">
        <f>F88*F90</f>
        <v>5543.590571695619</v>
      </c>
      <c r="G92" s="53">
        <f aca="true" t="shared" si="10" ref="G92:AB92">G88*G90</f>
        <v>6427.02950279884</v>
      </c>
      <c r="H92" s="53">
        <f t="shared" si="10"/>
        <v>6422.641009936342</v>
      </c>
      <c r="I92" s="53">
        <f t="shared" si="10"/>
        <v>6270.6485708899045</v>
      </c>
      <c r="J92" s="53">
        <f t="shared" si="10"/>
        <v>6111.670075121608</v>
      </c>
      <c r="K92" s="53">
        <f t="shared" si="10"/>
        <v>6331.457104818632</v>
      </c>
      <c r="L92" s="53">
        <f t="shared" si="10"/>
        <v>6238.634286857509</v>
      </c>
      <c r="M92" s="53">
        <f t="shared" si="10"/>
        <v>6123.394609913522</v>
      </c>
      <c r="N92" s="53">
        <f t="shared" si="10"/>
        <v>5887.772498104713</v>
      </c>
      <c r="O92" s="53">
        <f t="shared" si="10"/>
        <v>5995.491750370926</v>
      </c>
      <c r="P92" s="53">
        <f t="shared" si="10"/>
        <v>5716.757251563104</v>
      </c>
      <c r="Q92" s="53">
        <f t="shared" si="10"/>
        <v>5575.883755669698</v>
      </c>
      <c r="R92" s="53">
        <f t="shared" si="10"/>
        <v>5458.382995290833</v>
      </c>
      <c r="S92" s="53">
        <f t="shared" si="10"/>
        <v>3549.9931902157323</v>
      </c>
      <c r="T92" s="53">
        <f t="shared" si="10"/>
        <v>3403.1292732713728</v>
      </c>
      <c r="U92" s="53">
        <f t="shared" si="10"/>
        <v>3267.930637287507</v>
      </c>
      <c r="V92" s="53">
        <f t="shared" si="10"/>
        <v>3147.9311721285167</v>
      </c>
      <c r="W92" s="53">
        <f t="shared" si="10"/>
        <v>3050.1004770201876</v>
      </c>
      <c r="X92" s="53">
        <f t="shared" si="10"/>
        <v>3015.2276279085777</v>
      </c>
      <c r="Y92" s="53">
        <f t="shared" si="10"/>
        <v>2966.1199705559316</v>
      </c>
      <c r="Z92" s="53">
        <f t="shared" si="10"/>
        <v>3407.973332248053</v>
      </c>
      <c r="AA92" s="53">
        <f t="shared" si="10"/>
        <v>4068.7010565570495</v>
      </c>
      <c r="AB92" s="53">
        <f t="shared" si="10"/>
        <v>-2859.186423352796</v>
      </c>
      <c r="AC92" s="53">
        <f aca="true" t="shared" si="11" ref="AC92:AH92">AC88*AC90</f>
        <v>-460.8067564985613</v>
      </c>
      <c r="AD92" s="53">
        <f t="shared" si="11"/>
        <v>0</v>
      </c>
      <c r="AE92" s="53">
        <f t="shared" si="11"/>
        <v>0</v>
      </c>
      <c r="AF92" s="53">
        <f t="shared" si="11"/>
        <v>0</v>
      </c>
      <c r="AG92" s="53">
        <f t="shared" si="11"/>
        <v>0</v>
      </c>
      <c r="AH92" s="53">
        <f t="shared" si="11"/>
        <v>0</v>
      </c>
    </row>
    <row r="93" spans="1:3" ht="12.75">
      <c r="A93" s="895"/>
      <c r="B93" s="312"/>
      <c r="C93" s="312"/>
    </row>
    <row r="94" spans="1:3" ht="12.75">
      <c r="A94" s="312"/>
      <c r="B94" s="312"/>
      <c r="C94" s="312"/>
    </row>
    <row r="96" spans="5:34" ht="12.75">
      <c r="E96" s="893">
        <v>2000</v>
      </c>
      <c r="F96" s="893">
        <f>E96+1</f>
        <v>2001</v>
      </c>
      <c r="G96" s="893">
        <f aca="true" t="shared" si="12" ref="G96:AG96">F96+1</f>
        <v>2002</v>
      </c>
      <c r="H96" s="893">
        <f t="shared" si="12"/>
        <v>2003</v>
      </c>
      <c r="I96" s="893">
        <f t="shared" si="12"/>
        <v>2004</v>
      </c>
      <c r="J96" s="893">
        <f t="shared" si="12"/>
        <v>2005</v>
      </c>
      <c r="K96" s="893">
        <f t="shared" si="12"/>
        <v>2006</v>
      </c>
      <c r="L96" s="893">
        <f t="shared" si="12"/>
        <v>2007</v>
      </c>
      <c r="M96" s="893">
        <f t="shared" si="12"/>
        <v>2008</v>
      </c>
      <c r="N96" s="893">
        <f t="shared" si="12"/>
        <v>2009</v>
      </c>
      <c r="O96" s="893">
        <f t="shared" si="12"/>
        <v>2010</v>
      </c>
      <c r="P96" s="893">
        <f t="shared" si="12"/>
        <v>2011</v>
      </c>
      <c r="Q96" s="893">
        <f t="shared" si="12"/>
        <v>2012</v>
      </c>
      <c r="R96" s="893">
        <f t="shared" si="12"/>
        <v>2013</v>
      </c>
      <c r="S96" s="893">
        <f t="shared" si="12"/>
        <v>2014</v>
      </c>
      <c r="T96" s="893">
        <f t="shared" si="12"/>
        <v>2015</v>
      </c>
      <c r="U96" s="893">
        <f t="shared" si="12"/>
        <v>2016</v>
      </c>
      <c r="V96" s="893">
        <f t="shared" si="12"/>
        <v>2017</v>
      </c>
      <c r="W96" s="893">
        <f t="shared" si="12"/>
        <v>2018</v>
      </c>
      <c r="X96" s="893">
        <f t="shared" si="12"/>
        <v>2019</v>
      </c>
      <c r="Y96" s="893">
        <f t="shared" si="12"/>
        <v>2020</v>
      </c>
      <c r="Z96" s="893">
        <f t="shared" si="12"/>
        <v>2021</v>
      </c>
      <c r="AA96" s="893">
        <f t="shared" si="12"/>
        <v>2022</v>
      </c>
      <c r="AB96" s="893">
        <f t="shared" si="12"/>
        <v>2023</v>
      </c>
      <c r="AC96" s="893">
        <f t="shared" si="12"/>
        <v>2024</v>
      </c>
      <c r="AD96" s="893">
        <f t="shared" si="12"/>
        <v>2025</v>
      </c>
      <c r="AE96" s="893">
        <f t="shared" si="12"/>
        <v>2026</v>
      </c>
      <c r="AF96" s="893">
        <f t="shared" si="12"/>
        <v>2027</v>
      </c>
      <c r="AG96" s="893">
        <f t="shared" si="12"/>
        <v>2028</v>
      </c>
      <c r="AH96" s="893">
        <f>AG96+1</f>
        <v>2029</v>
      </c>
    </row>
    <row r="97" spans="1:2" ht="12.75">
      <c r="A97" s="122"/>
      <c r="B97" s="36" t="s">
        <v>849</v>
      </c>
    </row>
    <row r="98" spans="1:34" ht="12.75">
      <c r="A98" s="895" t="s">
        <v>830</v>
      </c>
      <c r="B98" s="37" t="s">
        <v>61</v>
      </c>
      <c r="C98" s="312"/>
      <c r="E98" s="207">
        <f>'Keep RevReq'!K32</f>
        <v>25571.352634705083</v>
      </c>
      <c r="F98" s="207">
        <f>'Keep RevReq'!L32</f>
        <v>22147.89906604074</v>
      </c>
      <c r="G98" s="207">
        <f>'Keep RevReq'!M32</f>
        <v>19292.65282886072</v>
      </c>
      <c r="H98" s="207">
        <f>'Keep RevReq'!N32</f>
        <v>16171.25048050886</v>
      </c>
      <c r="I98" s="207">
        <f>'Keep RevReq'!O32</f>
        <v>10670.968370496732</v>
      </c>
      <c r="J98" s="207">
        <f>'Keep RevReq'!P32</f>
        <v>4637.360656189539</v>
      </c>
      <c r="K98" s="207">
        <f>'Keep RevReq'!Q32</f>
        <v>485.3334505042585</v>
      </c>
      <c r="L98" s="207">
        <f>'Keep RevReq'!R32</f>
        <v>-884.3973830530567</v>
      </c>
      <c r="M98" s="207">
        <f>'Keep RevReq'!S32</f>
        <v>-600.2853472265415</v>
      </c>
      <c r="N98" s="207">
        <f>'Keep RevReq'!T32</f>
        <v>403.5905762862585</v>
      </c>
      <c r="O98" s="207">
        <f>'Keep RevReq'!U32</f>
        <v>2618.790048074011</v>
      </c>
      <c r="P98" s="207">
        <f>'Keep RevReq'!V32</f>
        <v>6351.295706774024</v>
      </c>
      <c r="Q98" s="207">
        <f>'Keep RevReq'!W32</f>
        <v>11060.075185687383</v>
      </c>
      <c r="R98" s="207">
        <f>'Keep RevReq'!X32</f>
        <v>15197.65710540222</v>
      </c>
      <c r="S98" s="207">
        <f>'Keep RevReq'!Y32</f>
        <v>16854.063687047023</v>
      </c>
      <c r="T98" s="207">
        <f>'Keep RevReq'!Z32</f>
        <v>17379.62581991652</v>
      </c>
      <c r="U98" s="207">
        <f>'Keep RevReq'!AA32</f>
        <v>15635.855872335738</v>
      </c>
      <c r="V98" s="207">
        <f>'Keep RevReq'!AB32</f>
        <v>12635.884142997704</v>
      </c>
      <c r="W98" s="207">
        <f>'Keep RevReq'!AC32</f>
        <v>9357.98250745556</v>
      </c>
      <c r="X98" s="207">
        <f>'Keep RevReq'!AD32</f>
        <v>4187.38265125105</v>
      </c>
      <c r="Y98" s="207">
        <f>'Keep RevReq'!AE32</f>
        <v>-1181.075795909147</v>
      </c>
      <c r="Z98" s="207">
        <f>'Keep RevReq'!AF32</f>
        <v>-8330.560620584383</v>
      </c>
      <c r="AA98" s="207">
        <f>'Keep RevReq'!AG32</f>
        <v>-15219.403680894928</v>
      </c>
      <c r="AB98" s="207">
        <f>'Keep RevReq'!AH32</f>
        <v>-24180.650807354876</v>
      </c>
      <c r="AC98" s="207">
        <f>'Keep RevReq'!AI32</f>
        <v>-32112.65087274723</v>
      </c>
      <c r="AD98" s="207">
        <f>'Keep RevReq'!AJ32</f>
        <v>-33515.06811497075</v>
      </c>
      <c r="AE98" s="207">
        <f>'Keep RevReq'!AK32</f>
        <v>-33450.57367529877</v>
      </c>
      <c r="AF98" s="207">
        <f>'Keep RevReq'!AL32</f>
        <v>-33384.144402436636</v>
      </c>
      <c r="AG98" s="207">
        <f>'Keep RevReq'!AM32</f>
        <v>-28594.256774144756</v>
      </c>
      <c r="AH98" s="207">
        <f>'Keep RevReq'!AN32</f>
        <v>-12024.452708218732</v>
      </c>
    </row>
    <row r="99" spans="1:34" ht="12.75">
      <c r="A99" s="895" t="s">
        <v>831</v>
      </c>
      <c r="B99" s="37" t="s">
        <v>828</v>
      </c>
      <c r="C99" s="312"/>
      <c r="E99" s="892">
        <f>Inputs!$H$74+Inputs!$H$75</f>
        <v>0.0573068</v>
      </c>
      <c r="F99" s="892">
        <f>Inputs!$H$74+Inputs!$H$75</f>
        <v>0.0573068</v>
      </c>
      <c r="G99" s="892">
        <f>Inputs!$H$74+Inputs!$H$75</f>
        <v>0.0573068</v>
      </c>
      <c r="H99" s="892">
        <f>Inputs!$H$74+Inputs!$H$75</f>
        <v>0.0573068</v>
      </c>
      <c r="I99" s="892">
        <f>Inputs!$H$74+Inputs!$H$75</f>
        <v>0.0573068</v>
      </c>
      <c r="J99" s="892">
        <f>Inputs!$H$74+Inputs!$H$75</f>
        <v>0.0573068</v>
      </c>
      <c r="K99" s="892">
        <f>Inputs!$H$74+Inputs!$H$75</f>
        <v>0.0573068</v>
      </c>
      <c r="L99" s="892">
        <f>Inputs!$H$74+Inputs!$H$75</f>
        <v>0.0573068</v>
      </c>
      <c r="M99" s="892">
        <f>Inputs!$H$74+Inputs!$H$75</f>
        <v>0.0573068</v>
      </c>
      <c r="N99" s="892">
        <f>Inputs!$H$74+Inputs!$H$75</f>
        <v>0.0573068</v>
      </c>
      <c r="O99" s="892">
        <f>Inputs!$H$74+Inputs!$H$75</f>
        <v>0.0573068</v>
      </c>
      <c r="P99" s="892">
        <f>Inputs!$H$74+Inputs!$H$75</f>
        <v>0.0573068</v>
      </c>
      <c r="Q99" s="892">
        <f>Inputs!$H$74+Inputs!$H$75</f>
        <v>0.0573068</v>
      </c>
      <c r="R99" s="892">
        <f>Inputs!$H$74+Inputs!$H$75</f>
        <v>0.0573068</v>
      </c>
      <c r="S99" s="892">
        <f>Inputs!$H$74+Inputs!$H$75</f>
        <v>0.0573068</v>
      </c>
      <c r="T99" s="892">
        <f>Inputs!$H$74+Inputs!$H$75</f>
        <v>0.0573068</v>
      </c>
      <c r="U99" s="892">
        <f>Inputs!$H$74+Inputs!$H$75</f>
        <v>0.0573068</v>
      </c>
      <c r="V99" s="892">
        <f>Inputs!$H$74+Inputs!$H$75</f>
        <v>0.0573068</v>
      </c>
      <c r="W99" s="892">
        <f>Inputs!$H$74+Inputs!$H$75</f>
        <v>0.0573068</v>
      </c>
      <c r="X99" s="892">
        <f>Inputs!$H$74+Inputs!$H$75</f>
        <v>0.0573068</v>
      </c>
      <c r="Y99" s="892">
        <f>Inputs!$H$74+Inputs!$H$75</f>
        <v>0.0573068</v>
      </c>
      <c r="Z99" s="892">
        <f>Inputs!$H$74+Inputs!$H$75</f>
        <v>0.0573068</v>
      </c>
      <c r="AA99" s="892">
        <f>Inputs!$H$74+Inputs!$H$75</f>
        <v>0.0573068</v>
      </c>
      <c r="AB99" s="892">
        <f>Inputs!$H$74+Inputs!$H$75</f>
        <v>0.0573068</v>
      </c>
      <c r="AC99" s="892">
        <f>Inputs!$H$74+Inputs!$H$75</f>
        <v>0.0573068</v>
      </c>
      <c r="AD99" s="892">
        <f>Inputs!$H$74+Inputs!$H$75</f>
        <v>0.0573068</v>
      </c>
      <c r="AE99" s="892">
        <f>Inputs!$H$74+Inputs!$H$75</f>
        <v>0.0573068</v>
      </c>
      <c r="AF99" s="892">
        <f>Inputs!$H$74+Inputs!$H$75</f>
        <v>0.0573068</v>
      </c>
      <c r="AG99" s="892">
        <f>Inputs!$H$74+Inputs!$H$75</f>
        <v>0.0573068</v>
      </c>
      <c r="AH99" s="892">
        <f>Inputs!$H$74+Inputs!$H$75</f>
        <v>0.0573068</v>
      </c>
    </row>
    <row r="100" spans="1:34" ht="12.75">
      <c r="A100" s="895" t="s">
        <v>832</v>
      </c>
      <c r="B100" s="894"/>
      <c r="C100" s="312"/>
      <c r="D100" s="894" t="s">
        <v>829</v>
      </c>
      <c r="E100" s="53">
        <f aca="true" t="shared" si="13" ref="E100:AH100">E98*E99</f>
        <v>1465.4123911665172</v>
      </c>
      <c r="F100" s="53">
        <f t="shared" si="13"/>
        <v>1269.2252221977835</v>
      </c>
      <c r="G100" s="53">
        <f t="shared" si="13"/>
        <v>1105.6001971329554</v>
      </c>
      <c r="H100" s="53">
        <f t="shared" si="13"/>
        <v>926.722617036425</v>
      </c>
      <c r="I100" s="53">
        <f t="shared" si="13"/>
        <v>611.5190502143821</v>
      </c>
      <c r="J100" s="53">
        <f t="shared" si="13"/>
        <v>265.7522996521227</v>
      </c>
      <c r="K100" s="53">
        <f t="shared" si="13"/>
        <v>27.81290698135744</v>
      </c>
      <c r="L100" s="53">
        <f t="shared" si="13"/>
        <v>-50.68198395114491</v>
      </c>
      <c r="M100" s="53">
        <f t="shared" si="13"/>
        <v>-34.400432336441966</v>
      </c>
      <c r="N100" s="53">
        <f t="shared" si="13"/>
        <v>23.128484437121358</v>
      </c>
      <c r="O100" s="53">
        <f t="shared" si="13"/>
        <v>150.0744775269677</v>
      </c>
      <c r="P100" s="53">
        <f t="shared" si="13"/>
        <v>363.97243280895765</v>
      </c>
      <c r="Q100" s="53">
        <f t="shared" si="13"/>
        <v>633.8175166511497</v>
      </c>
      <c r="R100" s="53">
        <f t="shared" si="13"/>
        <v>870.929096207864</v>
      </c>
      <c r="S100" s="53">
        <f t="shared" si="13"/>
        <v>965.8524569008663</v>
      </c>
      <c r="T100" s="53">
        <f t="shared" si="13"/>
        <v>995.970740936792</v>
      </c>
      <c r="U100" s="53">
        <f t="shared" si="13"/>
        <v>896.0408653047697</v>
      </c>
      <c r="V100" s="53">
        <f t="shared" si="13"/>
        <v>724.1220854059408</v>
      </c>
      <c r="W100" s="53">
        <f t="shared" si="13"/>
        <v>536.2760319582542</v>
      </c>
      <c r="X100" s="53">
        <f t="shared" si="13"/>
        <v>239.9655001187137</v>
      </c>
      <c r="Y100" s="53">
        <f t="shared" si="13"/>
        <v>-67.6836744210063</v>
      </c>
      <c r="Z100" s="53">
        <f t="shared" si="13"/>
        <v>-477.3977713717051</v>
      </c>
      <c r="AA100" s="53">
        <f t="shared" si="13"/>
        <v>-872.1753228603094</v>
      </c>
      <c r="AB100" s="53">
        <f t="shared" si="13"/>
        <v>-1385.7157196869243</v>
      </c>
      <c r="AC100" s="53">
        <f t="shared" si="13"/>
        <v>-1840.2732610343508</v>
      </c>
      <c r="AD100" s="53">
        <f t="shared" si="13"/>
        <v>-1920.6413054510058</v>
      </c>
      <c r="AE100" s="53">
        <f t="shared" si="13"/>
        <v>-1916.9453354956115</v>
      </c>
      <c r="AF100" s="53">
        <f t="shared" si="13"/>
        <v>-1913.1384864415556</v>
      </c>
      <c r="AG100" s="53">
        <f t="shared" si="13"/>
        <v>-1638.6453541045587</v>
      </c>
      <c r="AH100" s="53">
        <f t="shared" si="13"/>
        <v>-689.0829064593493</v>
      </c>
    </row>
    <row r="101" spans="1:34" ht="12.75">
      <c r="A101" s="895"/>
      <c r="B101" s="894"/>
      <c r="C101" s="31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row>
    <row r="102" spans="1:34" ht="12.75">
      <c r="A102" s="895" t="s">
        <v>833</v>
      </c>
      <c r="B102" s="37" t="s">
        <v>856</v>
      </c>
      <c r="C102" s="312"/>
      <c r="D102" s="894" t="s">
        <v>829</v>
      </c>
      <c r="E102" s="207">
        <f>'Book Depr'!L166</f>
        <v>6384.321591024453</v>
      </c>
      <c r="F102" s="207">
        <f>'Book Depr'!M166</f>
        <v>7390.859719457905</v>
      </c>
      <c r="G102" s="207">
        <f>'Book Depr'!N166</f>
        <v>7602.394103762849</v>
      </c>
      <c r="H102" s="207">
        <f>'Book Depr'!O166</f>
        <v>8471.679314393643</v>
      </c>
      <c r="I102" s="207">
        <f>'Book Depr'!P166</f>
        <v>8736.84594028265</v>
      </c>
      <c r="J102" s="207">
        <f>'Book Depr'!Q166</f>
        <v>8424.339691243613</v>
      </c>
      <c r="K102" s="207">
        <f>'Book Depr'!R166</f>
        <v>7623.391925538925</v>
      </c>
      <c r="L102" s="207">
        <f>'Book Depr'!S166</f>
        <v>6707.924376719965</v>
      </c>
      <c r="M102" s="207">
        <f>'Book Depr'!T166</f>
        <v>6330.68312081889</v>
      </c>
      <c r="N102" s="207">
        <f>'Book Depr'!U166</f>
        <v>5845.92970855083</v>
      </c>
      <c r="O102" s="207">
        <f>'Book Depr'!V166</f>
        <v>5550.040208003677</v>
      </c>
      <c r="P102" s="207">
        <f>'Book Depr'!W166</f>
        <v>5419.384405145208</v>
      </c>
      <c r="Q102" s="207">
        <f>'Book Depr'!X166</f>
        <v>5187.422085990095</v>
      </c>
      <c r="R102" s="207">
        <f>'Book Depr'!Y166</f>
        <v>5060.27972527466</v>
      </c>
      <c r="S102" s="207">
        <f>'Book Depr'!Z166</f>
        <v>5216.059268671555</v>
      </c>
      <c r="T102" s="207">
        <f>'Book Depr'!AA166</f>
        <v>5376.512209368635</v>
      </c>
      <c r="U102" s="207">
        <f>'Book Depr'!AB166</f>
        <v>5541.7787382866245</v>
      </c>
      <c r="V102" s="207">
        <f>'Book Depr'!AC166</f>
        <v>6174.082995057797</v>
      </c>
      <c r="W102" s="207">
        <f>'Book Depr'!AD166</f>
        <v>6521.908711646869</v>
      </c>
      <c r="X102" s="207">
        <f>'Book Depr'!AE166</f>
        <v>7108.943289458406</v>
      </c>
      <c r="Y102" s="207">
        <f>'Book Depr'!AF166</f>
        <v>7625.224912448088</v>
      </c>
      <c r="Z102" s="207">
        <f>'Book Depr'!AG166</f>
        <v>8005.303464259314</v>
      </c>
      <c r="AA102" s="207">
        <f>'Book Depr'!AH166</f>
        <v>8084.2998416965</v>
      </c>
      <c r="AB102" s="207">
        <f>'Book Depr'!AI166</f>
        <v>13737.33594869508</v>
      </c>
      <c r="AC102" s="207">
        <f>'Book Depr'!AJ166</f>
        <v>0</v>
      </c>
      <c r="AD102" s="207">
        <f>'Book Depr'!AK166</f>
        <v>0</v>
      </c>
      <c r="AE102" s="207">
        <f>'Book Depr'!AL166</f>
        <v>0</v>
      </c>
      <c r="AF102" s="207">
        <f>'Book Depr'!AM166</f>
        <v>0</v>
      </c>
      <c r="AG102" s="207">
        <f>'Book Depr'!AN166</f>
        <v>0</v>
      </c>
      <c r="AH102" s="207">
        <f>'Book Depr'!AO166</f>
        <v>0</v>
      </c>
    </row>
    <row r="103" spans="1:34" ht="12.75">
      <c r="A103" s="895"/>
      <c r="B103" s="37"/>
      <c r="C103" s="312"/>
      <c r="E103" s="207"/>
      <c r="F103" s="207"/>
      <c r="G103" s="207"/>
      <c r="H103" s="207"/>
      <c r="I103" s="207"/>
      <c r="J103" s="207"/>
      <c r="K103" s="207"/>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c r="AG103" s="207"/>
      <c r="AH103" s="207"/>
    </row>
    <row r="104" spans="1:34" ht="12.75">
      <c r="A104" s="895" t="s">
        <v>836</v>
      </c>
      <c r="B104" s="344" t="s">
        <v>834</v>
      </c>
      <c r="C104" s="312"/>
      <c r="E104" s="207">
        <f>'Tax Depr'!L173</f>
        <v>4571.228549703159</v>
      </c>
      <c r="F104" s="207">
        <f>'Tax Depr'!M173</f>
        <v>7792.36391566842</v>
      </c>
      <c r="G104" s="207">
        <f>'Tax Depr'!N173</f>
        <v>10306.415043850395</v>
      </c>
      <c r="H104" s="207">
        <f>'Tax Depr'!O173</f>
        <v>11754.069337559371</v>
      </c>
      <c r="I104" s="207">
        <f>'Tax Depr'!P173</f>
        <v>11837.125092571308</v>
      </c>
      <c r="J104" s="207">
        <f>'Tax Depr'!Q173</f>
        <v>11747.794471009483</v>
      </c>
      <c r="K104" s="207">
        <f>'Tax Depr'!R173</f>
        <v>11770.668995793647</v>
      </c>
      <c r="L104" s="207">
        <f>'Tax Depr'!S173</f>
        <v>11529.307819541455</v>
      </c>
      <c r="M104" s="207">
        <f>'Tax Depr'!T173</f>
        <v>11143.550866753645</v>
      </c>
      <c r="N104" s="207">
        <f>'Tax Depr'!U173</f>
        <v>10721.779331695127</v>
      </c>
      <c r="O104" s="207">
        <f>'Tax Depr'!V173</f>
        <v>10449.534611231495</v>
      </c>
      <c r="P104" s="207">
        <f>'Tax Depr'!W173</f>
        <v>10575.33649548742</v>
      </c>
      <c r="Q104" s="207">
        <f>'Tax Depr'!X173</f>
        <v>10892.596590352043</v>
      </c>
      <c r="R104" s="207">
        <f>'Tax Depr'!Y173</f>
        <v>11219.374488062604</v>
      </c>
      <c r="S104" s="207">
        <f>'Tax Depr'!Z173</f>
        <v>11555.95572270448</v>
      </c>
      <c r="T104" s="207">
        <f>'Tax Depr'!AA173</f>
        <v>11902.634394385614</v>
      </c>
      <c r="U104" s="207">
        <f>'Tax Depr'!AB173</f>
        <v>12259.713426217182</v>
      </c>
      <c r="V104" s="207">
        <f>'Tax Depr'!AC173</f>
        <v>12627.5048290037</v>
      </c>
      <c r="W104" s="207">
        <f>'Tax Depr'!AD173</f>
        <v>13006.329973873808</v>
      </c>
      <c r="X104" s="207">
        <f>'Tax Depr'!AE173</f>
        <v>13396.519873090023</v>
      </c>
      <c r="Y104" s="207">
        <f>'Tax Depr'!AF173</f>
        <v>13266.743280688148</v>
      </c>
      <c r="Z104" s="207">
        <f>'Tax Depr'!AG173</f>
        <v>12205.950943633072</v>
      </c>
      <c r="AA104" s="207">
        <f>'Tax Depr'!AH173</f>
        <v>10418.839956218088</v>
      </c>
      <c r="AB104" s="207">
        <f>'Tax Depr'!AI173</f>
        <v>24639.42533902375</v>
      </c>
      <c r="AC104" s="207">
        <f>'Tax Depr'!AJ173</f>
        <v>0</v>
      </c>
      <c r="AD104" s="207">
        <f>'Tax Depr'!AK173</f>
        <v>0</v>
      </c>
      <c r="AE104" s="207">
        <f>'Tax Depr'!AL173</f>
        <v>0</v>
      </c>
      <c r="AF104" s="207">
        <f>'Tax Depr'!AM173</f>
        <v>0</v>
      </c>
      <c r="AG104" s="207">
        <f>'Tax Depr'!AN173</f>
        <v>0</v>
      </c>
      <c r="AH104" s="207">
        <f>'Tax Depr'!AO173</f>
        <v>0</v>
      </c>
    </row>
    <row r="105" spans="1:34" ht="12.75">
      <c r="A105" s="895" t="s">
        <v>837</v>
      </c>
      <c r="B105" s="344" t="s">
        <v>835</v>
      </c>
      <c r="C105" s="312"/>
      <c r="E105" s="207">
        <f>'Tax Depr'!L174</f>
        <v>1462.8632672715573</v>
      </c>
      <c r="F105" s="207">
        <f>'Tax Depr'!M174</f>
        <v>1065.0380172715572</v>
      </c>
      <c r="G105" s="207">
        <f>'Tax Depr'!N174</f>
        <v>1064.6700172715573</v>
      </c>
      <c r="H105" s="207">
        <f>'Tax Depr'!O174</f>
        <v>1064.6700172715573</v>
      </c>
      <c r="I105" s="207">
        <f>'Tax Depr'!P174</f>
        <v>1064.6700172715573</v>
      </c>
      <c r="J105" s="207">
        <f>'Tax Depr'!Q174</f>
        <v>1064.6700172715573</v>
      </c>
      <c r="K105" s="207">
        <f>'Tax Depr'!R174</f>
        <v>1064.6700172715573</v>
      </c>
      <c r="L105" s="207">
        <f>'Tax Depr'!S174</f>
        <v>10.871517271557273</v>
      </c>
      <c r="M105" s="207">
        <f>'Tax Depr'!T174</f>
        <v>10.871517271557273</v>
      </c>
      <c r="N105" s="207">
        <f>'Tax Depr'!U174</f>
        <v>10.871517271557273</v>
      </c>
      <c r="O105" s="207">
        <f>'Tax Depr'!V174</f>
        <v>10.871517271557273</v>
      </c>
      <c r="P105" s="207">
        <f>'Tax Depr'!W174</f>
        <v>10.871517271557273</v>
      </c>
      <c r="Q105" s="207">
        <f>'Tax Depr'!X174</f>
        <v>10.871517271557273</v>
      </c>
      <c r="R105" s="207">
        <f>'Tax Depr'!Y174</f>
        <v>10.871517271557273</v>
      </c>
      <c r="S105" s="207">
        <f>'Tax Depr'!Z174</f>
        <v>10.871517271557273</v>
      </c>
      <c r="T105" s="207">
        <f>'Tax Depr'!AA174</f>
        <v>10.871517271557273</v>
      </c>
      <c r="U105" s="207">
        <f>'Tax Depr'!AB174</f>
        <v>10.871517271557273</v>
      </c>
      <c r="V105" s="207">
        <f>'Tax Depr'!AC174</f>
        <v>10.871517271557273</v>
      </c>
      <c r="W105" s="207">
        <f>'Tax Depr'!AD174</f>
        <v>10.871517271557273</v>
      </c>
      <c r="X105" s="207">
        <f>'Tax Depr'!AE174</f>
        <v>10.871517271557273</v>
      </c>
      <c r="Y105" s="207">
        <f>'Tax Depr'!AF174</f>
        <v>10.871517271557273</v>
      </c>
      <c r="Z105" s="207">
        <f>'Tax Depr'!AG174</f>
        <v>10.871517271557273</v>
      </c>
      <c r="AA105" s="207">
        <f>'Tax Depr'!AH174</f>
        <v>5.438557271557271</v>
      </c>
      <c r="AB105" s="207">
        <f>'Tax Depr'!AI174</f>
        <v>81.74594487774448</v>
      </c>
      <c r="AC105" s="207">
        <f>'Tax Depr'!AJ174</f>
        <v>0</v>
      </c>
      <c r="AD105" s="207">
        <f>'Tax Depr'!AK174</f>
        <v>0</v>
      </c>
      <c r="AE105" s="207">
        <f>'Tax Depr'!AL174</f>
        <v>0</v>
      </c>
      <c r="AF105" s="207">
        <f>'Tax Depr'!AM174</f>
        <v>0</v>
      </c>
      <c r="AG105" s="207">
        <f>'Tax Depr'!AN174</f>
        <v>0</v>
      </c>
      <c r="AH105" s="207">
        <f>'Tax Depr'!AO174</f>
        <v>0</v>
      </c>
    </row>
    <row r="106" spans="1:34" ht="12.75">
      <c r="A106" s="895" t="s">
        <v>839</v>
      </c>
      <c r="B106" s="344" t="s">
        <v>850</v>
      </c>
      <c r="C106" s="312"/>
      <c r="E106" s="896">
        <v>0.5149</v>
      </c>
      <c r="F106" s="896">
        <f>E106</f>
        <v>0.5149</v>
      </c>
      <c r="G106" s="896">
        <f>F106</f>
        <v>0.5149</v>
      </c>
      <c r="H106" s="896">
        <f aca="true" t="shared" si="14" ref="H106:AG106">G106</f>
        <v>0.5149</v>
      </c>
      <c r="I106" s="896">
        <f t="shared" si="14"/>
        <v>0.5149</v>
      </c>
      <c r="J106" s="896">
        <f t="shared" si="14"/>
        <v>0.5149</v>
      </c>
      <c r="K106" s="896">
        <f t="shared" si="14"/>
        <v>0.5149</v>
      </c>
      <c r="L106" s="896">
        <f t="shared" si="14"/>
        <v>0.5149</v>
      </c>
      <c r="M106" s="896">
        <f t="shared" si="14"/>
        <v>0.5149</v>
      </c>
      <c r="N106" s="896">
        <f t="shared" si="14"/>
        <v>0.5149</v>
      </c>
      <c r="O106" s="896">
        <f t="shared" si="14"/>
        <v>0.5149</v>
      </c>
      <c r="P106" s="896">
        <f t="shared" si="14"/>
        <v>0.5149</v>
      </c>
      <c r="Q106" s="896">
        <f t="shared" si="14"/>
        <v>0.5149</v>
      </c>
      <c r="R106" s="896">
        <f t="shared" si="14"/>
        <v>0.5149</v>
      </c>
      <c r="S106" s="896">
        <f t="shared" si="14"/>
        <v>0.5149</v>
      </c>
      <c r="T106" s="896">
        <f t="shared" si="14"/>
        <v>0.5149</v>
      </c>
      <c r="U106" s="896">
        <f t="shared" si="14"/>
        <v>0.5149</v>
      </c>
      <c r="V106" s="896">
        <f t="shared" si="14"/>
        <v>0.5149</v>
      </c>
      <c r="W106" s="896">
        <f t="shared" si="14"/>
        <v>0.5149</v>
      </c>
      <c r="X106" s="896">
        <f t="shared" si="14"/>
        <v>0.5149</v>
      </c>
      <c r="Y106" s="896">
        <f t="shared" si="14"/>
        <v>0.5149</v>
      </c>
      <c r="Z106" s="896">
        <f t="shared" si="14"/>
        <v>0.5149</v>
      </c>
      <c r="AA106" s="896">
        <f t="shared" si="14"/>
        <v>0.5149</v>
      </c>
      <c r="AB106" s="896">
        <f t="shared" si="14"/>
        <v>0.5149</v>
      </c>
      <c r="AC106" s="896">
        <f t="shared" si="14"/>
        <v>0.5149</v>
      </c>
      <c r="AD106" s="896">
        <f t="shared" si="14"/>
        <v>0.5149</v>
      </c>
      <c r="AE106" s="896">
        <f t="shared" si="14"/>
        <v>0.5149</v>
      </c>
      <c r="AF106" s="896">
        <f t="shared" si="14"/>
        <v>0.5149</v>
      </c>
      <c r="AG106" s="896">
        <f t="shared" si="14"/>
        <v>0.5149</v>
      </c>
      <c r="AH106" s="896">
        <f>AG106</f>
        <v>0.5149</v>
      </c>
    </row>
    <row r="107" spans="1:34" ht="12.75">
      <c r="A107" s="895" t="s">
        <v>746</v>
      </c>
      <c r="B107" s="344" t="s">
        <v>851</v>
      </c>
      <c r="C107" s="312"/>
      <c r="E107" s="892">
        <f>Inputs!$G$7</f>
        <v>0.475</v>
      </c>
      <c r="F107" s="892">
        <f>Inputs!$G$7</f>
        <v>0.475</v>
      </c>
      <c r="G107" s="892">
        <f>Inputs!$G$7</f>
        <v>0.475</v>
      </c>
      <c r="H107" s="892">
        <f>Inputs!$G$7</f>
        <v>0.475</v>
      </c>
      <c r="I107" s="892">
        <f>Inputs!$G$7</f>
        <v>0.475</v>
      </c>
      <c r="J107" s="892">
        <f>Inputs!$G$7</f>
        <v>0.475</v>
      </c>
      <c r="K107" s="892">
        <f>Inputs!$G$7</f>
        <v>0.475</v>
      </c>
      <c r="L107" s="892">
        <f>Inputs!$G$7</f>
        <v>0.475</v>
      </c>
      <c r="M107" s="892">
        <f>Inputs!$G$7</f>
        <v>0.475</v>
      </c>
      <c r="N107" s="892">
        <f>Inputs!$G$7</f>
        <v>0.475</v>
      </c>
      <c r="O107" s="892">
        <f>Inputs!$G$7</f>
        <v>0.475</v>
      </c>
      <c r="P107" s="892">
        <f>Inputs!$G$7</f>
        <v>0.475</v>
      </c>
      <c r="Q107" s="892">
        <f>Inputs!$G$7</f>
        <v>0.475</v>
      </c>
      <c r="R107" s="892">
        <f>Inputs!$G$7</f>
        <v>0.475</v>
      </c>
      <c r="S107" s="892">
        <f>Inputs!$G$7</f>
        <v>0.475</v>
      </c>
      <c r="T107" s="892">
        <f>Inputs!$G$7</f>
        <v>0.475</v>
      </c>
      <c r="U107" s="892">
        <f>Inputs!$G$7</f>
        <v>0.475</v>
      </c>
      <c r="V107" s="892">
        <f>Inputs!$G$7</f>
        <v>0.475</v>
      </c>
      <c r="W107" s="892">
        <f>Inputs!$G$7</f>
        <v>0.475</v>
      </c>
      <c r="X107" s="892">
        <f>Inputs!$G$7</f>
        <v>0.475</v>
      </c>
      <c r="Y107" s="892">
        <f>Inputs!$G$7</f>
        <v>0.475</v>
      </c>
      <c r="Z107" s="892">
        <f>Inputs!$G$7</f>
        <v>0.475</v>
      </c>
      <c r="AA107" s="892">
        <f>Inputs!$G$7</f>
        <v>0.475</v>
      </c>
      <c r="AB107" s="892">
        <f>Inputs!$G$7</f>
        <v>0.475</v>
      </c>
      <c r="AC107" s="892">
        <f>Inputs!$G$7</f>
        <v>0.475</v>
      </c>
      <c r="AD107" s="892">
        <f>Inputs!$G$7</f>
        <v>0.475</v>
      </c>
      <c r="AE107" s="892">
        <f>Inputs!$G$7</f>
        <v>0.475</v>
      </c>
      <c r="AF107" s="892">
        <f>Inputs!$G$7</f>
        <v>0.475</v>
      </c>
      <c r="AG107" s="892">
        <f>Inputs!$G$7</f>
        <v>0.475</v>
      </c>
      <c r="AH107" s="892">
        <f>Inputs!$G$7</f>
        <v>0.475</v>
      </c>
    </row>
    <row r="108" spans="1:34" ht="12.75">
      <c r="A108" s="897" t="s">
        <v>852</v>
      </c>
      <c r="B108" s="894"/>
      <c r="C108" s="312"/>
      <c r="D108" s="894" t="s">
        <v>829</v>
      </c>
      <c r="E108" s="53">
        <f aca="true" t="shared" si="15" ref="E108:AH108">E104*E107+E105*E106</f>
        <v>2924.5618574271257</v>
      </c>
      <c r="F108" s="53">
        <f t="shared" si="15"/>
        <v>4249.760935035624</v>
      </c>
      <c r="G108" s="53">
        <f t="shared" si="15"/>
        <v>5443.745737722063</v>
      </c>
      <c r="H108" s="53">
        <f t="shared" si="15"/>
        <v>6131.381527233826</v>
      </c>
      <c r="I108" s="53">
        <f t="shared" si="15"/>
        <v>6170.833010864496</v>
      </c>
      <c r="J108" s="53">
        <f t="shared" si="15"/>
        <v>6128.400965622629</v>
      </c>
      <c r="K108" s="53">
        <f t="shared" si="15"/>
        <v>6139.2663648951075</v>
      </c>
      <c r="L108" s="53">
        <f t="shared" si="15"/>
        <v>5482.018958525316</v>
      </c>
      <c r="M108" s="53">
        <f t="shared" si="15"/>
        <v>5298.784405951106</v>
      </c>
      <c r="N108" s="53">
        <f t="shared" si="15"/>
        <v>5098.44292679831</v>
      </c>
      <c r="O108" s="53">
        <f t="shared" si="15"/>
        <v>4969.126684578085</v>
      </c>
      <c r="P108" s="53">
        <f t="shared" si="15"/>
        <v>5028.882579599649</v>
      </c>
      <c r="Q108" s="53">
        <f t="shared" si="15"/>
        <v>5179.581124660345</v>
      </c>
      <c r="R108" s="53">
        <f t="shared" si="15"/>
        <v>5334.800626072862</v>
      </c>
      <c r="S108" s="53">
        <f t="shared" si="15"/>
        <v>5494.676712527753</v>
      </c>
      <c r="T108" s="53">
        <f t="shared" si="15"/>
        <v>5659.349081576291</v>
      </c>
      <c r="U108" s="53">
        <f t="shared" si="15"/>
        <v>5828.961621696286</v>
      </c>
      <c r="V108" s="53">
        <f t="shared" si="15"/>
        <v>6003.662538019882</v>
      </c>
      <c r="W108" s="53">
        <f t="shared" si="15"/>
        <v>6183.604481833183</v>
      </c>
      <c r="X108" s="53">
        <f t="shared" si="15"/>
        <v>6368.944683960885</v>
      </c>
      <c r="Y108" s="53">
        <f t="shared" si="15"/>
        <v>6307.300802569995</v>
      </c>
      <c r="Z108" s="53">
        <f t="shared" si="15"/>
        <v>5803.424442468834</v>
      </c>
      <c r="AA108" s="53">
        <f t="shared" si="15"/>
        <v>4951.749292342716</v>
      </c>
      <c r="AB108" s="53">
        <f t="shared" si="15"/>
        <v>11745.818023053831</v>
      </c>
      <c r="AC108" s="53">
        <f t="shared" si="15"/>
        <v>0</v>
      </c>
      <c r="AD108" s="53">
        <f t="shared" si="15"/>
        <v>0</v>
      </c>
      <c r="AE108" s="53">
        <f t="shared" si="15"/>
        <v>0</v>
      </c>
      <c r="AF108" s="53">
        <f t="shared" si="15"/>
        <v>0</v>
      </c>
      <c r="AG108" s="53">
        <f t="shared" si="15"/>
        <v>0</v>
      </c>
      <c r="AH108" s="53">
        <f t="shared" si="15"/>
        <v>0</v>
      </c>
    </row>
    <row r="109" spans="1:3" ht="12.75">
      <c r="A109" s="895"/>
      <c r="B109" s="312"/>
      <c r="C109" s="312"/>
    </row>
    <row r="110" spans="1:34" ht="12.75">
      <c r="A110" s="895" t="s">
        <v>853</v>
      </c>
      <c r="B110" s="37" t="s">
        <v>855</v>
      </c>
      <c r="C110" s="312"/>
      <c r="D110" s="894" t="s">
        <v>829</v>
      </c>
      <c r="E110" s="207">
        <f>Inputs!J40</f>
        <v>106.4</v>
      </c>
      <c r="F110" s="207">
        <f>Inputs!K40</f>
        <v>106.4</v>
      </c>
      <c r="G110" s="207">
        <f>Inputs!L40</f>
        <v>106.4</v>
      </c>
      <c r="H110" s="207">
        <f>Inputs!M40</f>
        <v>106.4</v>
      </c>
      <c r="I110" s="207">
        <f>Inputs!N40</f>
        <v>101.08</v>
      </c>
      <c r="J110" s="207">
        <f>Inputs!O40</f>
        <v>103.74</v>
      </c>
      <c r="K110" s="207">
        <f>Inputs!P40</f>
        <v>103.74</v>
      </c>
      <c r="L110" s="207">
        <f>Inputs!Q40</f>
        <v>103.74</v>
      </c>
      <c r="M110" s="207">
        <f>Inputs!R40</f>
        <v>101.08</v>
      </c>
      <c r="N110" s="207">
        <f>Inputs!S40</f>
        <v>98.42</v>
      </c>
      <c r="O110" s="207">
        <f>Inputs!T40</f>
        <v>98.42</v>
      </c>
      <c r="P110" s="207">
        <f>Inputs!U40</f>
        <v>98.42</v>
      </c>
      <c r="Q110" s="207">
        <f>Inputs!V40</f>
        <v>101.08</v>
      </c>
      <c r="R110" s="207">
        <f>Inputs!W40</f>
        <v>101.08</v>
      </c>
      <c r="S110" s="207">
        <f>Inputs!X40</f>
        <v>101.08</v>
      </c>
      <c r="T110" s="207">
        <f>Inputs!Y40</f>
        <v>101.08</v>
      </c>
      <c r="U110" s="207">
        <f>Inputs!Z40</f>
        <v>98.42</v>
      </c>
      <c r="V110" s="207">
        <f>Inputs!AA40</f>
        <v>101.08</v>
      </c>
      <c r="W110" s="207">
        <f>Inputs!AB40</f>
        <v>101.08</v>
      </c>
      <c r="X110" s="207">
        <f>Inputs!AC40</f>
        <v>101.08</v>
      </c>
      <c r="Y110" s="207">
        <f>Inputs!AD40</f>
        <v>101.08</v>
      </c>
      <c r="Z110" s="207">
        <f>Inputs!AE40</f>
        <v>101.08</v>
      </c>
      <c r="AA110" s="207">
        <f>Inputs!AF40</f>
        <v>101.08</v>
      </c>
      <c r="AB110" s="207">
        <f>Inputs!AG40</f>
        <v>101.08</v>
      </c>
      <c r="AC110" s="207">
        <f>Inputs!AH40</f>
        <v>0</v>
      </c>
      <c r="AD110" s="207">
        <f>Inputs!AI40</f>
        <v>0</v>
      </c>
      <c r="AE110" s="207">
        <f>Inputs!AJ40</f>
        <v>0</v>
      </c>
      <c r="AF110" s="207">
        <f>Inputs!AK40</f>
        <v>0</v>
      </c>
      <c r="AG110" s="207">
        <f>Inputs!AL40</f>
        <v>0</v>
      </c>
      <c r="AH110" s="207">
        <f>Inputs!AM40</f>
        <v>0</v>
      </c>
    </row>
    <row r="111" spans="1:3" ht="12.75">
      <c r="A111" s="895"/>
      <c r="B111" s="312"/>
      <c r="C111" s="312"/>
    </row>
    <row r="112" spans="1:34" ht="12.75">
      <c r="A112" s="895" t="s">
        <v>846</v>
      </c>
      <c r="B112" s="91" t="s">
        <v>854</v>
      </c>
      <c r="C112" s="312"/>
      <c r="D112" s="894" t="s">
        <v>829</v>
      </c>
      <c r="E112" s="175">
        <f>'Deferred Tax'!K62</f>
        <v>1202.1567700788164</v>
      </c>
      <c r="F112" s="175">
        <f>'Deferred Tax'!L62</f>
        <v>831.0610412010714</v>
      </c>
      <c r="G112" s="175">
        <f>'Deferred Tax'!M62</f>
        <v>0</v>
      </c>
      <c r="H112" s="175">
        <f>'Deferred Tax'!N62</f>
        <v>0</v>
      </c>
      <c r="I112" s="175">
        <f>'Deferred Tax'!O62</f>
        <v>0</v>
      </c>
      <c r="J112" s="175">
        <f>'Deferred Tax'!P62</f>
        <v>0</v>
      </c>
      <c r="K112" s="175">
        <f>'Deferred Tax'!Q62</f>
        <v>0</v>
      </c>
      <c r="L112" s="175">
        <f>'Deferred Tax'!R62</f>
        <v>0</v>
      </c>
      <c r="M112" s="175">
        <f>'Deferred Tax'!S62</f>
        <v>0</v>
      </c>
      <c r="N112" s="175">
        <f>'Deferred Tax'!T62</f>
        <v>0</v>
      </c>
      <c r="O112" s="175">
        <f>'Deferred Tax'!U62</f>
        <v>0</v>
      </c>
      <c r="P112" s="175">
        <f>'Deferred Tax'!V62</f>
        <v>0</v>
      </c>
      <c r="Q112" s="175">
        <f>'Deferred Tax'!W62</f>
        <v>0</v>
      </c>
      <c r="R112" s="175">
        <f>'Deferred Tax'!X62</f>
        <v>0</v>
      </c>
      <c r="S112" s="175">
        <f>'Deferred Tax'!Y62</f>
        <v>0</v>
      </c>
      <c r="T112" s="175">
        <f>'Deferred Tax'!Z62</f>
        <v>0</v>
      </c>
      <c r="U112" s="175">
        <f>'Deferred Tax'!AA62</f>
        <v>0</v>
      </c>
      <c r="V112" s="175">
        <f>'Deferred Tax'!AB62</f>
        <v>0</v>
      </c>
      <c r="W112" s="175">
        <f>'Deferred Tax'!AC62</f>
        <v>0</v>
      </c>
      <c r="X112" s="175">
        <f>'Deferred Tax'!AD62</f>
        <v>0</v>
      </c>
      <c r="Y112" s="175">
        <f>'Deferred Tax'!AE62</f>
        <v>0</v>
      </c>
      <c r="Z112" s="175">
        <f>'Deferred Tax'!AF62</f>
        <v>0</v>
      </c>
      <c r="AA112" s="175">
        <f>'Deferred Tax'!AG62</f>
        <v>0</v>
      </c>
      <c r="AB112" s="175">
        <f>'Deferred Tax'!AH62</f>
        <v>0</v>
      </c>
      <c r="AC112" s="175">
        <f>'Deferred Tax'!AI62</f>
        <v>0</v>
      </c>
      <c r="AD112" s="175">
        <f>'Deferred Tax'!AJ62</f>
        <v>0</v>
      </c>
      <c r="AE112" s="175">
        <f>'Deferred Tax'!AK62</f>
        <v>0</v>
      </c>
      <c r="AF112" s="175">
        <f>'Deferred Tax'!AL62</f>
        <v>0</v>
      </c>
      <c r="AG112" s="175">
        <f>'Deferred Tax'!AM62</f>
        <v>0</v>
      </c>
      <c r="AH112" s="175">
        <f>'Deferred Tax'!AN62</f>
        <v>0</v>
      </c>
    </row>
    <row r="113" spans="1:3" ht="12.75">
      <c r="A113" s="895"/>
      <c r="B113" s="312"/>
      <c r="C113" s="312"/>
    </row>
    <row r="114" spans="1:34" ht="12.75">
      <c r="A114" s="895" t="s">
        <v>747</v>
      </c>
      <c r="B114" s="91" t="s">
        <v>94</v>
      </c>
      <c r="C114" s="312"/>
      <c r="D114" s="894" t="s">
        <v>829</v>
      </c>
      <c r="E114" s="53">
        <f>Reclamation!J9</f>
        <v>8833.444211529928</v>
      </c>
      <c r="F114" s="53">
        <f>Reclamation!K9</f>
        <v>8833.444211529928</v>
      </c>
      <c r="G114" s="53">
        <f>Reclamation!L9</f>
        <v>8833.444211529928</v>
      </c>
      <c r="H114" s="53">
        <f>Reclamation!M9</f>
        <v>8833.444211529928</v>
      </c>
      <c r="I114" s="53">
        <f>Reclamation!N9</f>
        <v>8833.444211529928</v>
      </c>
      <c r="J114" s="53">
        <f>Reclamation!O9</f>
        <v>8833.444211529928</v>
      </c>
      <c r="K114" s="53">
        <f>Reclamation!P9</f>
        <v>8833.444211529928</v>
      </c>
      <c r="L114" s="53">
        <f>Reclamation!Q9</f>
        <v>8833.444211529928</v>
      </c>
      <c r="M114" s="53">
        <f>Reclamation!R9</f>
        <v>8833.444211529928</v>
      </c>
      <c r="N114" s="53">
        <f>Reclamation!S9</f>
        <v>8833.444211529928</v>
      </c>
      <c r="O114" s="53">
        <f>Reclamation!T9</f>
        <v>8833.444211529928</v>
      </c>
      <c r="P114" s="53">
        <f>Reclamation!U9</f>
        <v>8833.444211529928</v>
      </c>
      <c r="Q114" s="53">
        <f>Reclamation!V9</f>
        <v>8833.444211529928</v>
      </c>
      <c r="R114" s="53">
        <f>Reclamation!W9</f>
        <v>8833.444211529928</v>
      </c>
      <c r="S114" s="53">
        <f>Reclamation!X9</f>
        <v>8833.444211529928</v>
      </c>
      <c r="T114" s="53">
        <f>Reclamation!Y9</f>
        <v>8833.444211529928</v>
      </c>
      <c r="U114" s="53">
        <f>Reclamation!Z9</f>
        <v>8833.444211529928</v>
      </c>
      <c r="V114" s="53">
        <f>Reclamation!AA9</f>
        <v>8833.444211529928</v>
      </c>
      <c r="W114" s="53">
        <f>Reclamation!AB9</f>
        <v>8833.444211529928</v>
      </c>
      <c r="X114" s="53">
        <f>Reclamation!AC9</f>
        <v>8833.444211529928</v>
      </c>
      <c r="Y114" s="53">
        <f>Reclamation!AD9</f>
        <v>8833.444211529928</v>
      </c>
      <c r="Z114" s="53">
        <f>Reclamation!AE9</f>
        <v>8833.444211529928</v>
      </c>
      <c r="AA114" s="53">
        <f>Reclamation!AF9</f>
        <v>8833.444211529928</v>
      </c>
      <c r="AB114" s="53">
        <f>Reclamation!AG9</f>
        <v>8833.444211529928</v>
      </c>
      <c r="AC114" s="53">
        <f>Reclamation!AH9</f>
        <v>0</v>
      </c>
      <c r="AD114" s="53">
        <f>Reclamation!AI9</f>
        <v>0</v>
      </c>
      <c r="AE114" s="53">
        <f>Reclamation!AJ9</f>
        <v>0</v>
      </c>
      <c r="AF114" s="53">
        <f>Reclamation!AK9</f>
        <v>0</v>
      </c>
      <c r="AG114" s="53">
        <f>Reclamation!AL9</f>
        <v>0</v>
      </c>
      <c r="AH114" s="53">
        <f>Reclamation!AM9</f>
        <v>0</v>
      </c>
    </row>
    <row r="115" spans="1:3" ht="12.75">
      <c r="A115" s="895"/>
      <c r="B115" s="312"/>
      <c r="C115" s="312"/>
    </row>
    <row r="116" spans="1:34" ht="12.75">
      <c r="A116" s="895" t="s">
        <v>742</v>
      </c>
      <c r="B116" s="91" t="s">
        <v>91</v>
      </c>
      <c r="C116" s="312"/>
      <c r="D116" s="894" t="s">
        <v>829</v>
      </c>
      <c r="E116" s="53">
        <f>Reclamation!J6*1000*Inputs!$G$7</f>
        <v>2397.3250000000003</v>
      </c>
      <c r="F116" s="53">
        <f>Reclamation!K6*1000*Inputs!$G$7</f>
        <v>2469.24475</v>
      </c>
      <c r="G116" s="53">
        <f>Reclamation!L6*1000*Inputs!$G$7</f>
        <v>5865.2121725</v>
      </c>
      <c r="H116" s="53">
        <f>Reclamation!M6*1000*Inputs!$G$7</f>
        <v>5880.7835322500005</v>
      </c>
      <c r="I116" s="53">
        <f>Reclamation!N6*1000*Inputs!$G$7</f>
        <v>6057.207038217501</v>
      </c>
      <c r="J116" s="53">
        <f>Reclamation!O6*1000*Inputs!$G$7</f>
        <v>6806.0980902153005</v>
      </c>
      <c r="K116" s="53">
        <f>Reclamation!P6*1000*Inputs!$G$7</f>
        <v>10515.42154938264</v>
      </c>
      <c r="L116" s="53">
        <f>Reclamation!Q6*1000*Inputs!$G$7</f>
        <v>11492.77156338915</v>
      </c>
      <c r="M116" s="53">
        <f>Reclamation!R6*1000*Inputs!$G$7</f>
        <v>11341.74090043571</v>
      </c>
      <c r="N116" s="53">
        <f>Reclamation!S6*1000*Inputs!$G$7</f>
        <v>11681.993127448783</v>
      </c>
      <c r="O116" s="53">
        <f>Reclamation!T6*1000*Inputs!$G$7</f>
        <v>13741.981751616935</v>
      </c>
      <c r="P116" s="53">
        <f>Reclamation!U6*1000*Inputs!$G$7</f>
        <v>15576.437688794507</v>
      </c>
      <c r="Q116" s="53">
        <f>Reclamation!V6*1000*Inputs!$G$7</f>
        <v>16113.486170847293</v>
      </c>
      <c r="R116" s="53">
        <f>Reclamation!W6*1000*Inputs!$G$7</f>
        <v>13004.490159441824</v>
      </c>
      <c r="S116" s="53">
        <f>Reclamation!X6*1000*Inputs!$G$7</f>
        <v>7770.362490296317</v>
      </c>
      <c r="T116" s="53">
        <f>Reclamation!Y6*1000*Inputs!$G$7</f>
        <v>9299.273814577478</v>
      </c>
      <c r="U116" s="53">
        <f>Reclamation!Z6*1000*Inputs!$G$7</f>
        <v>392.55131266454106</v>
      </c>
      <c r="V116" s="53">
        <f>Reclamation!AA6*1000*Inputs!$G$7</f>
        <v>5660.589928622682</v>
      </c>
      <c r="W116" s="53">
        <f>Reclamation!AB6*1000*Inputs!$G$7</f>
        <v>83.29153752116234</v>
      </c>
      <c r="X116" s="53">
        <f>Reclamation!AC6*1000*Inputs!$G$7</f>
        <v>85.79028364679722</v>
      </c>
      <c r="Y116" s="53">
        <f>Reclamation!AD6*1000*Inputs!$G$7</f>
        <v>2827.6477489984363</v>
      </c>
      <c r="Z116" s="53">
        <f>Reclamation!AE6*1000*Inputs!$G$7</f>
        <v>91.01491192088719</v>
      </c>
      <c r="AA116" s="53">
        <f>Reclamation!AF6*1000*Inputs!$G$7</f>
        <v>8812.063772180298</v>
      </c>
      <c r="AB116" s="53">
        <f>Reclamation!AG6*1000*Inputs!$G$7</f>
        <v>7531.5021644357985</v>
      </c>
      <c r="AC116" s="53">
        <f>Reclamation!AH6*1000*Inputs!$G$7</f>
        <v>7856.901681027448</v>
      </c>
      <c r="AD116" s="53">
        <f>Reclamation!AI6*1000*Inputs!$G$7</f>
        <v>102.43808520833257</v>
      </c>
      <c r="AE116" s="53">
        <f>Reclamation!AJ6*1000*Inputs!$G$7</f>
        <v>105.51122776458253</v>
      </c>
      <c r="AF116" s="53">
        <f>Reclamation!AK6*1000*Inputs!$G$7</f>
        <v>108.67656459752001</v>
      </c>
      <c r="AG116" s="53">
        <f>Reclamation!AL6*1000*Inputs!$G$7</f>
        <v>15335.350030356047</v>
      </c>
      <c r="AH116" s="53">
        <f>Reclamation!AM7*1000*Inputs!$G$7</f>
        <v>38090.641250902794</v>
      </c>
    </row>
    <row r="117" spans="1:3" ht="12.75">
      <c r="A117" s="895"/>
      <c r="B117" s="312"/>
      <c r="C117" s="312"/>
    </row>
    <row r="118" spans="1:34" ht="12.75">
      <c r="A118" s="895" t="s">
        <v>857</v>
      </c>
      <c r="B118" s="37" t="s">
        <v>65</v>
      </c>
      <c r="C118" s="312"/>
      <c r="D118" s="894" t="s">
        <v>829</v>
      </c>
      <c r="E118" s="207">
        <f>'Keep RevReq'!K39</f>
        <v>-3652.6709465924437</v>
      </c>
      <c r="F118" s="207">
        <f>'Keep RevReq'!L39</f>
        <v>-3487.832856416672</v>
      </c>
      <c r="G118" s="207">
        <f>'Keep RevReq'!M39</f>
        <v>-1821.8288551414207</v>
      </c>
      <c r="H118" s="207">
        <f>'Keep RevReq'!N39</f>
        <v>-1870.6102319996844</v>
      </c>
      <c r="I118" s="207">
        <f>'Keep RevReq'!O39</f>
        <v>-1884.9707524581452</v>
      </c>
      <c r="J118" s="207">
        <f>'Keep RevReq'!P39</f>
        <v>-1503.1931303854838</v>
      </c>
      <c r="K118" s="207">
        <f>'Keep RevReq'!Q39</f>
        <v>200.37014208467667</v>
      </c>
      <c r="L118" s="207">
        <f>'Keep RevReq'!R39</f>
        <v>654.4787282984491</v>
      </c>
      <c r="M118" s="207">
        <f>'Keep RevReq'!S39</f>
        <v>664.6000554498789</v>
      </c>
      <c r="N118" s="207">
        <f>'Keep RevReq'!T39</f>
        <v>893.8280298984945</v>
      </c>
      <c r="O118" s="207">
        <f>'Keep RevReq'!U39</f>
        <v>1734.4151376040013</v>
      </c>
      <c r="P118" s="207">
        <f>'Keep RevReq'!V39</f>
        <v>2501.1312879741313</v>
      </c>
      <c r="Q118" s="207">
        <f>'Keep RevReq'!W39</f>
        <v>2846.543578584491</v>
      </c>
      <c r="R118" s="207">
        <f>'Keep RevReq'!X39</f>
        <v>1771.1537032571794</v>
      </c>
      <c r="S118" s="207">
        <f>'Keep RevReq'!Y39</f>
        <v>-212.18235774864843</v>
      </c>
      <c r="T118" s="207">
        <f>'Keep RevReq'!Z39</f>
        <v>372.5985501314427</v>
      </c>
      <c r="U118" s="207">
        <f>'Keep RevReq'!AA39</f>
        <v>-3005.007922464506</v>
      </c>
      <c r="V118" s="207">
        <f>'Keep RevReq'!AB39</f>
        <v>-1168.0504087186457</v>
      </c>
      <c r="W118" s="207">
        <f>'Keep RevReq'!AC39</f>
        <v>-3343.8396448021854</v>
      </c>
      <c r="X118" s="207">
        <f>'Keep RevReq'!AD39</f>
        <v>-3485.7747465999396</v>
      </c>
      <c r="Y118" s="207">
        <f>'Keep RevReq'!AE39</f>
        <v>-2655.6269603631863</v>
      </c>
      <c r="Z118" s="207">
        <f>'Keep RevReq'!AF39</f>
        <v>-4024.156619907313</v>
      </c>
      <c r="AA118" s="207">
        <f>'Keep RevReq'!AG39</f>
        <v>-1064.7747918703164</v>
      </c>
      <c r="AB118" s="207">
        <f>'Keep RevReq'!AH39</f>
        <v>-1024.889680406583</v>
      </c>
      <c r="AC118" s="207">
        <f>'Keep RevReq'!AI39</f>
        <v>2983.3441373029323</v>
      </c>
      <c r="AD118" s="207">
        <f>'Keep RevReq'!AJ39</f>
        <v>38.89676533445596</v>
      </c>
      <c r="AE118" s="207">
        <f>'Keep RevReq'!AK39</f>
        <v>40.06366829448963</v>
      </c>
      <c r="AF118" s="207">
        <f>'Keep RevReq'!AL39</f>
        <v>41.26557834332432</v>
      </c>
      <c r="AG118" s="207">
        <f>'Keep RevReq'!AM39</f>
        <v>5822.985760026494</v>
      </c>
      <c r="AH118" s="207">
        <f>'Keep RevReq'!AN39</f>
        <v>14463.3973893803</v>
      </c>
    </row>
    <row r="119" spans="1:3" ht="12.75">
      <c r="A119" s="895"/>
      <c r="B119" s="312"/>
      <c r="C119" s="312"/>
    </row>
    <row r="120" spans="1:34" ht="12.75">
      <c r="A120" s="897" t="s">
        <v>858</v>
      </c>
      <c r="B120" s="312"/>
      <c r="C120" s="312"/>
      <c r="D120" s="312" t="s">
        <v>3</v>
      </c>
      <c r="E120" s="175">
        <f>E100+E102-E108+E110-E112+E114-E116+E118</f>
        <v>6612.8636196225125</v>
      </c>
      <c r="F120" s="175">
        <f>F100+F102-F108+F110-F112+F114-F116+F118</f>
        <v>6562.02957053225</v>
      </c>
      <c r="G120" s="175">
        <f>G100+G102-G108+G110-G112+G114-G116+G118</f>
        <v>4517.051747062251</v>
      </c>
      <c r="H120" s="175">
        <f aca="true" t="shared" si="16" ref="H120:AG120">H100+H102-H108+H110-H112+H114-H116+H118</f>
        <v>4455.470851476485</v>
      </c>
      <c r="I120" s="175">
        <f t="shared" si="16"/>
        <v>4169.8784004868185</v>
      </c>
      <c r="J120" s="175">
        <f t="shared" si="16"/>
        <v>3189.5840162022487</v>
      </c>
      <c r="K120" s="175">
        <f t="shared" si="16"/>
        <v>134.07127185714057</v>
      </c>
      <c r="L120" s="175">
        <f t="shared" si="16"/>
        <v>-725.8851893172666</v>
      </c>
      <c r="M120" s="175">
        <f t="shared" si="16"/>
        <v>-745.1183509245618</v>
      </c>
      <c r="N120" s="175">
        <f t="shared" si="16"/>
        <v>-1085.6856198307187</v>
      </c>
      <c r="O120" s="175">
        <f t="shared" si="16"/>
        <v>-2344.7144015304452</v>
      </c>
      <c r="P120" s="175">
        <f t="shared" si="16"/>
        <v>-3388.967930935932</v>
      </c>
      <c r="Q120" s="175">
        <f t="shared" si="16"/>
        <v>-3690.7599027519736</v>
      </c>
      <c r="R120" s="175">
        <f t="shared" si="16"/>
        <v>-1702.4040492450533</v>
      </c>
      <c r="S120" s="175">
        <f t="shared" si="16"/>
        <v>1639.2143765296305</v>
      </c>
      <c r="T120" s="175">
        <f t="shared" si="16"/>
        <v>720.9828158130296</v>
      </c>
      <c r="U120" s="175">
        <f t="shared" si="16"/>
        <v>6143.162958295988</v>
      </c>
      <c r="V120" s="175">
        <f t="shared" si="16"/>
        <v>3000.4264166324565</v>
      </c>
      <c r="W120" s="175">
        <f t="shared" si="16"/>
        <v>6381.973290978522</v>
      </c>
      <c r="X120" s="175">
        <f t="shared" si="16"/>
        <v>6342.923286899426</v>
      </c>
      <c r="Y120" s="175">
        <f t="shared" si="16"/>
        <v>4701.489937625393</v>
      </c>
      <c r="Z120" s="175">
        <f t="shared" si="16"/>
        <v>6543.8339301205015</v>
      </c>
      <c r="AA120" s="175">
        <f t="shared" si="16"/>
        <v>1318.0608739727893</v>
      </c>
      <c r="AB120" s="175">
        <f t="shared" si="16"/>
        <v>983.9345726418701</v>
      </c>
      <c r="AC120" s="175">
        <f t="shared" si="16"/>
        <v>-6713.830804758865</v>
      </c>
      <c r="AD120" s="175">
        <f t="shared" si="16"/>
        <v>-1984.1826253248823</v>
      </c>
      <c r="AE120" s="175">
        <f t="shared" si="16"/>
        <v>-1982.3928949657045</v>
      </c>
      <c r="AF120" s="175">
        <f t="shared" si="16"/>
        <v>-1980.5494726957513</v>
      </c>
      <c r="AG120" s="175">
        <f t="shared" si="16"/>
        <v>-11151.009624434111</v>
      </c>
      <c r="AH120" s="175">
        <f>AH100+AH102-AH108+AH110-AH112+AH114-AH116+AH118</f>
        <v>-24316.326767981845</v>
      </c>
    </row>
    <row r="121" spans="1:3" ht="12.75">
      <c r="A121" s="895"/>
      <c r="B121" s="312"/>
      <c r="C121" s="312"/>
    </row>
    <row r="122" spans="1:34" ht="12.75">
      <c r="A122" s="895" t="s">
        <v>859</v>
      </c>
      <c r="B122" s="312" t="s">
        <v>844</v>
      </c>
      <c r="C122" s="312"/>
      <c r="E122" s="407">
        <f>Inputs!$G$79/(1-Inputs!$G$79)</f>
        <v>0.6121491560399168</v>
      </c>
      <c r="F122" s="407">
        <f>Inputs!$G$79/(1-Inputs!$G$79)</f>
        <v>0.6121491560399168</v>
      </c>
      <c r="G122" s="407">
        <f>Inputs!$G$79/(1-Inputs!$G$79)</f>
        <v>0.6121491560399168</v>
      </c>
      <c r="H122" s="407">
        <f>Inputs!$G$79/(1-Inputs!$G$79)</f>
        <v>0.6121491560399168</v>
      </c>
      <c r="I122" s="407">
        <f>Inputs!$G$79/(1-Inputs!$G$79)</f>
        <v>0.6121491560399168</v>
      </c>
      <c r="J122" s="407">
        <f>Inputs!$G$79/(1-Inputs!$G$79)</f>
        <v>0.6121491560399168</v>
      </c>
      <c r="K122" s="407">
        <f>Inputs!$G$79/(1-Inputs!$G$79)</f>
        <v>0.6121491560399168</v>
      </c>
      <c r="L122" s="407">
        <f>Inputs!$G$79/(1-Inputs!$G$79)</f>
        <v>0.6121491560399168</v>
      </c>
      <c r="M122" s="407">
        <f>Inputs!$G$79/(1-Inputs!$G$79)</f>
        <v>0.6121491560399168</v>
      </c>
      <c r="N122" s="407">
        <f>Inputs!$G$79/(1-Inputs!$G$79)</f>
        <v>0.6121491560399168</v>
      </c>
      <c r="O122" s="407">
        <f>Inputs!$G$79/(1-Inputs!$G$79)</f>
        <v>0.6121491560399168</v>
      </c>
      <c r="P122" s="407">
        <f>Inputs!$G$79/(1-Inputs!$G$79)</f>
        <v>0.6121491560399168</v>
      </c>
      <c r="Q122" s="407">
        <f>Inputs!$G$79/(1-Inputs!$G$79)</f>
        <v>0.6121491560399168</v>
      </c>
      <c r="R122" s="407">
        <f>Inputs!$G$79/(1-Inputs!$G$79)</f>
        <v>0.6121491560399168</v>
      </c>
      <c r="S122" s="407">
        <f>Inputs!$G$79/(1-Inputs!$G$79)</f>
        <v>0.6121491560399168</v>
      </c>
      <c r="T122" s="407">
        <f>Inputs!$G$79/(1-Inputs!$G$79)</f>
        <v>0.6121491560399168</v>
      </c>
      <c r="U122" s="407">
        <f>Inputs!$G$79/(1-Inputs!$G$79)</f>
        <v>0.6121491560399168</v>
      </c>
      <c r="V122" s="407">
        <f>Inputs!$G$79/(1-Inputs!$G$79)</f>
        <v>0.6121491560399168</v>
      </c>
      <c r="W122" s="407">
        <f>Inputs!$G$79/(1-Inputs!$G$79)</f>
        <v>0.6121491560399168</v>
      </c>
      <c r="X122" s="407">
        <f>Inputs!$G$79/(1-Inputs!$G$79)</f>
        <v>0.6121491560399168</v>
      </c>
      <c r="Y122" s="407">
        <f>Inputs!$G$79/(1-Inputs!$G$79)</f>
        <v>0.6121491560399168</v>
      </c>
      <c r="Z122" s="407">
        <f>Inputs!$G$79/(1-Inputs!$G$79)</f>
        <v>0.6121491560399168</v>
      </c>
      <c r="AA122" s="407">
        <f>Inputs!$G$79/(1-Inputs!$G$79)</f>
        <v>0.6121491560399168</v>
      </c>
      <c r="AB122" s="407">
        <f>Inputs!$G$79/(1-Inputs!$G$79)</f>
        <v>0.6121491560399168</v>
      </c>
      <c r="AC122" s="407">
        <f>Inputs!$G$79/(1-Inputs!$G$79)</f>
        <v>0.6121491560399168</v>
      </c>
      <c r="AD122" s="407">
        <f>Inputs!$G$79/(1-Inputs!$G$79)</f>
        <v>0.6121491560399168</v>
      </c>
      <c r="AE122" s="407">
        <f>Inputs!$G$79/(1-Inputs!$G$79)</f>
        <v>0.6121491560399168</v>
      </c>
      <c r="AF122" s="407">
        <f>Inputs!$G$79/(1-Inputs!$G$79)</f>
        <v>0.6121491560399168</v>
      </c>
      <c r="AG122" s="407">
        <f>Inputs!$G$79/(1-Inputs!$G$79)</f>
        <v>0.6121491560399168</v>
      </c>
      <c r="AH122" s="407">
        <f>Inputs!$G$79/(1-Inputs!$G$79)</f>
        <v>0.6121491560399168</v>
      </c>
    </row>
    <row r="123" spans="1:3" ht="12.75">
      <c r="A123" s="895"/>
      <c r="B123" s="312"/>
      <c r="C123" s="312"/>
    </row>
    <row r="124" spans="1:34" ht="12.75">
      <c r="A124" s="895" t="s">
        <v>860</v>
      </c>
      <c r="B124" s="312"/>
      <c r="C124" s="312"/>
      <c r="D124" s="175"/>
      <c r="E124" s="53">
        <f>E120*E122</f>
        <v>4048.0588837589908</v>
      </c>
      <c r="F124" s="53">
        <f aca="true" t="shared" si="17" ref="F124:AH124">F120*F122</f>
        <v>4016.9408635102945</v>
      </c>
      <c r="G124" s="53">
        <f t="shared" si="17"/>
        <v>2765.109414752789</v>
      </c>
      <c r="H124" s="53">
        <f t="shared" si="17"/>
        <v>2727.41272149178</v>
      </c>
      <c r="I124" s="53">
        <f t="shared" si="17"/>
        <v>2552.587543647084</v>
      </c>
      <c r="J124" s="53">
        <f t="shared" si="17"/>
        <v>1952.5011636366148</v>
      </c>
      <c r="K124" s="53">
        <f t="shared" si="17"/>
        <v>82.07161591654685</v>
      </c>
      <c r="L124" s="53">
        <f t="shared" si="17"/>
        <v>-444.35000602244</v>
      </c>
      <c r="M124" s="53">
        <f t="shared" si="17"/>
        <v>-456.1235696683251</v>
      </c>
      <c r="N124" s="53">
        <f t="shared" si="17"/>
        <v>-664.6015359040484</v>
      </c>
      <c r="O124" s="53">
        <f t="shared" si="17"/>
        <v>-1435.3149420515008</v>
      </c>
      <c r="P124" s="53">
        <f t="shared" si="17"/>
        <v>-2074.553858768774</v>
      </c>
      <c r="Q124" s="53">
        <f t="shared" si="17"/>
        <v>-2259.295559615586</v>
      </c>
      <c r="R124" s="53">
        <f t="shared" si="17"/>
        <v>-1042.1252019842964</v>
      </c>
      <c r="S124" s="53">
        <f t="shared" si="17"/>
        <v>1003.4436971611118</v>
      </c>
      <c r="T124" s="53">
        <f t="shared" si="17"/>
        <v>441.34902221922886</v>
      </c>
      <c r="U124" s="53">
        <f t="shared" si="17"/>
        <v>3760.5320203365677</v>
      </c>
      <c r="V124" s="53">
        <f t="shared" si="17"/>
        <v>1836.70849870143</v>
      </c>
      <c r="W124" s="53">
        <f t="shared" si="17"/>
        <v>3906.7195639417923</v>
      </c>
      <c r="X124" s="53">
        <f t="shared" si="17"/>
        <v>3882.8151369014186</v>
      </c>
      <c r="Y124" s="53">
        <f t="shared" si="17"/>
        <v>2878.0130974475455</v>
      </c>
      <c r="Z124" s="53">
        <f t="shared" si="17"/>
        <v>4005.802417588637</v>
      </c>
      <c r="AA124" s="53">
        <f t="shared" si="17"/>
        <v>806.8498516116781</v>
      </c>
      <c r="AB124" s="53">
        <f t="shared" si="17"/>
        <v>602.314718241217</v>
      </c>
      <c r="AC124" s="53">
        <f t="shared" si="17"/>
        <v>-4109.865860927935</v>
      </c>
      <c r="AD124" s="53">
        <f t="shared" si="17"/>
        <v>-1214.615719521693</v>
      </c>
      <c r="AE124" s="53">
        <f t="shared" si="17"/>
        <v>-1213.5201375927834</v>
      </c>
      <c r="AF124" s="53">
        <f t="shared" si="17"/>
        <v>-1212.3916882060064</v>
      </c>
      <c r="AG124" s="53">
        <f t="shared" si="17"/>
        <v>-6826.081130590331</v>
      </c>
      <c r="AH124" s="53">
        <f t="shared" si="17"/>
        <v>-14885.218909010924</v>
      </c>
    </row>
    <row r="125" spans="5:34" ht="12.75">
      <c r="E125" s="207"/>
      <c r="F125" s="207"/>
      <c r="G125" s="207"/>
      <c r="H125" s="207"/>
      <c r="I125" s="207"/>
      <c r="J125" s="207"/>
      <c r="K125" s="207"/>
      <c r="L125" s="207"/>
      <c r="M125" s="207"/>
      <c r="N125" s="207"/>
      <c r="O125" s="207"/>
      <c r="P125" s="207"/>
      <c r="Q125" s="207"/>
      <c r="R125" s="207"/>
      <c r="S125" s="207"/>
      <c r="T125" s="207"/>
      <c r="U125" s="207"/>
      <c r="V125" s="207"/>
      <c r="W125" s="207"/>
      <c r="X125" s="207"/>
      <c r="Y125" s="207"/>
      <c r="Z125" s="207"/>
      <c r="AA125" s="207"/>
      <c r="AB125" s="207"/>
      <c r="AC125" s="207"/>
      <c r="AD125" s="207"/>
      <c r="AE125" s="207"/>
      <c r="AF125" s="207"/>
      <c r="AG125" s="207"/>
      <c r="AH125" s="207"/>
    </row>
    <row r="126" spans="5:34" ht="12.75">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row>
  </sheetData>
  <mergeCells count="2">
    <mergeCell ref="A4:J4"/>
    <mergeCell ref="F5:H5"/>
  </mergeCells>
  <printOptions/>
  <pageMargins left="0.75" right="0.75" top="1" bottom="1" header="0.5" footer="0.5"/>
  <pageSetup horizontalDpi="600" verticalDpi="600" orientation="landscape" scale="70"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dimension ref="C1:AP180"/>
  <sheetViews>
    <sheetView workbookViewId="0" topLeftCell="A1">
      <selection activeCell="A1" sqref="A1"/>
    </sheetView>
  </sheetViews>
  <sheetFormatPr defaultColWidth="9.140625" defaultRowHeight="12.75"/>
  <cols>
    <col min="1" max="1" width="2.140625" style="312" customWidth="1"/>
    <col min="2" max="2" width="2.00390625" style="312" customWidth="1"/>
    <col min="3" max="3" width="9.140625" style="312" customWidth="1"/>
    <col min="4" max="4" width="11.00390625" style="312" customWidth="1"/>
    <col min="5" max="5" width="15.7109375" style="312" customWidth="1"/>
    <col min="6" max="7" width="9.140625" style="312" customWidth="1"/>
    <col min="8" max="8" width="9.8515625" style="312" bestFit="1" customWidth="1"/>
    <col min="9" max="9" width="9.140625" style="312" customWidth="1"/>
    <col min="10" max="10" width="8.57421875" style="312" customWidth="1"/>
    <col min="11" max="16384" width="9.140625" style="312" customWidth="1"/>
  </cols>
  <sheetData>
    <row r="1" spans="3:42" ht="12.75">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row>
    <row r="2" spans="3:42" ht="15.75">
      <c r="C2" s="444" t="s">
        <v>453</v>
      </c>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row>
    <row r="3" spans="3:42" ht="12.75">
      <c r="C3" s="344"/>
      <c r="D3" s="344"/>
      <c r="E3" s="344"/>
      <c r="F3" s="344"/>
      <c r="G3" s="344"/>
      <c r="H3" s="344"/>
      <c r="I3" s="344"/>
      <c r="J3" s="345" t="s">
        <v>454</v>
      </c>
      <c r="K3" s="56">
        <v>0</v>
      </c>
      <c r="L3" s="56" t="s">
        <v>455</v>
      </c>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row>
    <row r="4" spans="3:42" ht="15.75">
      <c r="C4" s="344"/>
      <c r="D4" s="344"/>
      <c r="E4" s="344"/>
      <c r="F4" s="344"/>
      <c r="G4" s="344"/>
      <c r="H4" s="344"/>
      <c r="I4" s="344"/>
      <c r="J4" s="445"/>
      <c r="K4" s="446"/>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row>
    <row r="5" spans="3:42" ht="12.75">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row>
    <row r="6" spans="3:42" ht="15.75">
      <c r="C6" s="444" t="s">
        <v>456</v>
      </c>
      <c r="D6" s="344"/>
      <c r="E6" s="344"/>
      <c r="F6" s="344"/>
      <c r="G6" s="447"/>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row>
    <row r="7" spans="3:42" ht="12.75">
      <c r="C7" s="56"/>
      <c r="D7" s="56"/>
      <c r="E7" s="56"/>
      <c r="F7" s="344"/>
      <c r="G7" s="344"/>
      <c r="H7" s="344"/>
      <c r="I7" s="344"/>
      <c r="J7" s="448">
        <v>1998</v>
      </c>
      <c r="K7" s="449">
        <f aca="true" t="shared" si="0" ref="K7:AO7">J7+1</f>
        <v>1999</v>
      </c>
      <c r="L7" s="449">
        <f t="shared" si="0"/>
        <v>2000</v>
      </c>
      <c r="M7" s="449">
        <f t="shared" si="0"/>
        <v>2001</v>
      </c>
      <c r="N7" s="449">
        <f t="shared" si="0"/>
        <v>2002</v>
      </c>
      <c r="O7" s="449">
        <f t="shared" si="0"/>
        <v>2003</v>
      </c>
      <c r="P7" s="449">
        <f t="shared" si="0"/>
        <v>2004</v>
      </c>
      <c r="Q7" s="449">
        <f t="shared" si="0"/>
        <v>2005</v>
      </c>
      <c r="R7" s="449">
        <f t="shared" si="0"/>
        <v>2006</v>
      </c>
      <c r="S7" s="449">
        <f t="shared" si="0"/>
        <v>2007</v>
      </c>
      <c r="T7" s="449">
        <f t="shared" si="0"/>
        <v>2008</v>
      </c>
      <c r="U7" s="449">
        <f t="shared" si="0"/>
        <v>2009</v>
      </c>
      <c r="V7" s="449">
        <f t="shared" si="0"/>
        <v>2010</v>
      </c>
      <c r="W7" s="449">
        <f t="shared" si="0"/>
        <v>2011</v>
      </c>
      <c r="X7" s="449">
        <f t="shared" si="0"/>
        <v>2012</v>
      </c>
      <c r="Y7" s="449">
        <f t="shared" si="0"/>
        <v>2013</v>
      </c>
      <c r="Z7" s="449">
        <f t="shared" si="0"/>
        <v>2014</v>
      </c>
      <c r="AA7" s="449">
        <f t="shared" si="0"/>
        <v>2015</v>
      </c>
      <c r="AB7" s="449">
        <f t="shared" si="0"/>
        <v>2016</v>
      </c>
      <c r="AC7" s="449">
        <f t="shared" si="0"/>
        <v>2017</v>
      </c>
      <c r="AD7" s="449">
        <f t="shared" si="0"/>
        <v>2018</v>
      </c>
      <c r="AE7" s="449">
        <f t="shared" si="0"/>
        <v>2019</v>
      </c>
      <c r="AF7" s="449">
        <f t="shared" si="0"/>
        <v>2020</v>
      </c>
      <c r="AG7" s="449">
        <f t="shared" si="0"/>
        <v>2021</v>
      </c>
      <c r="AH7" s="449">
        <f t="shared" si="0"/>
        <v>2022</v>
      </c>
      <c r="AI7" s="449">
        <f t="shared" si="0"/>
        <v>2023</v>
      </c>
      <c r="AJ7" s="449">
        <f t="shared" si="0"/>
        <v>2024</v>
      </c>
      <c r="AK7" s="449">
        <f t="shared" si="0"/>
        <v>2025</v>
      </c>
      <c r="AL7" s="449">
        <f t="shared" si="0"/>
        <v>2026</v>
      </c>
      <c r="AM7" s="449">
        <f t="shared" si="0"/>
        <v>2027</v>
      </c>
      <c r="AN7" s="449">
        <f t="shared" si="0"/>
        <v>2028</v>
      </c>
      <c r="AO7" s="449">
        <f t="shared" si="0"/>
        <v>2029</v>
      </c>
      <c r="AP7" s="344"/>
    </row>
    <row r="8" spans="3:42" ht="12.75">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row>
    <row r="9" spans="3:42" ht="12.75">
      <c r="C9" s="344"/>
      <c r="D9" s="344"/>
      <c r="E9" s="344" t="s">
        <v>457</v>
      </c>
      <c r="F9" s="344"/>
      <c r="G9" s="344"/>
      <c r="H9" s="344"/>
      <c r="I9" s="450">
        <f>SUM(J9:AO9)</f>
        <v>328892.1518931056</v>
      </c>
      <c r="J9" s="450">
        <v>0</v>
      </c>
      <c r="K9" s="450">
        <f>Capex!C101+Capex!C97</f>
        <v>7523.264999999999</v>
      </c>
      <c r="L9" s="450">
        <f>Capex!D101+Capex!D97</f>
        <v>1781.9</v>
      </c>
      <c r="M9" s="450">
        <f>Capex!E101+Capex!E97</f>
        <v>148331.00990400207</v>
      </c>
      <c r="N9" s="450">
        <f>Capex!F101+Capex!F97</f>
        <v>76380.80922806004</v>
      </c>
      <c r="O9" s="450">
        <f>Capex!G101+Capex!G97</f>
        <v>4976.9999578199995</v>
      </c>
      <c r="P9" s="450">
        <f>Capex!H101+Capex!H97</f>
        <v>4057.4592600499996</v>
      </c>
      <c r="Q9" s="450">
        <f>Capex!I101+Capex!I97</f>
        <v>4179.1830378515</v>
      </c>
      <c r="R9" s="450">
        <f>Capex!J101+Capex!J97</f>
        <v>4304.558528987045</v>
      </c>
      <c r="S9" s="450">
        <f>Capex!K101+Capex!K97</f>
        <v>4433.695284856656</v>
      </c>
      <c r="T9" s="450">
        <f>Capex!L101+Capex!L97</f>
        <v>4566.706143402355</v>
      </c>
      <c r="U9" s="450">
        <f>Capex!M101+Capex!M97</f>
        <v>4703.7073277044265</v>
      </c>
      <c r="V9" s="450">
        <f>Capex!N101+Capex!N97</f>
        <v>4844.818547535559</v>
      </c>
      <c r="W9" s="450">
        <f>Capex!O101+Capex!O97</f>
        <v>4990.163103961625</v>
      </c>
      <c r="X9" s="450">
        <f>Capex!P101+Capex!P97</f>
        <v>5139.867997080473</v>
      </c>
      <c r="Y9" s="450">
        <f>Capex!Q101+Capex!Q97</f>
        <v>5294.064036992889</v>
      </c>
      <c r="Z9" s="450">
        <f>Capex!R101+Capex!R97</f>
        <v>5452.885958102675</v>
      </c>
      <c r="AA9" s="450">
        <f>Capex!S101+Capex!S97</f>
        <v>5616.472536845755</v>
      </c>
      <c r="AB9" s="450">
        <f>Capex!T101+Capex!T97</f>
        <v>5784.966712951127</v>
      </c>
      <c r="AC9" s="450">
        <f>Capex!U101+Capex!U97</f>
        <v>5958.515714339661</v>
      </c>
      <c r="AD9" s="450">
        <f>Capex!V101+Capex!V97</f>
        <v>6137.271185769851</v>
      </c>
      <c r="AE9" s="450">
        <f>Capex!W101+Capex!W97</f>
        <v>6321.3893213429465</v>
      </c>
      <c r="AF9" s="450">
        <f>Capex!X101+Capex!X97</f>
        <v>4883.273250737426</v>
      </c>
      <c r="AG9" s="450">
        <f>Capex!Y101+Capex!Y97</f>
        <v>2514.885724129774</v>
      </c>
      <c r="AH9" s="450">
        <f>Capex!Z101+Capex!Z97</f>
        <v>647.5830739634168</v>
      </c>
      <c r="AI9" s="450">
        <f>Capex!AA101+Capex!AA97</f>
        <v>66.70105661823195</v>
      </c>
      <c r="AJ9" s="450">
        <f>Capex!AB101+Capex!AB97</f>
        <v>0</v>
      </c>
      <c r="AK9" s="450">
        <f>Capex!AC101+Capex!AC97</f>
        <v>0</v>
      </c>
      <c r="AL9" s="450">
        <f>Capex!AD101+Capex!AD97</f>
        <v>0</v>
      </c>
      <c r="AM9" s="450">
        <f>Capex!AE101+Capex!AE97</f>
        <v>0</v>
      </c>
      <c r="AN9" s="450">
        <f>Capex!AF101+Capex!AF97</f>
        <v>0</v>
      </c>
      <c r="AO9" s="450">
        <f>'O&amp;M and SO2'!AK25+Capex!AG97</f>
        <v>0</v>
      </c>
      <c r="AP9" s="344"/>
    </row>
    <row r="10" spans="3:42" ht="12.75">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row>
    <row r="11" spans="3:42" ht="12.75">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row>
    <row r="12" spans="3:42" ht="12.75">
      <c r="C12" s="344"/>
      <c r="D12" s="344" t="s">
        <v>458</v>
      </c>
      <c r="E12" s="344"/>
      <c r="F12" s="344"/>
      <c r="G12" s="344"/>
      <c r="H12" s="451">
        <f>J7</f>
        <v>1998</v>
      </c>
      <c r="I12" s="452">
        <f aca="true" t="shared" si="1" ref="I12:I43">SUM(J12:AO12)</f>
        <v>1.0000000000000002</v>
      </c>
      <c r="J12" s="453">
        <v>0.0375</v>
      </c>
      <c r="K12" s="453">
        <v>0.07219</v>
      </c>
      <c r="L12" s="453">
        <f>0.06677</f>
        <v>0.06677</v>
      </c>
      <c r="M12" s="453">
        <f>IF($K$3=1,1-SUM($J12:L12),0.06177)</f>
        <v>0.06177</v>
      </c>
      <c r="N12" s="453">
        <f>IF($K$3=1,0,0.05713)</f>
        <v>0.05713</v>
      </c>
      <c r="O12" s="453">
        <f>IF($K$3=1,0,0.05285)</f>
        <v>0.05285</v>
      </c>
      <c r="P12" s="453">
        <f>IF($K$3=1,0,0.04888)</f>
        <v>0.04888</v>
      </c>
      <c r="Q12" s="453">
        <f>IF($K$3=1,0,0.04522)</f>
        <v>0.04522</v>
      </c>
      <c r="R12" s="453">
        <f>IF($K$3=1,0,0.04462)</f>
        <v>0.04462</v>
      </c>
      <c r="S12" s="453">
        <f>IF($K$3=1,0,0.04461)</f>
        <v>0.04461</v>
      </c>
      <c r="T12" s="453">
        <f>IF($K$3=1,0,0.04462)</f>
        <v>0.04462</v>
      </c>
      <c r="U12" s="453">
        <f>IF($K$3=1,0,0.04461)</f>
        <v>0.04461</v>
      </c>
      <c r="V12" s="453">
        <f>IF($K$3=1,0,0.04462)</f>
        <v>0.04462</v>
      </c>
      <c r="W12" s="453">
        <f>IF($K$3=1,0,0.04461)</f>
        <v>0.04461</v>
      </c>
      <c r="X12" s="453">
        <f>IF($K$3=1,0,0.04462)</f>
        <v>0.04462</v>
      </c>
      <c r="Y12" s="453">
        <f>IF($K$3=1,0,0.04461)</f>
        <v>0.04461</v>
      </c>
      <c r="Z12" s="453">
        <f>IF($K$3=1,0,0.04462)</f>
        <v>0.04462</v>
      </c>
      <c r="AA12" s="453">
        <f>IF($K$3=1,0,0.04461)</f>
        <v>0.04461</v>
      </c>
      <c r="AB12" s="453">
        <f>IF($K$3=1,0,0.04462)</f>
        <v>0.04462</v>
      </c>
      <c r="AC12" s="453">
        <f>IF($K$3=1,0,0.04461)</f>
        <v>0.04461</v>
      </c>
      <c r="AD12" s="453">
        <f>IF($K$3=1,0,0.02231)</f>
        <v>0.02231</v>
      </c>
      <c r="AE12" s="453"/>
      <c r="AF12" s="344"/>
      <c r="AG12" s="344"/>
      <c r="AH12" s="344"/>
      <c r="AI12" s="344"/>
      <c r="AJ12" s="344"/>
      <c r="AK12" s="344"/>
      <c r="AL12" s="344"/>
      <c r="AM12" s="453"/>
      <c r="AN12" s="344"/>
      <c r="AO12" s="344"/>
      <c r="AP12" s="344"/>
    </row>
    <row r="13" spans="3:42" ht="12.75">
      <c r="C13" s="344"/>
      <c r="D13" s="344"/>
      <c r="E13" s="344"/>
      <c r="F13" s="344"/>
      <c r="G13" s="344"/>
      <c r="H13" s="344">
        <f aca="true" t="shared" si="2" ref="H13:H43">H12+1</f>
        <v>1999</v>
      </c>
      <c r="I13" s="452">
        <f t="shared" si="1"/>
        <v>1.0000000000000002</v>
      </c>
      <c r="J13" s="453"/>
      <c r="K13" s="453">
        <v>0.0375</v>
      </c>
      <c r="L13" s="453">
        <f>0.07219</f>
        <v>0.07219</v>
      </c>
      <c r="M13" s="453">
        <f>IF($K$3=1,1-SUM($J13:L13),0.06677)</f>
        <v>0.06677</v>
      </c>
      <c r="N13" s="453">
        <f>IF($K$3=1,0,0.06177)</f>
        <v>0.06177</v>
      </c>
      <c r="O13" s="453">
        <f>IF($K$3=1,0,0.05713)</f>
        <v>0.05713</v>
      </c>
      <c r="P13" s="453">
        <f>IF($K$3=1,0,0.05285)</f>
        <v>0.05285</v>
      </c>
      <c r="Q13" s="453">
        <f>IF($K$3=1,0,0.04888)</f>
        <v>0.04888</v>
      </c>
      <c r="R13" s="453">
        <f>IF($K$3=1,0,0.04522)</f>
        <v>0.04522</v>
      </c>
      <c r="S13" s="453">
        <f>IF($K$3=1,0,0.04462)</f>
        <v>0.04462</v>
      </c>
      <c r="T13" s="453">
        <f>IF($K$3=1,0,0.04461)</f>
        <v>0.04461</v>
      </c>
      <c r="U13" s="453">
        <f>IF($K$3=1,0,0.04462)</f>
        <v>0.04462</v>
      </c>
      <c r="V13" s="453">
        <f>IF($K$3=1,0,0.04461)</f>
        <v>0.04461</v>
      </c>
      <c r="W13" s="453">
        <f>IF($K$3=1,0,0.04462)</f>
        <v>0.04462</v>
      </c>
      <c r="X13" s="453">
        <f>IF($K$3=1,0,0.04461)</f>
        <v>0.04461</v>
      </c>
      <c r="Y13" s="453">
        <f>IF($K$3=1,0,0.04462)</f>
        <v>0.04462</v>
      </c>
      <c r="Z13" s="453">
        <f>IF($K$3=1,0,0.04461)</f>
        <v>0.04461</v>
      </c>
      <c r="AA13" s="453">
        <f>IF($K$3=1,0,0.04462)</f>
        <v>0.04462</v>
      </c>
      <c r="AB13" s="453">
        <f>IF($K$3=1,0,0.04461)</f>
        <v>0.04461</v>
      </c>
      <c r="AC13" s="453">
        <f>IF($K$3=1,0,0.04462)</f>
        <v>0.04462</v>
      </c>
      <c r="AD13" s="453">
        <f>IF($K$3=1,0,0.04461)</f>
        <v>0.04461</v>
      </c>
      <c r="AE13" s="453">
        <f>IF($K$3=1,0,0.02231)</f>
        <v>0.02231</v>
      </c>
      <c r="AF13" s="344"/>
      <c r="AG13" s="344"/>
      <c r="AH13" s="344"/>
      <c r="AI13" s="344"/>
      <c r="AJ13" s="344"/>
      <c r="AK13" s="344"/>
      <c r="AL13" s="344"/>
      <c r="AM13" s="453"/>
      <c r="AN13" s="344"/>
      <c r="AO13" s="344"/>
      <c r="AP13" s="344"/>
    </row>
    <row r="14" spans="3:42" ht="12.75">
      <c r="C14" s="344"/>
      <c r="D14" s="344"/>
      <c r="E14" s="344"/>
      <c r="F14" s="344"/>
      <c r="G14" s="344"/>
      <c r="H14" s="344">
        <f t="shared" si="2"/>
        <v>2000</v>
      </c>
      <c r="I14" s="452">
        <f t="shared" si="1"/>
        <v>1.0000000000000002</v>
      </c>
      <c r="J14" s="453"/>
      <c r="K14" s="453"/>
      <c r="L14" s="453">
        <f>0.0375</f>
        <v>0.0375</v>
      </c>
      <c r="M14" s="453">
        <f>IF($K$3=1,1-SUM($J14:L14),0.07219)</f>
        <v>0.07219</v>
      </c>
      <c r="N14" s="453">
        <f>IF($K$3=1,0,0.06677)</f>
        <v>0.06677</v>
      </c>
      <c r="O14" s="453">
        <f>IF($K$3=1,0,0.06177)</f>
        <v>0.06177</v>
      </c>
      <c r="P14" s="453">
        <f>IF($K$3=1,0,0.05713)</f>
        <v>0.05713</v>
      </c>
      <c r="Q14" s="453">
        <f>IF($K$3=1,0,0.05285)</f>
        <v>0.05285</v>
      </c>
      <c r="R14" s="453">
        <f>IF($K$3=1,0,0.04888)</f>
        <v>0.04888</v>
      </c>
      <c r="S14" s="453">
        <f>IF($K$3=1,0,0.04522)</f>
        <v>0.04522</v>
      </c>
      <c r="T14" s="453">
        <f>IF($K$3=1,0,0.04462)</f>
        <v>0.04462</v>
      </c>
      <c r="U14" s="453">
        <f>IF($K$3=1,0,0.04461)</f>
        <v>0.04461</v>
      </c>
      <c r="V14" s="453">
        <f>IF($K$3=1,0,0.04462)</f>
        <v>0.04462</v>
      </c>
      <c r="W14" s="453">
        <f>IF($K$3=1,0,0.04461)</f>
        <v>0.04461</v>
      </c>
      <c r="X14" s="453">
        <f>IF($K$3=1,0,0.04462)</f>
        <v>0.04462</v>
      </c>
      <c r="Y14" s="453">
        <f>IF($K$3=1,0,0.04461)</f>
        <v>0.04461</v>
      </c>
      <c r="Z14" s="453">
        <f>IF($K$3=1,0,0.04462)</f>
        <v>0.04462</v>
      </c>
      <c r="AA14" s="453">
        <f>IF($K$3=1,0,0.04461)</f>
        <v>0.04461</v>
      </c>
      <c r="AB14" s="453">
        <f>IF($K$3=1,0,0.04462)</f>
        <v>0.04462</v>
      </c>
      <c r="AC14" s="453">
        <f>IF($K$3=1,0,0.04461)</f>
        <v>0.04461</v>
      </c>
      <c r="AD14" s="453">
        <f>IF($K$3=1,0,0.04462)</f>
        <v>0.04462</v>
      </c>
      <c r="AE14" s="453">
        <f>IF($K$3=1,0,0.04461)</f>
        <v>0.04461</v>
      </c>
      <c r="AF14" s="453">
        <f>IF($K$3=1,0,0.02231)</f>
        <v>0.02231</v>
      </c>
      <c r="AG14" s="344"/>
      <c r="AH14" s="344"/>
      <c r="AI14" s="344"/>
      <c r="AJ14" s="344"/>
      <c r="AK14" s="344"/>
      <c r="AL14" s="344"/>
      <c r="AM14" s="453"/>
      <c r="AN14" s="344"/>
      <c r="AO14" s="344"/>
      <c r="AP14" s="344"/>
    </row>
    <row r="15" spans="3:42" ht="12.75">
      <c r="C15" s="344"/>
      <c r="D15" s="344"/>
      <c r="E15" s="344"/>
      <c r="F15" s="344"/>
      <c r="G15" s="344"/>
      <c r="H15" s="344">
        <f t="shared" si="2"/>
        <v>2001</v>
      </c>
      <c r="I15" s="452">
        <f t="shared" si="1"/>
        <v>1.0000000000000002</v>
      </c>
      <c r="J15" s="453"/>
      <c r="K15" s="453"/>
      <c r="L15" s="453"/>
      <c r="M15" s="453">
        <f>IF($K$3=1,1,0.0375)</f>
        <v>0.0375</v>
      </c>
      <c r="N15" s="453">
        <f>IF($K$3=1,0,0.07219)</f>
        <v>0.07219</v>
      </c>
      <c r="O15" s="453">
        <f>IF($K$3=1,0,0.06677)</f>
        <v>0.06677</v>
      </c>
      <c r="P15" s="453">
        <f>IF($K$3=1,0,0.06177)</f>
        <v>0.06177</v>
      </c>
      <c r="Q15" s="453">
        <f>IF($K$3=1,0,0.05713)</f>
        <v>0.05713</v>
      </c>
      <c r="R15" s="453">
        <f>IF($K$3=1,0,0.05285)</f>
        <v>0.05285</v>
      </c>
      <c r="S15" s="453">
        <f>IF($K$3=1,0,0.04888)</f>
        <v>0.04888</v>
      </c>
      <c r="T15" s="453">
        <f>IF($K$3=1,0,0.04522)</f>
        <v>0.04522</v>
      </c>
      <c r="U15" s="453">
        <f>IF($K$3=1,0,0.04462)</f>
        <v>0.04462</v>
      </c>
      <c r="V15" s="453">
        <f>IF($K$3=1,0,0.04461)</f>
        <v>0.04461</v>
      </c>
      <c r="W15" s="453">
        <f>IF($K$3=1,0,0.04462)</f>
        <v>0.04462</v>
      </c>
      <c r="X15" s="453">
        <f>IF($K$3=1,0,0.04461)</f>
        <v>0.04461</v>
      </c>
      <c r="Y15" s="453">
        <f>IF($K$3=1,0,0.04462)</f>
        <v>0.04462</v>
      </c>
      <c r="Z15" s="453">
        <f>IF($K$3=1,0,0.04461)</f>
        <v>0.04461</v>
      </c>
      <c r="AA15" s="453">
        <f>IF($K$3=1,0,0.04462)</f>
        <v>0.04462</v>
      </c>
      <c r="AB15" s="453">
        <f>IF($K$3=1,0,0.04461)</f>
        <v>0.04461</v>
      </c>
      <c r="AC15" s="453">
        <f>IF($K$3=1,0,0.04462)</f>
        <v>0.04462</v>
      </c>
      <c r="AD15" s="453">
        <f>IF($K$3=1,0,0.04461)</f>
        <v>0.04461</v>
      </c>
      <c r="AE15" s="453">
        <f>IF($K$3=1,0,0.04462)</f>
        <v>0.04462</v>
      </c>
      <c r="AF15" s="453">
        <f>IF($K$3=1,0,0.04461)</f>
        <v>0.04461</v>
      </c>
      <c r="AG15" s="453">
        <f>IF($K$3=1,0,0.02231)</f>
        <v>0.02231</v>
      </c>
      <c r="AH15" s="344"/>
      <c r="AI15" s="344"/>
      <c r="AJ15" s="344"/>
      <c r="AK15" s="344"/>
      <c r="AL15" s="344"/>
      <c r="AM15" s="453"/>
      <c r="AN15" s="344"/>
      <c r="AO15" s="344"/>
      <c r="AP15" s="344"/>
    </row>
    <row r="16" spans="3:42" ht="12.75">
      <c r="C16" s="344"/>
      <c r="D16" s="344"/>
      <c r="E16" s="344"/>
      <c r="F16" s="344"/>
      <c r="G16" s="344"/>
      <c r="H16" s="344">
        <f t="shared" si="2"/>
        <v>2002</v>
      </c>
      <c r="I16" s="452">
        <f t="shared" si="1"/>
        <v>1.0000000000000002</v>
      </c>
      <c r="J16" s="453"/>
      <c r="K16" s="453"/>
      <c r="L16" s="453"/>
      <c r="M16" s="453"/>
      <c r="N16" s="453">
        <f>IF($K$3=1,0,0.0375)</f>
        <v>0.0375</v>
      </c>
      <c r="O16" s="453">
        <f>IF($K$3=1,0,0.07219)</f>
        <v>0.07219</v>
      </c>
      <c r="P16" s="453">
        <f>IF($K$3=1,0,0.06677)</f>
        <v>0.06677</v>
      </c>
      <c r="Q16" s="453">
        <f>IF($K$3=1,0,0.06177)</f>
        <v>0.06177</v>
      </c>
      <c r="R16" s="453">
        <f>IF($K$3=1,0,0.05713)</f>
        <v>0.05713</v>
      </c>
      <c r="S16" s="453">
        <f>IF($K$3=1,0,0.05285)</f>
        <v>0.05285</v>
      </c>
      <c r="T16" s="453">
        <f>IF($K$3=1,0,0.04888)</f>
        <v>0.04888</v>
      </c>
      <c r="U16" s="453">
        <f>IF($K$3=1,0,0.04522)</f>
        <v>0.04522</v>
      </c>
      <c r="V16" s="453">
        <f>IF($K$3=1,0,0.04462)</f>
        <v>0.04462</v>
      </c>
      <c r="W16" s="453">
        <f>IF($K$3=1,0,0.04461)</f>
        <v>0.04461</v>
      </c>
      <c r="X16" s="453">
        <f>IF($K$3=1,0,0.04462)</f>
        <v>0.04462</v>
      </c>
      <c r="Y16" s="453">
        <f>IF($K$3=1,0,0.04461)</f>
        <v>0.04461</v>
      </c>
      <c r="Z16" s="453">
        <f>IF($K$3=1,0,0.04462)</f>
        <v>0.04462</v>
      </c>
      <c r="AA16" s="453">
        <f>IF($K$3=1,0,0.04461)</f>
        <v>0.04461</v>
      </c>
      <c r="AB16" s="453">
        <f>IF($K$3=1,0,0.04462)</f>
        <v>0.04462</v>
      </c>
      <c r="AC16" s="453">
        <f>IF($K$3=1,0,0.04461)</f>
        <v>0.04461</v>
      </c>
      <c r="AD16" s="453">
        <f>IF($K$3=1,0,0.04462)</f>
        <v>0.04462</v>
      </c>
      <c r="AE16" s="453">
        <f>IF($K$3=1,0,0.04461)</f>
        <v>0.04461</v>
      </c>
      <c r="AF16" s="453">
        <f>IF($K$3=1,0,0.04462)</f>
        <v>0.04462</v>
      </c>
      <c r="AG16" s="453">
        <f>IF($K$3=1,0,0.04461)</f>
        <v>0.04461</v>
      </c>
      <c r="AH16" s="453">
        <f>IF($K$3=1,0,0.02231)</f>
        <v>0.02231</v>
      </c>
      <c r="AI16" s="344"/>
      <c r="AJ16" s="344"/>
      <c r="AK16" s="344"/>
      <c r="AL16" s="344"/>
      <c r="AM16" s="453"/>
      <c r="AN16" s="344"/>
      <c r="AO16" s="344"/>
      <c r="AP16" s="344"/>
    </row>
    <row r="17" spans="3:42" ht="12.75">
      <c r="C17" s="344"/>
      <c r="D17" s="344"/>
      <c r="E17" s="344"/>
      <c r="F17" s="344"/>
      <c r="G17" s="344"/>
      <c r="H17" s="344">
        <f t="shared" si="2"/>
        <v>2003</v>
      </c>
      <c r="I17" s="452">
        <f t="shared" si="1"/>
        <v>1</v>
      </c>
      <c r="J17" s="453"/>
      <c r="K17" s="453"/>
      <c r="L17" s="453"/>
      <c r="M17" s="453"/>
      <c r="N17" s="453"/>
      <c r="O17" s="453">
        <f>IF($K$3=1,0,0.0375)</f>
        <v>0.0375</v>
      </c>
      <c r="P17" s="453">
        <f>IF($K$3=1,0,0.07219)</f>
        <v>0.07219</v>
      </c>
      <c r="Q17" s="453">
        <f>IF($K$3=1,0,0.06677)</f>
        <v>0.06677</v>
      </c>
      <c r="R17" s="453">
        <f>IF($K$3=1,0,0.06177)</f>
        <v>0.06177</v>
      </c>
      <c r="S17" s="453">
        <f>IF($K$3=1,0,0.05713)</f>
        <v>0.05713</v>
      </c>
      <c r="T17" s="453">
        <f>IF($K$3=1,0,0.05285)</f>
        <v>0.05285</v>
      </c>
      <c r="U17" s="453">
        <f>IF($K$3=1,0,0.04888)</f>
        <v>0.04888</v>
      </c>
      <c r="V17" s="453">
        <f>IF($K$3=1,0,0.04522)</f>
        <v>0.04522</v>
      </c>
      <c r="W17" s="453">
        <f>IF($K$3=1,0,0.04462)</f>
        <v>0.04462</v>
      </c>
      <c r="X17" s="453">
        <f>IF($K$3=1,0,0.04461)</f>
        <v>0.04461</v>
      </c>
      <c r="Y17" s="453">
        <f>IF($K$3=1,0,0.04462)</f>
        <v>0.04462</v>
      </c>
      <c r="Z17" s="453">
        <f>IF($K$3=1,0,0.04461)</f>
        <v>0.04461</v>
      </c>
      <c r="AA17" s="453">
        <f>IF($K$3=1,0,0.04462)</f>
        <v>0.04462</v>
      </c>
      <c r="AB17" s="453">
        <f>IF($K$3=1,0,0.04461)</f>
        <v>0.04461</v>
      </c>
      <c r="AC17" s="453">
        <f>IF($K$3=1,0,0.04462)</f>
        <v>0.04462</v>
      </c>
      <c r="AD17" s="453">
        <f>IF($K$3=1,0,0.04461)</f>
        <v>0.04461</v>
      </c>
      <c r="AE17" s="453">
        <f>IF($K$3=1,0,0.04462)</f>
        <v>0.04462</v>
      </c>
      <c r="AF17" s="453">
        <f>IF($K$3=1,0,0.04461)</f>
        <v>0.04461</v>
      </c>
      <c r="AG17" s="453">
        <f>IF($K$3=1,0,0.04462)</f>
        <v>0.04462</v>
      </c>
      <c r="AH17" s="453">
        <f>IF($K$3=1,0,0.04461)</f>
        <v>0.04461</v>
      </c>
      <c r="AI17" s="453">
        <f>1-SUM($J17:AH17)</f>
        <v>0.02230999999999983</v>
      </c>
      <c r="AJ17" s="344"/>
      <c r="AK17" s="344"/>
      <c r="AL17" s="344"/>
      <c r="AM17" s="453"/>
      <c r="AN17" s="344"/>
      <c r="AO17" s="344"/>
      <c r="AP17" s="344"/>
    </row>
    <row r="18" spans="3:42" ht="12.75">
      <c r="C18" s="344"/>
      <c r="D18" s="344"/>
      <c r="E18" s="344"/>
      <c r="F18" s="344"/>
      <c r="G18" s="344"/>
      <c r="H18" s="344">
        <f t="shared" si="2"/>
        <v>2004</v>
      </c>
      <c r="I18" s="452">
        <f t="shared" si="1"/>
        <v>1</v>
      </c>
      <c r="J18" s="453"/>
      <c r="K18" s="453"/>
      <c r="L18" s="453"/>
      <c r="M18" s="453"/>
      <c r="N18" s="453"/>
      <c r="O18" s="453"/>
      <c r="P18" s="453">
        <f>IF($K$3=1,0,0.0375)</f>
        <v>0.0375</v>
      </c>
      <c r="Q18" s="453">
        <f>IF($K$3=1,0,0.07219)</f>
        <v>0.07219</v>
      </c>
      <c r="R18" s="453">
        <f>IF($K$3=1,0,0.06677)</f>
        <v>0.06677</v>
      </c>
      <c r="S18" s="453">
        <f>IF($K$3=1,0,0.06177)</f>
        <v>0.06177</v>
      </c>
      <c r="T18" s="453">
        <f>IF($K$3=1,0,0.05713)</f>
        <v>0.05713</v>
      </c>
      <c r="U18" s="453">
        <f>IF($K$3=1,0,0.05285)</f>
        <v>0.05285</v>
      </c>
      <c r="V18" s="453">
        <f>IF($K$3=1,0,0.04888)</f>
        <v>0.04888</v>
      </c>
      <c r="W18" s="453">
        <f>IF($K$3=1,0,0.04522)</f>
        <v>0.04522</v>
      </c>
      <c r="X18" s="453">
        <f>IF($K$3=1,0,0.04462)</f>
        <v>0.04462</v>
      </c>
      <c r="Y18" s="453">
        <f>IF($K$3=1,0,0.04461)</f>
        <v>0.04461</v>
      </c>
      <c r="Z18" s="453">
        <f>IF($K$3=1,0,0.04462)</f>
        <v>0.04462</v>
      </c>
      <c r="AA18" s="453">
        <f>IF($K$3=1,0,0.04461)</f>
        <v>0.04461</v>
      </c>
      <c r="AB18" s="453">
        <f>IF($K$3=1,0,0.04462)</f>
        <v>0.04462</v>
      </c>
      <c r="AC18" s="453">
        <f>IF($K$3=1,0,0.04461)</f>
        <v>0.04461</v>
      </c>
      <c r="AD18" s="453">
        <f>IF($K$3=1,0,0.04462)</f>
        <v>0.04462</v>
      </c>
      <c r="AE18" s="453">
        <f>IF($K$3=1,0,0.04461)</f>
        <v>0.04461</v>
      </c>
      <c r="AF18" s="453">
        <f>IF($K$3=1,0,0.04462)</f>
        <v>0.04462</v>
      </c>
      <c r="AG18" s="453">
        <f>IF($K$3=1,0,0.04461)</f>
        <v>0.04461</v>
      </c>
      <c r="AH18" s="453">
        <f>IF($K$3=1,0,0.04462)</f>
        <v>0.04462</v>
      </c>
      <c r="AI18" s="453">
        <f>1-SUM($J18:AH18)</f>
        <v>0.06691999999999987</v>
      </c>
      <c r="AJ18" s="453"/>
      <c r="AK18" s="344"/>
      <c r="AL18" s="344"/>
      <c r="AM18" s="453"/>
      <c r="AN18" s="344"/>
      <c r="AO18" s="344"/>
      <c r="AP18" s="344"/>
    </row>
    <row r="19" spans="3:42" ht="12.75">
      <c r="C19" s="344"/>
      <c r="D19" s="344"/>
      <c r="E19" s="344"/>
      <c r="F19" s="344"/>
      <c r="G19" s="344"/>
      <c r="H19" s="344">
        <f t="shared" si="2"/>
        <v>2005</v>
      </c>
      <c r="I19" s="452">
        <f t="shared" si="1"/>
        <v>1</v>
      </c>
      <c r="J19" s="453"/>
      <c r="K19" s="453"/>
      <c r="L19" s="453"/>
      <c r="M19" s="453"/>
      <c r="N19" s="453"/>
      <c r="O19" s="453"/>
      <c r="P19" s="453"/>
      <c r="Q19" s="453">
        <f>IF($K$3=1,0,0.0375)</f>
        <v>0.0375</v>
      </c>
      <c r="R19" s="453">
        <f>IF($K$3=1,0,0.07219)</f>
        <v>0.07219</v>
      </c>
      <c r="S19" s="453">
        <f>IF($K$3=1,0,0.06677)</f>
        <v>0.06677</v>
      </c>
      <c r="T19" s="453">
        <f>IF($K$3=1,0,0.06177)</f>
        <v>0.06177</v>
      </c>
      <c r="U19" s="453">
        <f>IF($K$3=1,0,0.05713)</f>
        <v>0.05713</v>
      </c>
      <c r="V19" s="453">
        <f>IF($K$3=1,0,0.05285)</f>
        <v>0.05285</v>
      </c>
      <c r="W19" s="453">
        <f>IF($K$3=1,0,0.04888)</f>
        <v>0.04888</v>
      </c>
      <c r="X19" s="453">
        <f>IF($K$3=1,0,0.04522)</f>
        <v>0.04522</v>
      </c>
      <c r="Y19" s="453">
        <f>IF($K$3=1,0,0.04462)</f>
        <v>0.04462</v>
      </c>
      <c r="Z19" s="453">
        <f>IF($K$3=1,0,0.04461)</f>
        <v>0.04461</v>
      </c>
      <c r="AA19" s="453">
        <f>IF($K$3=1,0,0.04462)</f>
        <v>0.04462</v>
      </c>
      <c r="AB19" s="453">
        <f>IF($K$3=1,0,0.04461)</f>
        <v>0.04461</v>
      </c>
      <c r="AC19" s="453">
        <f>IF($K$3=1,0,0.04462)</f>
        <v>0.04462</v>
      </c>
      <c r="AD19" s="453">
        <f>IF($K$3=1,0,0.04461)</f>
        <v>0.04461</v>
      </c>
      <c r="AE19" s="453">
        <f>IF($K$3=1,0,0.04462)</f>
        <v>0.04462</v>
      </c>
      <c r="AF19" s="453">
        <f>IF($K$3=1,0,0.04461)</f>
        <v>0.04461</v>
      </c>
      <c r="AG19" s="453">
        <f>IF($K$3=1,0,0.04462)</f>
        <v>0.04462</v>
      </c>
      <c r="AH19" s="453">
        <f>IF($K$3=1,0,0.04461)</f>
        <v>0.04461</v>
      </c>
      <c r="AI19" s="453">
        <f>1-SUM($J19:AH19)</f>
        <v>0.11153999999999986</v>
      </c>
      <c r="AJ19" s="453"/>
      <c r="AK19" s="453"/>
      <c r="AL19" s="344"/>
      <c r="AM19" s="453"/>
      <c r="AN19" s="344"/>
      <c r="AO19" s="344"/>
      <c r="AP19" s="344"/>
    </row>
    <row r="20" spans="3:42" ht="12.75">
      <c r="C20" s="344"/>
      <c r="D20" s="344"/>
      <c r="E20" s="344"/>
      <c r="F20" s="344"/>
      <c r="G20" s="344"/>
      <c r="H20" s="344">
        <f t="shared" si="2"/>
        <v>2006</v>
      </c>
      <c r="I20" s="452">
        <f t="shared" si="1"/>
        <v>1</v>
      </c>
      <c r="J20" s="453"/>
      <c r="K20" s="453"/>
      <c r="L20" s="453"/>
      <c r="M20" s="453"/>
      <c r="N20" s="453"/>
      <c r="O20" s="453"/>
      <c r="P20" s="453"/>
      <c r="Q20" s="453"/>
      <c r="R20" s="453">
        <f>IF($K$3=1,0,0.0375)</f>
        <v>0.0375</v>
      </c>
      <c r="S20" s="453">
        <f>IF($K$3=1,0,0.07219)</f>
        <v>0.07219</v>
      </c>
      <c r="T20" s="453">
        <f>IF($K$3=1,0,0.06677)</f>
        <v>0.06677</v>
      </c>
      <c r="U20" s="453">
        <f>IF($K$3=1,0,0.06177)</f>
        <v>0.06177</v>
      </c>
      <c r="V20" s="453">
        <f>IF($K$3=1,0,0.05713)</f>
        <v>0.05713</v>
      </c>
      <c r="W20" s="453">
        <f>IF($K$3=1,0,0.05285)</f>
        <v>0.05285</v>
      </c>
      <c r="X20" s="453">
        <f>IF($K$3=1,0,0.04888)</f>
        <v>0.04888</v>
      </c>
      <c r="Y20" s="453">
        <f>IF($K$3=1,0,0.04522)</f>
        <v>0.04522</v>
      </c>
      <c r="Z20" s="453">
        <f>IF($K$3=1,0,0.04462)</f>
        <v>0.04462</v>
      </c>
      <c r="AA20" s="453">
        <f>IF($K$3=1,0,0.04461)</f>
        <v>0.04461</v>
      </c>
      <c r="AB20" s="453">
        <f>IF($K$3=1,0,0.04462)</f>
        <v>0.04462</v>
      </c>
      <c r="AC20" s="453">
        <f>IF($K$3=1,0,0.04461)</f>
        <v>0.04461</v>
      </c>
      <c r="AD20" s="453">
        <f>IF($K$3=1,0,0.04462)</f>
        <v>0.04462</v>
      </c>
      <c r="AE20" s="453">
        <f>IF($K$3=1,0,0.04461)</f>
        <v>0.04461</v>
      </c>
      <c r="AF20" s="453">
        <f>IF($K$3=1,0,0.04462)</f>
        <v>0.04462</v>
      </c>
      <c r="AG20" s="453">
        <f>IF($K$3=1,0,0.04461)</f>
        <v>0.04461</v>
      </c>
      <c r="AH20" s="453">
        <f>IF($K$3=1,0,0.04462)</f>
        <v>0.04462</v>
      </c>
      <c r="AI20" s="453">
        <f>1-SUM($J20:AH20)</f>
        <v>0.1561499999999999</v>
      </c>
      <c r="AJ20" s="453"/>
      <c r="AK20" s="453"/>
      <c r="AL20" s="453"/>
      <c r="AM20" s="453"/>
      <c r="AN20" s="344"/>
      <c r="AO20" s="344"/>
      <c r="AP20" s="344"/>
    </row>
    <row r="21" spans="3:42" ht="12.75">
      <c r="C21" s="344"/>
      <c r="D21" s="344"/>
      <c r="E21" s="344"/>
      <c r="F21" s="344"/>
      <c r="G21" s="344"/>
      <c r="H21" s="344">
        <f t="shared" si="2"/>
        <v>2007</v>
      </c>
      <c r="I21" s="452">
        <f t="shared" si="1"/>
        <v>1</v>
      </c>
      <c r="J21" s="453"/>
      <c r="K21" s="453"/>
      <c r="L21" s="453"/>
      <c r="M21" s="453"/>
      <c r="N21" s="453"/>
      <c r="O21" s="453"/>
      <c r="P21" s="453"/>
      <c r="Q21" s="453"/>
      <c r="R21" s="453"/>
      <c r="S21" s="453">
        <f>IF($K$3=1,0,0.0375)</f>
        <v>0.0375</v>
      </c>
      <c r="T21" s="453">
        <f>IF($K$3=1,0,0.07219)</f>
        <v>0.07219</v>
      </c>
      <c r="U21" s="453">
        <f>IF($K$3=1,0,0.06677)</f>
        <v>0.06677</v>
      </c>
      <c r="V21" s="453">
        <f>IF($K$3=1,0,0.06177)</f>
        <v>0.06177</v>
      </c>
      <c r="W21" s="453">
        <f>IF($K$3=1,0,0.05713)</f>
        <v>0.05713</v>
      </c>
      <c r="X21" s="453">
        <f>IF($K$3=1,0,0.05285)</f>
        <v>0.05285</v>
      </c>
      <c r="Y21" s="453">
        <f>IF($K$3=1,0,0.04888)</f>
        <v>0.04888</v>
      </c>
      <c r="Z21" s="453">
        <f>IF($K$3=1,0,0.04522)</f>
        <v>0.04522</v>
      </c>
      <c r="AA21" s="453">
        <f>IF($K$3=1,0,0.04462)</f>
        <v>0.04462</v>
      </c>
      <c r="AB21" s="453">
        <f>IF($K$3=1,0,0.04461)</f>
        <v>0.04461</v>
      </c>
      <c r="AC21" s="453">
        <f>IF($K$3=1,0,0.04462)</f>
        <v>0.04462</v>
      </c>
      <c r="AD21" s="453">
        <f>IF($K$3=1,0,0.04461)</f>
        <v>0.04461</v>
      </c>
      <c r="AE21" s="453">
        <f>IF($K$3=1,0,0.04462)</f>
        <v>0.04462</v>
      </c>
      <c r="AF21" s="453">
        <f>IF($K$3=1,0,0.04461)</f>
        <v>0.04461</v>
      </c>
      <c r="AG21" s="453">
        <f>IF($K$3=1,0,0.04462)</f>
        <v>0.04462</v>
      </c>
      <c r="AH21" s="453">
        <f>IF($K$3=1,0,0.04461)</f>
        <v>0.04461</v>
      </c>
      <c r="AI21" s="453">
        <f>1-SUM($J21:AH21)</f>
        <v>0.2007699999999999</v>
      </c>
      <c r="AJ21" s="453"/>
      <c r="AK21" s="453"/>
      <c r="AL21" s="453"/>
      <c r="AM21" s="453"/>
      <c r="AN21" s="344"/>
      <c r="AO21" s="344"/>
      <c r="AP21" s="344"/>
    </row>
    <row r="22" spans="3:42" ht="12.75">
      <c r="C22" s="344"/>
      <c r="D22" s="344"/>
      <c r="E22" s="344"/>
      <c r="F22" s="344"/>
      <c r="G22" s="344"/>
      <c r="H22" s="344">
        <f t="shared" si="2"/>
        <v>2008</v>
      </c>
      <c r="I22" s="452">
        <f t="shared" si="1"/>
        <v>1</v>
      </c>
      <c r="J22" s="453"/>
      <c r="K22" s="453"/>
      <c r="L22" s="453"/>
      <c r="M22" s="453"/>
      <c r="N22" s="453"/>
      <c r="O22" s="453"/>
      <c r="P22" s="453"/>
      <c r="Q22" s="453"/>
      <c r="R22" s="453"/>
      <c r="S22" s="453"/>
      <c r="T22" s="453">
        <f>IF($K$3=1,0,0.0375)</f>
        <v>0.0375</v>
      </c>
      <c r="U22" s="453">
        <f>IF($K$3=1,0,0.07219)</f>
        <v>0.07219</v>
      </c>
      <c r="V22" s="453">
        <f>IF($K$3=1,0,0.06677)</f>
        <v>0.06677</v>
      </c>
      <c r="W22" s="453">
        <f>IF($K$3=1,0,0.06177)</f>
        <v>0.06177</v>
      </c>
      <c r="X22" s="453">
        <f>IF($K$3=1,0,0.05713)</f>
        <v>0.05713</v>
      </c>
      <c r="Y22" s="453">
        <f>IF($K$3=1,0,0.05285)</f>
        <v>0.05285</v>
      </c>
      <c r="Z22" s="453">
        <f>IF($K$3=1,0,0.04888)</f>
        <v>0.04888</v>
      </c>
      <c r="AA22" s="453">
        <f>IF($K$3=1,0,0.04522)</f>
        <v>0.04522</v>
      </c>
      <c r="AB22" s="453">
        <f>IF($K$3=1,0,0.04462)</f>
        <v>0.04462</v>
      </c>
      <c r="AC22" s="453">
        <f>IF($K$3=1,0,0.04461)</f>
        <v>0.04461</v>
      </c>
      <c r="AD22" s="453">
        <f>IF($K$3=1,0,0.04462)</f>
        <v>0.04462</v>
      </c>
      <c r="AE22" s="453">
        <f>IF($K$3=1,0,0.04461)</f>
        <v>0.04461</v>
      </c>
      <c r="AF22" s="453">
        <f>IF($K$3=1,0,0.04462)</f>
        <v>0.04462</v>
      </c>
      <c r="AG22" s="453">
        <f>IF($K$3=1,0,0.04461)</f>
        <v>0.04461</v>
      </c>
      <c r="AH22" s="453">
        <f>IF($K$3=1,0,0.04462)</f>
        <v>0.04462</v>
      </c>
      <c r="AI22" s="453">
        <f>1-SUM($J22:AH22)</f>
        <v>0.24537999999999993</v>
      </c>
      <c r="AJ22" s="453"/>
      <c r="AK22" s="453"/>
      <c r="AL22" s="453"/>
      <c r="AM22" s="453"/>
      <c r="AN22" s="453"/>
      <c r="AO22" s="344"/>
      <c r="AP22" s="344"/>
    </row>
    <row r="23" spans="3:42" ht="12.75">
      <c r="C23" s="344"/>
      <c r="D23" s="344"/>
      <c r="E23" s="344"/>
      <c r="F23" s="344"/>
      <c r="G23" s="344"/>
      <c r="H23" s="344">
        <f t="shared" si="2"/>
        <v>2009</v>
      </c>
      <c r="I23" s="452">
        <f t="shared" si="1"/>
        <v>1</v>
      </c>
      <c r="J23" s="453"/>
      <c r="K23" s="453"/>
      <c r="L23" s="453"/>
      <c r="M23" s="453"/>
      <c r="N23" s="453"/>
      <c r="O23" s="453"/>
      <c r="P23" s="453"/>
      <c r="Q23" s="453"/>
      <c r="R23" s="453"/>
      <c r="S23" s="453"/>
      <c r="T23" s="453"/>
      <c r="U23" s="453">
        <f>IF($K$3=1,0,0.0375)</f>
        <v>0.0375</v>
      </c>
      <c r="V23" s="453">
        <f>IF($K$3=1,0,0.07219)</f>
        <v>0.07219</v>
      </c>
      <c r="W23" s="453">
        <f>IF($K$3=1,0,0.06677)</f>
        <v>0.06677</v>
      </c>
      <c r="X23" s="453">
        <f>IF($K$3=1,0,0.06177)</f>
        <v>0.06177</v>
      </c>
      <c r="Y23" s="453">
        <f>IF($K$3=1,0,0.05713)</f>
        <v>0.05713</v>
      </c>
      <c r="Z23" s="453">
        <f>IF($K$3=1,0,0.05285)</f>
        <v>0.05285</v>
      </c>
      <c r="AA23" s="453">
        <f>IF($K$3=1,0,0.04888)</f>
        <v>0.04888</v>
      </c>
      <c r="AB23" s="453">
        <f>IF($K$3=1,0,0.04522)</f>
        <v>0.04522</v>
      </c>
      <c r="AC23" s="453">
        <f>IF($K$3=1,0,0.04462)</f>
        <v>0.04462</v>
      </c>
      <c r="AD23" s="453">
        <f>IF($K$3=1,0,0.04461)</f>
        <v>0.04461</v>
      </c>
      <c r="AE23" s="453">
        <f>IF($K$3=1,0,0.04462)</f>
        <v>0.04462</v>
      </c>
      <c r="AF23" s="453">
        <f>IF($K$3=1,0,0.04461)</f>
        <v>0.04461</v>
      </c>
      <c r="AG23" s="453">
        <f>IF($K$3=1,0,0.04462)</f>
        <v>0.04462</v>
      </c>
      <c r="AH23" s="453">
        <f>IF($K$3=1,0,0.04461)</f>
        <v>0.04461</v>
      </c>
      <c r="AI23" s="453">
        <f>1-SUM($J23:AH23)</f>
        <v>0.2899999999999999</v>
      </c>
      <c r="AJ23" s="453"/>
      <c r="AK23" s="453"/>
      <c r="AL23" s="453"/>
      <c r="AM23" s="453"/>
      <c r="AN23" s="453"/>
      <c r="AO23" s="453"/>
      <c r="AP23" s="344"/>
    </row>
    <row r="24" spans="3:42" ht="12.75">
      <c r="C24" s="344"/>
      <c r="D24" s="344"/>
      <c r="E24" s="344"/>
      <c r="F24" s="344"/>
      <c r="G24" s="344"/>
      <c r="H24" s="344">
        <f t="shared" si="2"/>
        <v>2010</v>
      </c>
      <c r="I24" s="452">
        <f t="shared" si="1"/>
        <v>1</v>
      </c>
      <c r="J24" s="453"/>
      <c r="K24" s="453"/>
      <c r="L24" s="453"/>
      <c r="M24" s="453"/>
      <c r="N24" s="453"/>
      <c r="O24" s="453"/>
      <c r="P24" s="453"/>
      <c r="Q24" s="453"/>
      <c r="R24" s="453"/>
      <c r="S24" s="453"/>
      <c r="T24" s="453"/>
      <c r="U24" s="453"/>
      <c r="V24" s="453">
        <f>IF($K$3=1,0,0.0375)</f>
        <v>0.0375</v>
      </c>
      <c r="W24" s="453">
        <f>IF($K$3=1,0,0.07219)</f>
        <v>0.07219</v>
      </c>
      <c r="X24" s="453">
        <f>IF($K$3=1,0,0.06677)</f>
        <v>0.06677</v>
      </c>
      <c r="Y24" s="453">
        <f>IF($K$3=1,0,0.06177)</f>
        <v>0.06177</v>
      </c>
      <c r="Z24" s="453">
        <f>IF($K$3=1,0,0.05713)</f>
        <v>0.05713</v>
      </c>
      <c r="AA24" s="453">
        <f>IF($K$3=1,0,0.05285)</f>
        <v>0.05285</v>
      </c>
      <c r="AB24" s="453">
        <f>IF($K$3=1,0,0.04888)</f>
        <v>0.04888</v>
      </c>
      <c r="AC24" s="453">
        <f>IF($K$3=1,0,0.04522)</f>
        <v>0.04522</v>
      </c>
      <c r="AD24" s="453">
        <f>IF($K$3=1,0,0.04462)</f>
        <v>0.04462</v>
      </c>
      <c r="AE24" s="453">
        <f>IF($K$3=1,0,0.04461)</f>
        <v>0.04461</v>
      </c>
      <c r="AF24" s="453">
        <f>IF($K$3=1,0,0.04462)</f>
        <v>0.04462</v>
      </c>
      <c r="AG24" s="453">
        <f>IF($K$3=1,0,0.04461)</f>
        <v>0.04461</v>
      </c>
      <c r="AH24" s="453">
        <f>IF($K$3=1,0,0.04462)</f>
        <v>0.04462</v>
      </c>
      <c r="AI24" s="453">
        <f>1-SUM($J24:AH24)</f>
        <v>0.33460999999999996</v>
      </c>
      <c r="AJ24" s="453"/>
      <c r="AK24" s="453"/>
      <c r="AL24" s="453"/>
      <c r="AM24" s="453"/>
      <c r="AN24" s="453"/>
      <c r="AO24" s="453"/>
      <c r="AP24" s="453"/>
    </row>
    <row r="25" spans="3:42" ht="12.75">
      <c r="C25" s="344"/>
      <c r="D25" s="344"/>
      <c r="E25" s="344"/>
      <c r="F25" s="344"/>
      <c r="G25" s="344"/>
      <c r="H25" s="344">
        <f t="shared" si="2"/>
        <v>2011</v>
      </c>
      <c r="I25" s="452">
        <f t="shared" si="1"/>
        <v>1</v>
      </c>
      <c r="J25" s="453"/>
      <c r="K25" s="453"/>
      <c r="L25" s="453"/>
      <c r="M25" s="453"/>
      <c r="N25" s="453"/>
      <c r="O25" s="453"/>
      <c r="P25" s="453"/>
      <c r="Q25" s="453"/>
      <c r="R25" s="453"/>
      <c r="S25" s="453"/>
      <c r="T25" s="453"/>
      <c r="U25" s="453"/>
      <c r="V25" s="453"/>
      <c r="W25" s="453">
        <f>IF($K$3=1,0,0.0375)</f>
        <v>0.0375</v>
      </c>
      <c r="X25" s="453">
        <f>IF($K$3=1,0,0.07219)</f>
        <v>0.07219</v>
      </c>
      <c r="Y25" s="453">
        <f>IF($K$3=1,0,0.06677)</f>
        <v>0.06677</v>
      </c>
      <c r="Z25" s="453">
        <f>IF($K$3=1,0,0.06177)</f>
        <v>0.06177</v>
      </c>
      <c r="AA25" s="453">
        <f>IF($K$3=1,0,0.05713)</f>
        <v>0.05713</v>
      </c>
      <c r="AB25" s="453">
        <f>IF($K$3=1,0,0.05285)</f>
        <v>0.05285</v>
      </c>
      <c r="AC25" s="453">
        <f>IF($K$3=1,0,0.04888)</f>
        <v>0.04888</v>
      </c>
      <c r="AD25" s="453">
        <f>IF($K$3=1,0,0.04522)</f>
        <v>0.04522</v>
      </c>
      <c r="AE25" s="453">
        <f>IF($K$3=1,0,0.04462)</f>
        <v>0.04462</v>
      </c>
      <c r="AF25" s="453">
        <f>IF($K$3=1,0,0.04461)</f>
        <v>0.04461</v>
      </c>
      <c r="AG25" s="453">
        <f>IF($K$3=1,0,0.04462)</f>
        <v>0.04462</v>
      </c>
      <c r="AH25" s="453">
        <f>IF($K$3=1,0,0.04461)</f>
        <v>0.04461</v>
      </c>
      <c r="AI25" s="453">
        <f>1-SUM($J25:AH25)</f>
        <v>0.37922999999999996</v>
      </c>
      <c r="AJ25" s="453"/>
      <c r="AK25" s="453"/>
      <c r="AL25" s="453"/>
      <c r="AM25" s="453"/>
      <c r="AN25" s="453"/>
      <c r="AO25" s="453"/>
      <c r="AP25" s="453"/>
    </row>
    <row r="26" spans="3:42" ht="12.75">
      <c r="C26" s="344"/>
      <c r="D26" s="344"/>
      <c r="E26" s="344"/>
      <c r="F26" s="344"/>
      <c r="G26" s="344"/>
      <c r="H26" s="344">
        <f t="shared" si="2"/>
        <v>2012</v>
      </c>
      <c r="I26" s="452">
        <f t="shared" si="1"/>
        <v>1</v>
      </c>
      <c r="J26" s="453"/>
      <c r="K26" s="453"/>
      <c r="L26" s="453"/>
      <c r="M26" s="453"/>
      <c r="N26" s="453"/>
      <c r="O26" s="453"/>
      <c r="P26" s="453"/>
      <c r="Q26" s="453"/>
      <c r="R26" s="453"/>
      <c r="S26" s="453"/>
      <c r="T26" s="453"/>
      <c r="U26" s="453"/>
      <c r="V26" s="453"/>
      <c r="W26" s="453"/>
      <c r="X26" s="453">
        <f>IF($K$3=1,0,0.0375)</f>
        <v>0.0375</v>
      </c>
      <c r="Y26" s="453">
        <f>IF($K$3=1,0,0.07219)</f>
        <v>0.07219</v>
      </c>
      <c r="Z26" s="453">
        <f>IF($K$3=1,0,0.06677)</f>
        <v>0.06677</v>
      </c>
      <c r="AA26" s="453">
        <f>IF($K$3=1,0,0.06177)</f>
        <v>0.06177</v>
      </c>
      <c r="AB26" s="453">
        <f>IF($K$3=1,0,0.05713)</f>
        <v>0.05713</v>
      </c>
      <c r="AC26" s="453">
        <f>IF($K$3=1,0,0.05285)</f>
        <v>0.05285</v>
      </c>
      <c r="AD26" s="453">
        <f>IF($K$3=1,0,0.04888)</f>
        <v>0.04888</v>
      </c>
      <c r="AE26" s="453">
        <f>IF($K$3=1,0,0.04522)</f>
        <v>0.04522</v>
      </c>
      <c r="AF26" s="453">
        <f>IF($K$3=1,0,0.04462)</f>
        <v>0.04462</v>
      </c>
      <c r="AG26" s="453">
        <f>IF($K$3=1,0,0.04461)</f>
        <v>0.04461</v>
      </c>
      <c r="AH26" s="453">
        <f>IF($K$3=1,0,0.04462)</f>
        <v>0.04462</v>
      </c>
      <c r="AI26" s="453">
        <f>1-SUM($J26:AH26)</f>
        <v>0.42384</v>
      </c>
      <c r="AJ26" s="453"/>
      <c r="AK26" s="453"/>
      <c r="AL26" s="453"/>
      <c r="AM26" s="453"/>
      <c r="AN26" s="453"/>
      <c r="AO26" s="453"/>
      <c r="AP26" s="453"/>
    </row>
    <row r="27" spans="3:42" ht="12.75">
      <c r="C27" s="344"/>
      <c r="D27" s="344"/>
      <c r="E27" s="344"/>
      <c r="F27" s="344"/>
      <c r="G27" s="344"/>
      <c r="H27" s="344">
        <f t="shared" si="2"/>
        <v>2013</v>
      </c>
      <c r="I27" s="452">
        <f t="shared" si="1"/>
        <v>1</v>
      </c>
      <c r="J27" s="453"/>
      <c r="K27" s="453"/>
      <c r="L27" s="453"/>
      <c r="M27" s="453"/>
      <c r="N27" s="453"/>
      <c r="O27" s="453"/>
      <c r="P27" s="453"/>
      <c r="Q27" s="453"/>
      <c r="R27" s="453"/>
      <c r="S27" s="453"/>
      <c r="T27" s="453"/>
      <c r="U27" s="453"/>
      <c r="V27" s="453"/>
      <c r="W27" s="453"/>
      <c r="X27" s="453"/>
      <c r="Y27" s="453">
        <f>IF($K$3=1,0,0.0375)</f>
        <v>0.0375</v>
      </c>
      <c r="Z27" s="453">
        <f>IF($K$3=1,0,0.07219)</f>
        <v>0.07219</v>
      </c>
      <c r="AA27" s="453">
        <f>IF($K$3=1,0,0.06677)</f>
        <v>0.06677</v>
      </c>
      <c r="AB27" s="453">
        <f>IF($K$3=1,0,0.06177)</f>
        <v>0.06177</v>
      </c>
      <c r="AC27" s="453">
        <f>IF($K$3=1,0,0.05713)</f>
        <v>0.05713</v>
      </c>
      <c r="AD27" s="453">
        <f>IF($K$3=1,0,0.05285)</f>
        <v>0.05285</v>
      </c>
      <c r="AE27" s="453">
        <f>IF($K$3=1,0,0.04888)</f>
        <v>0.04888</v>
      </c>
      <c r="AF27" s="453">
        <f>IF($K$3=1,0,0.04522)</f>
        <v>0.04522</v>
      </c>
      <c r="AG27" s="453">
        <f>IF($K$3=1,0,0.04462)</f>
        <v>0.04462</v>
      </c>
      <c r="AH27" s="453">
        <f>IF($K$3=1,0,0.04461)</f>
        <v>0.04461</v>
      </c>
      <c r="AI27" s="453">
        <f>1-SUM($J27:AH27)</f>
        <v>0.46846</v>
      </c>
      <c r="AJ27" s="453"/>
      <c r="AK27" s="453"/>
      <c r="AL27" s="453"/>
      <c r="AM27" s="453"/>
      <c r="AN27" s="453"/>
      <c r="AO27" s="453"/>
      <c r="AP27" s="453"/>
    </row>
    <row r="28" spans="3:42" ht="12.75">
      <c r="C28" s="344"/>
      <c r="D28" s="344"/>
      <c r="E28" s="344"/>
      <c r="F28" s="344"/>
      <c r="G28" s="344"/>
      <c r="H28" s="344">
        <f t="shared" si="2"/>
        <v>2014</v>
      </c>
      <c r="I28" s="452">
        <f t="shared" si="1"/>
        <v>1</v>
      </c>
      <c r="J28" s="453"/>
      <c r="K28" s="453"/>
      <c r="L28" s="453"/>
      <c r="M28" s="453"/>
      <c r="N28" s="453"/>
      <c r="O28" s="453"/>
      <c r="P28" s="453"/>
      <c r="Q28" s="453"/>
      <c r="R28" s="453"/>
      <c r="S28" s="453"/>
      <c r="T28" s="453"/>
      <c r="U28" s="453"/>
      <c r="V28" s="453"/>
      <c r="W28" s="453"/>
      <c r="X28" s="453"/>
      <c r="Y28" s="453"/>
      <c r="Z28" s="453">
        <f>IF($K$3=1,0,0.0375)</f>
        <v>0.0375</v>
      </c>
      <c r="AA28" s="453">
        <f>IF($K$3=1,0,0.07219)</f>
        <v>0.07219</v>
      </c>
      <c r="AB28" s="453">
        <f>IF($K$3=1,0,0.06677)</f>
        <v>0.06677</v>
      </c>
      <c r="AC28" s="453">
        <f>IF($K$3=1,0,0.06177)</f>
        <v>0.06177</v>
      </c>
      <c r="AD28" s="453">
        <f>IF($K$3=1,0,0.05713)</f>
        <v>0.05713</v>
      </c>
      <c r="AE28" s="453">
        <f>IF($K$3=1,0,0.05285)</f>
        <v>0.05285</v>
      </c>
      <c r="AF28" s="453">
        <f>IF($K$3=1,0,0.04888)</f>
        <v>0.04888</v>
      </c>
      <c r="AG28" s="453">
        <f>IF($K$3=1,0,0.04522)</f>
        <v>0.04522</v>
      </c>
      <c r="AH28" s="453">
        <f>IF($K$3=1,0,0.04462)</f>
        <v>0.04462</v>
      </c>
      <c r="AI28" s="453">
        <f>1-SUM($J28:AH28)</f>
        <v>0.51307</v>
      </c>
      <c r="AJ28" s="453"/>
      <c r="AK28" s="453"/>
      <c r="AL28" s="453"/>
      <c r="AM28" s="453"/>
      <c r="AN28" s="453"/>
      <c r="AO28" s="453"/>
      <c r="AP28" s="453"/>
    </row>
    <row r="29" spans="3:42" ht="12.75">
      <c r="C29" s="344"/>
      <c r="D29" s="344"/>
      <c r="E29" s="344"/>
      <c r="F29" s="344"/>
      <c r="G29" s="344"/>
      <c r="H29" s="344">
        <f t="shared" si="2"/>
        <v>2015</v>
      </c>
      <c r="I29" s="452">
        <f t="shared" si="1"/>
        <v>1</v>
      </c>
      <c r="J29" s="453"/>
      <c r="K29" s="453"/>
      <c r="L29" s="453"/>
      <c r="M29" s="453"/>
      <c r="N29" s="453"/>
      <c r="O29" s="453"/>
      <c r="P29" s="453"/>
      <c r="Q29" s="453"/>
      <c r="R29" s="453"/>
      <c r="S29" s="453"/>
      <c r="T29" s="453"/>
      <c r="U29" s="453"/>
      <c r="V29" s="453"/>
      <c r="W29" s="453"/>
      <c r="X29" s="453"/>
      <c r="Y29" s="453"/>
      <c r="Z29" s="453"/>
      <c r="AA29" s="453">
        <f>IF($K$3=1,0,0.0375)</f>
        <v>0.0375</v>
      </c>
      <c r="AB29" s="453">
        <f>IF($K$3=1,0,0.07219)</f>
        <v>0.07219</v>
      </c>
      <c r="AC29" s="453">
        <f>IF($K$3=1,0,0.06677)</f>
        <v>0.06677</v>
      </c>
      <c r="AD29" s="453">
        <f>IF($K$3=1,0,0.06177)</f>
        <v>0.06177</v>
      </c>
      <c r="AE29" s="453">
        <f>IF($K$3=1,0,0.05713)</f>
        <v>0.05713</v>
      </c>
      <c r="AF29" s="453">
        <f>IF($K$3=1,0,0.05285)</f>
        <v>0.05285</v>
      </c>
      <c r="AG29" s="453">
        <f>IF($K$3=1,0,0.04888)</f>
        <v>0.04888</v>
      </c>
      <c r="AH29" s="453">
        <f>IF($K$3=1,0,0.04522)</f>
        <v>0.04522</v>
      </c>
      <c r="AI29" s="453">
        <f>1-SUM($J29:AH29)</f>
        <v>0.55769</v>
      </c>
      <c r="AJ29" s="453"/>
      <c r="AK29" s="453"/>
      <c r="AL29" s="453"/>
      <c r="AM29" s="453"/>
      <c r="AN29" s="453"/>
      <c r="AO29" s="453"/>
      <c r="AP29" s="453"/>
    </row>
    <row r="30" spans="3:42" ht="12.75">
      <c r="C30" s="344"/>
      <c r="D30" s="344"/>
      <c r="E30" s="344"/>
      <c r="F30" s="344"/>
      <c r="G30" s="344"/>
      <c r="H30" s="344">
        <f t="shared" si="2"/>
        <v>2016</v>
      </c>
      <c r="I30" s="452">
        <f t="shared" si="1"/>
        <v>1</v>
      </c>
      <c r="J30" s="453"/>
      <c r="K30" s="453"/>
      <c r="L30" s="453"/>
      <c r="M30" s="453"/>
      <c r="N30" s="453"/>
      <c r="O30" s="453"/>
      <c r="P30" s="453"/>
      <c r="Q30" s="453"/>
      <c r="R30" s="453"/>
      <c r="S30" s="453"/>
      <c r="T30" s="453"/>
      <c r="U30" s="453"/>
      <c r="V30" s="453"/>
      <c r="W30" s="453"/>
      <c r="X30" s="453"/>
      <c r="Y30" s="453"/>
      <c r="Z30" s="453"/>
      <c r="AA30" s="453"/>
      <c r="AB30" s="453">
        <f>IF($K$3=1,0,0.0375)</f>
        <v>0.0375</v>
      </c>
      <c r="AC30" s="453">
        <f>IF($K$3=1,0,0.07219)</f>
        <v>0.07219</v>
      </c>
      <c r="AD30" s="453">
        <f>IF($K$3=1,0,0.06677)</f>
        <v>0.06677</v>
      </c>
      <c r="AE30" s="453">
        <f>IF($K$3=1,0,0.06177)</f>
        <v>0.06177</v>
      </c>
      <c r="AF30" s="453">
        <f>IF($K$3=1,0,0.05713)</f>
        <v>0.05713</v>
      </c>
      <c r="AG30" s="453">
        <f>IF($K$3=1,0,0.05285)</f>
        <v>0.05285</v>
      </c>
      <c r="AH30" s="453">
        <f>IF($K$3=1,0,0.04888)</f>
        <v>0.04888</v>
      </c>
      <c r="AI30" s="453">
        <f>1-SUM($J30:AH30)</f>
        <v>0.6029100000000001</v>
      </c>
      <c r="AJ30" s="453"/>
      <c r="AK30" s="453"/>
      <c r="AL30" s="453"/>
      <c r="AM30" s="453"/>
      <c r="AN30" s="453"/>
      <c r="AO30" s="453"/>
      <c r="AP30" s="453"/>
    </row>
    <row r="31" spans="3:42" ht="12.75">
      <c r="C31" s="344"/>
      <c r="D31" s="344"/>
      <c r="E31" s="344"/>
      <c r="F31" s="344"/>
      <c r="G31" s="344"/>
      <c r="H31" s="344">
        <f t="shared" si="2"/>
        <v>2017</v>
      </c>
      <c r="I31" s="452">
        <f t="shared" si="1"/>
        <v>1</v>
      </c>
      <c r="J31" s="453"/>
      <c r="K31" s="453"/>
      <c r="L31" s="453"/>
      <c r="M31" s="453"/>
      <c r="N31" s="453"/>
      <c r="O31" s="453"/>
      <c r="P31" s="453"/>
      <c r="Q31" s="453"/>
      <c r="R31" s="453"/>
      <c r="S31" s="453"/>
      <c r="T31" s="453"/>
      <c r="U31" s="453"/>
      <c r="V31" s="453"/>
      <c r="W31" s="453"/>
      <c r="X31" s="453"/>
      <c r="Y31" s="453"/>
      <c r="Z31" s="453"/>
      <c r="AA31" s="453"/>
      <c r="AB31" s="453"/>
      <c r="AC31" s="453">
        <f>IF($K$3=1,0,0.0375)</f>
        <v>0.0375</v>
      </c>
      <c r="AD31" s="453">
        <f>IF($K$3=1,0,0.07219)</f>
        <v>0.07219</v>
      </c>
      <c r="AE31" s="453">
        <f>IF($K$3=1,0,0.06677)</f>
        <v>0.06677</v>
      </c>
      <c r="AF31" s="453">
        <f>IF($K$3=1,0,0.06177)</f>
        <v>0.06177</v>
      </c>
      <c r="AG31" s="453">
        <f>IF($K$3=1,0,0.05713)</f>
        <v>0.05713</v>
      </c>
      <c r="AH31" s="453">
        <f>IF($K$3=1,0,0.05285)</f>
        <v>0.05285</v>
      </c>
      <c r="AI31" s="453">
        <f>1-SUM($J31:AH31)</f>
        <v>0.65179</v>
      </c>
      <c r="AJ31" s="453"/>
      <c r="AK31" s="453"/>
      <c r="AL31" s="453"/>
      <c r="AM31" s="453"/>
      <c r="AN31" s="453"/>
      <c r="AO31" s="453"/>
      <c r="AP31" s="453"/>
    </row>
    <row r="32" spans="3:42" ht="12.75">
      <c r="C32" s="344"/>
      <c r="D32" s="344"/>
      <c r="E32" s="344"/>
      <c r="F32" s="344"/>
      <c r="G32" s="344"/>
      <c r="H32" s="344">
        <f t="shared" si="2"/>
        <v>2018</v>
      </c>
      <c r="I32" s="452">
        <f t="shared" si="1"/>
        <v>1</v>
      </c>
      <c r="J32" s="453"/>
      <c r="K32" s="453"/>
      <c r="L32" s="453"/>
      <c r="M32" s="453"/>
      <c r="N32" s="453"/>
      <c r="O32" s="453"/>
      <c r="P32" s="453"/>
      <c r="Q32" s="453"/>
      <c r="R32" s="453"/>
      <c r="S32" s="453"/>
      <c r="T32" s="453"/>
      <c r="U32" s="453"/>
      <c r="V32" s="453"/>
      <c r="W32" s="453"/>
      <c r="X32" s="453"/>
      <c r="Y32" s="453"/>
      <c r="Z32" s="453"/>
      <c r="AA32" s="453"/>
      <c r="AB32" s="453"/>
      <c r="AC32" s="453"/>
      <c r="AD32" s="453">
        <f>IF($K$3=1,0,0.0375)</f>
        <v>0.0375</v>
      </c>
      <c r="AE32" s="453">
        <f>IF($K$3=1,0,0.07219)</f>
        <v>0.07219</v>
      </c>
      <c r="AF32" s="453">
        <f>IF($K$3=1,0,0.06677)</f>
        <v>0.06677</v>
      </c>
      <c r="AG32" s="453">
        <f>IF($K$3=1,0,0.06177)</f>
        <v>0.06177</v>
      </c>
      <c r="AH32" s="453">
        <f>IF($K$3=1,0,0.05713)</f>
        <v>0.05713</v>
      </c>
      <c r="AI32" s="453">
        <f>1-SUM($J32:AH32)</f>
        <v>0.7046399999999999</v>
      </c>
      <c r="AJ32" s="453"/>
      <c r="AK32" s="453"/>
      <c r="AL32" s="453"/>
      <c r="AM32" s="453"/>
      <c r="AN32" s="453"/>
      <c r="AO32" s="453"/>
      <c r="AP32" s="453"/>
    </row>
    <row r="33" spans="3:42" ht="12.75">
      <c r="C33" s="344"/>
      <c r="D33" s="344"/>
      <c r="E33" s="344"/>
      <c r="F33" s="344"/>
      <c r="G33" s="344"/>
      <c r="H33" s="344">
        <f t="shared" si="2"/>
        <v>2019</v>
      </c>
      <c r="I33" s="452">
        <f t="shared" si="1"/>
        <v>1</v>
      </c>
      <c r="J33" s="344"/>
      <c r="K33" s="453"/>
      <c r="L33" s="453"/>
      <c r="M33" s="453"/>
      <c r="N33" s="453"/>
      <c r="O33" s="453"/>
      <c r="P33" s="453"/>
      <c r="Q33" s="453"/>
      <c r="R33" s="453"/>
      <c r="S33" s="453"/>
      <c r="T33" s="453"/>
      <c r="U33" s="453"/>
      <c r="V33" s="453"/>
      <c r="W33" s="453"/>
      <c r="X33" s="453"/>
      <c r="Y33" s="453"/>
      <c r="Z33" s="453"/>
      <c r="AA33" s="453"/>
      <c r="AB33" s="453"/>
      <c r="AC33" s="453"/>
      <c r="AD33" s="453"/>
      <c r="AE33" s="453">
        <f>IF($K$3=1,0,0.0375)</f>
        <v>0.0375</v>
      </c>
      <c r="AF33" s="453">
        <f>IF($K$3=1,0,0.07219)</f>
        <v>0.07219</v>
      </c>
      <c r="AG33" s="453">
        <f>IF($K$3=1,0,0.06677)</f>
        <v>0.06677</v>
      </c>
      <c r="AH33" s="453">
        <f>IF($K$3=1,0,0.06177)</f>
        <v>0.06177</v>
      </c>
      <c r="AI33" s="453">
        <f>1-SUM($J33:AH33)</f>
        <v>0.7617700000000001</v>
      </c>
      <c r="AJ33" s="453"/>
      <c r="AK33" s="453"/>
      <c r="AL33" s="453"/>
      <c r="AM33" s="453"/>
      <c r="AN33" s="453"/>
      <c r="AO33" s="453"/>
      <c r="AP33" s="453"/>
    </row>
    <row r="34" spans="3:42" ht="12.75">
      <c r="C34" s="344"/>
      <c r="D34" s="344"/>
      <c r="E34" s="344"/>
      <c r="F34" s="344"/>
      <c r="G34" s="344"/>
      <c r="H34" s="344">
        <f t="shared" si="2"/>
        <v>2020</v>
      </c>
      <c r="I34" s="452">
        <f t="shared" si="1"/>
        <v>1</v>
      </c>
      <c r="J34" s="344"/>
      <c r="K34" s="344"/>
      <c r="L34" s="453"/>
      <c r="M34" s="453"/>
      <c r="N34" s="453"/>
      <c r="O34" s="453"/>
      <c r="P34" s="453"/>
      <c r="Q34" s="453"/>
      <c r="R34" s="453"/>
      <c r="S34" s="453"/>
      <c r="T34" s="453"/>
      <c r="U34" s="453"/>
      <c r="V34" s="453"/>
      <c r="W34" s="453"/>
      <c r="X34" s="453"/>
      <c r="Y34" s="453"/>
      <c r="Z34" s="453"/>
      <c r="AA34" s="453"/>
      <c r="AB34" s="453"/>
      <c r="AC34" s="453"/>
      <c r="AD34" s="453"/>
      <c r="AE34" s="453"/>
      <c r="AF34" s="453">
        <f>IF($K$3=1,0,0.0375)</f>
        <v>0.0375</v>
      </c>
      <c r="AG34" s="453">
        <f>IF($K$3=1,0,0.07219)</f>
        <v>0.07219</v>
      </c>
      <c r="AH34" s="453">
        <f>IF($K$3=1,0,0.06677)</f>
        <v>0.06677</v>
      </c>
      <c r="AI34" s="453">
        <f>1-SUM($J34:AH34)</f>
        <v>0.8235399999999999</v>
      </c>
      <c r="AJ34" s="453"/>
      <c r="AK34" s="453"/>
      <c r="AL34" s="453"/>
      <c r="AM34" s="453"/>
      <c r="AN34" s="453"/>
      <c r="AO34" s="453"/>
      <c r="AP34" s="453"/>
    </row>
    <row r="35" spans="3:42" ht="12.75">
      <c r="C35" s="344"/>
      <c r="D35" s="344"/>
      <c r="E35" s="344"/>
      <c r="F35" s="344"/>
      <c r="G35" s="344"/>
      <c r="H35" s="344">
        <f t="shared" si="2"/>
        <v>2021</v>
      </c>
      <c r="I35" s="452">
        <f t="shared" si="1"/>
        <v>1</v>
      </c>
      <c r="J35" s="344"/>
      <c r="K35" s="344"/>
      <c r="L35" s="344"/>
      <c r="M35" s="453"/>
      <c r="N35" s="453"/>
      <c r="O35" s="453"/>
      <c r="P35" s="453"/>
      <c r="Q35" s="453"/>
      <c r="R35" s="453"/>
      <c r="S35" s="453"/>
      <c r="T35" s="453"/>
      <c r="U35" s="453"/>
      <c r="V35" s="453"/>
      <c r="W35" s="453"/>
      <c r="X35" s="453"/>
      <c r="Y35" s="453"/>
      <c r="Z35" s="453"/>
      <c r="AA35" s="453"/>
      <c r="AB35" s="453"/>
      <c r="AC35" s="453"/>
      <c r="AD35" s="453"/>
      <c r="AE35" s="453"/>
      <c r="AF35" s="453"/>
      <c r="AG35" s="453">
        <f>IF($K$3=1,0,0.0375)</f>
        <v>0.0375</v>
      </c>
      <c r="AH35" s="453">
        <f>IF($K$3=1,0,0.07219)</f>
        <v>0.07219</v>
      </c>
      <c r="AI35" s="453">
        <f>1-SUM($J35:AH35)</f>
        <v>0.8903099999999999</v>
      </c>
      <c r="AJ35" s="453"/>
      <c r="AK35" s="453"/>
      <c r="AL35" s="453"/>
      <c r="AM35" s="453"/>
      <c r="AN35" s="453"/>
      <c r="AO35" s="453"/>
      <c r="AP35" s="453"/>
    </row>
    <row r="36" spans="3:42" ht="12.75">
      <c r="C36" s="344"/>
      <c r="D36" s="344"/>
      <c r="E36" s="344"/>
      <c r="F36" s="344"/>
      <c r="G36" s="344"/>
      <c r="H36" s="344">
        <f t="shared" si="2"/>
        <v>2022</v>
      </c>
      <c r="I36" s="452">
        <f t="shared" si="1"/>
        <v>1</v>
      </c>
      <c r="J36" s="344"/>
      <c r="K36" s="344"/>
      <c r="L36" s="344"/>
      <c r="M36" s="344"/>
      <c r="N36" s="453"/>
      <c r="O36" s="453"/>
      <c r="P36" s="453"/>
      <c r="Q36" s="453"/>
      <c r="R36" s="453"/>
      <c r="S36" s="453"/>
      <c r="T36" s="453"/>
      <c r="U36" s="453"/>
      <c r="V36" s="453"/>
      <c r="W36" s="453"/>
      <c r="X36" s="453"/>
      <c r="Y36" s="453"/>
      <c r="Z36" s="453"/>
      <c r="AA36" s="453"/>
      <c r="AB36" s="453"/>
      <c r="AC36" s="453"/>
      <c r="AD36" s="453"/>
      <c r="AE36" s="453"/>
      <c r="AF36" s="453"/>
      <c r="AG36" s="453"/>
      <c r="AH36" s="453">
        <f>IF($K$3=1,0,0.0375)</f>
        <v>0.0375</v>
      </c>
      <c r="AI36" s="453">
        <f>1-SUM($J36:AH36)</f>
        <v>0.9625</v>
      </c>
      <c r="AJ36" s="453"/>
      <c r="AK36" s="453"/>
      <c r="AL36" s="453"/>
      <c r="AM36" s="453"/>
      <c r="AN36" s="453"/>
      <c r="AO36" s="453"/>
      <c r="AP36" s="453"/>
    </row>
    <row r="37" spans="3:42" ht="12.75">
      <c r="C37" s="344"/>
      <c r="D37" s="344"/>
      <c r="E37" s="344"/>
      <c r="F37" s="344"/>
      <c r="G37" s="344"/>
      <c r="H37" s="344">
        <f t="shared" si="2"/>
        <v>2023</v>
      </c>
      <c r="I37" s="452">
        <f t="shared" si="1"/>
        <v>1</v>
      </c>
      <c r="J37" s="344"/>
      <c r="K37" s="344"/>
      <c r="L37" s="344"/>
      <c r="M37" s="344"/>
      <c r="N37" s="344"/>
      <c r="O37" s="453"/>
      <c r="P37" s="453"/>
      <c r="Q37" s="453"/>
      <c r="R37" s="453"/>
      <c r="S37" s="453"/>
      <c r="T37" s="453"/>
      <c r="U37" s="453"/>
      <c r="V37" s="453"/>
      <c r="W37" s="453"/>
      <c r="X37" s="453"/>
      <c r="Y37" s="453"/>
      <c r="Z37" s="453"/>
      <c r="AA37" s="453"/>
      <c r="AB37" s="453"/>
      <c r="AC37" s="453"/>
      <c r="AD37" s="453"/>
      <c r="AE37" s="453"/>
      <c r="AF37" s="453"/>
      <c r="AG37" s="453"/>
      <c r="AH37" s="453"/>
      <c r="AI37" s="453">
        <f>1-SUM($J37:AH37)</f>
        <v>1</v>
      </c>
      <c r="AJ37" s="453"/>
      <c r="AK37" s="453"/>
      <c r="AL37" s="453"/>
      <c r="AM37" s="453"/>
      <c r="AN37" s="453"/>
      <c r="AO37" s="453"/>
      <c r="AP37" s="453"/>
    </row>
    <row r="38" spans="3:42" ht="12.75">
      <c r="C38" s="344"/>
      <c r="D38" s="344"/>
      <c r="E38" s="344"/>
      <c r="F38" s="344"/>
      <c r="G38" s="344"/>
      <c r="H38" s="344">
        <f t="shared" si="2"/>
        <v>2024</v>
      </c>
      <c r="I38" s="452">
        <f t="shared" si="1"/>
        <v>1</v>
      </c>
      <c r="J38" s="344"/>
      <c r="K38" s="344"/>
      <c r="L38" s="344"/>
      <c r="M38" s="344"/>
      <c r="N38" s="344"/>
      <c r="O38" s="344"/>
      <c r="P38" s="453"/>
      <c r="Q38" s="453"/>
      <c r="R38" s="453"/>
      <c r="S38" s="453"/>
      <c r="T38" s="453"/>
      <c r="U38" s="453"/>
      <c r="V38" s="453"/>
      <c r="W38" s="453"/>
      <c r="X38" s="453"/>
      <c r="Y38" s="453"/>
      <c r="Z38" s="453"/>
      <c r="AA38" s="453"/>
      <c r="AB38" s="453"/>
      <c r="AC38" s="453"/>
      <c r="AD38" s="453"/>
      <c r="AE38" s="453"/>
      <c r="AF38" s="453"/>
      <c r="AG38" s="453"/>
      <c r="AH38" s="453"/>
      <c r="AI38" s="453"/>
      <c r="AJ38" s="453">
        <f>1-SUM($J38:AI38)</f>
        <v>1</v>
      </c>
      <c r="AK38" s="453"/>
      <c r="AL38" s="453"/>
      <c r="AM38" s="453"/>
      <c r="AN38" s="453"/>
      <c r="AO38" s="453"/>
      <c r="AP38" s="453"/>
    </row>
    <row r="39" spans="3:42" ht="12.75">
      <c r="C39" s="344"/>
      <c r="D39" s="344"/>
      <c r="E39" s="344"/>
      <c r="F39" s="344"/>
      <c r="G39" s="344"/>
      <c r="H39" s="344">
        <f t="shared" si="2"/>
        <v>2025</v>
      </c>
      <c r="I39" s="452">
        <f t="shared" si="1"/>
        <v>1</v>
      </c>
      <c r="J39" s="344"/>
      <c r="K39" s="344"/>
      <c r="L39" s="344"/>
      <c r="M39" s="344"/>
      <c r="N39" s="344"/>
      <c r="O39" s="344"/>
      <c r="P39" s="344"/>
      <c r="Q39" s="453"/>
      <c r="R39" s="453"/>
      <c r="S39" s="453"/>
      <c r="T39" s="453"/>
      <c r="U39" s="453"/>
      <c r="V39" s="453"/>
      <c r="W39" s="453"/>
      <c r="X39" s="453"/>
      <c r="Y39" s="453"/>
      <c r="Z39" s="453"/>
      <c r="AA39" s="453"/>
      <c r="AB39" s="453"/>
      <c r="AC39" s="453"/>
      <c r="AD39" s="453"/>
      <c r="AE39" s="453"/>
      <c r="AF39" s="453"/>
      <c r="AG39" s="453"/>
      <c r="AH39" s="453"/>
      <c r="AI39" s="453"/>
      <c r="AJ39" s="453"/>
      <c r="AK39" s="453">
        <f>1-SUM($J39:AJ39)</f>
        <v>1</v>
      </c>
      <c r="AL39" s="453"/>
      <c r="AM39" s="453"/>
      <c r="AN39" s="453"/>
      <c r="AO39" s="453"/>
      <c r="AP39" s="453"/>
    </row>
    <row r="40" spans="3:42" ht="12.75">
      <c r="C40" s="344"/>
      <c r="D40" s="344"/>
      <c r="E40" s="344"/>
      <c r="F40" s="344"/>
      <c r="G40" s="344"/>
      <c r="H40" s="344">
        <f t="shared" si="2"/>
        <v>2026</v>
      </c>
      <c r="I40" s="452">
        <f t="shared" si="1"/>
        <v>1</v>
      </c>
      <c r="J40" s="344"/>
      <c r="K40" s="344"/>
      <c r="L40" s="344"/>
      <c r="M40" s="344"/>
      <c r="N40" s="344"/>
      <c r="O40" s="344"/>
      <c r="P40" s="344"/>
      <c r="Q40" s="344"/>
      <c r="R40" s="453"/>
      <c r="S40" s="453"/>
      <c r="T40" s="453"/>
      <c r="U40" s="453"/>
      <c r="V40" s="453"/>
      <c r="W40" s="453"/>
      <c r="X40" s="453"/>
      <c r="Y40" s="453"/>
      <c r="Z40" s="453"/>
      <c r="AA40" s="453"/>
      <c r="AB40" s="453"/>
      <c r="AC40" s="453"/>
      <c r="AD40" s="453"/>
      <c r="AE40" s="453"/>
      <c r="AF40" s="453"/>
      <c r="AG40" s="453"/>
      <c r="AH40" s="453"/>
      <c r="AI40" s="453"/>
      <c r="AJ40" s="453"/>
      <c r="AK40" s="453"/>
      <c r="AL40" s="453">
        <f>1-SUM($J40:AK40)</f>
        <v>1</v>
      </c>
      <c r="AM40" s="453"/>
      <c r="AN40" s="453"/>
      <c r="AO40" s="453"/>
      <c r="AP40" s="453"/>
    </row>
    <row r="41" spans="3:42" ht="12.75">
      <c r="C41" s="344"/>
      <c r="D41" s="344"/>
      <c r="E41" s="344"/>
      <c r="F41" s="344"/>
      <c r="G41" s="344"/>
      <c r="H41" s="344">
        <f t="shared" si="2"/>
        <v>2027</v>
      </c>
      <c r="I41" s="452">
        <f t="shared" si="1"/>
        <v>1</v>
      </c>
      <c r="J41" s="344"/>
      <c r="K41" s="344"/>
      <c r="L41" s="344"/>
      <c r="M41" s="344"/>
      <c r="N41" s="344"/>
      <c r="O41" s="344"/>
      <c r="P41" s="344"/>
      <c r="Q41" s="344"/>
      <c r="R41" s="344"/>
      <c r="S41" s="453"/>
      <c r="T41" s="453"/>
      <c r="U41" s="453"/>
      <c r="V41" s="453"/>
      <c r="W41" s="453"/>
      <c r="X41" s="453"/>
      <c r="Y41" s="453"/>
      <c r="Z41" s="453"/>
      <c r="AA41" s="453"/>
      <c r="AB41" s="453"/>
      <c r="AC41" s="453"/>
      <c r="AD41" s="453"/>
      <c r="AE41" s="453"/>
      <c r="AF41" s="453"/>
      <c r="AG41" s="453"/>
      <c r="AH41" s="453"/>
      <c r="AI41" s="453"/>
      <c r="AJ41" s="453"/>
      <c r="AK41" s="453"/>
      <c r="AL41" s="453"/>
      <c r="AM41" s="453">
        <f>1-SUM($J41:AL41)</f>
        <v>1</v>
      </c>
      <c r="AN41" s="453"/>
      <c r="AO41" s="453"/>
      <c r="AP41" s="453"/>
    </row>
    <row r="42" spans="3:42" ht="12.75">
      <c r="C42" s="344"/>
      <c r="D42" s="344"/>
      <c r="E42" s="344"/>
      <c r="F42" s="344"/>
      <c r="G42" s="344"/>
      <c r="H42" s="344">
        <f t="shared" si="2"/>
        <v>2028</v>
      </c>
      <c r="I42" s="452">
        <f t="shared" si="1"/>
        <v>1</v>
      </c>
      <c r="J42" s="344"/>
      <c r="K42" s="344"/>
      <c r="L42" s="344"/>
      <c r="M42" s="344"/>
      <c r="N42" s="344"/>
      <c r="O42" s="344"/>
      <c r="P42" s="344"/>
      <c r="Q42" s="344"/>
      <c r="R42" s="344"/>
      <c r="S42" s="344"/>
      <c r="T42" s="453"/>
      <c r="U42" s="453"/>
      <c r="V42" s="453"/>
      <c r="W42" s="453"/>
      <c r="X42" s="453"/>
      <c r="Y42" s="453"/>
      <c r="Z42" s="453"/>
      <c r="AA42" s="453"/>
      <c r="AB42" s="453"/>
      <c r="AC42" s="453"/>
      <c r="AD42" s="453"/>
      <c r="AE42" s="453"/>
      <c r="AF42" s="453"/>
      <c r="AG42" s="453"/>
      <c r="AH42" s="453"/>
      <c r="AI42" s="453"/>
      <c r="AJ42" s="453"/>
      <c r="AK42" s="453"/>
      <c r="AL42" s="453"/>
      <c r="AM42" s="453"/>
      <c r="AN42" s="453">
        <f>1-SUM(J42:AM42)</f>
        <v>1</v>
      </c>
      <c r="AO42" s="344"/>
      <c r="AP42" s="344"/>
    </row>
    <row r="43" spans="3:42" ht="12.75">
      <c r="C43" s="344"/>
      <c r="D43" s="344"/>
      <c r="E43" s="344"/>
      <c r="F43" s="344"/>
      <c r="G43" s="344"/>
      <c r="H43" s="344">
        <f t="shared" si="2"/>
        <v>2029</v>
      </c>
      <c r="I43" s="452">
        <f t="shared" si="1"/>
        <v>1</v>
      </c>
      <c r="J43" s="344"/>
      <c r="K43" s="344"/>
      <c r="L43" s="344"/>
      <c r="M43" s="344"/>
      <c r="N43" s="344"/>
      <c r="O43" s="344"/>
      <c r="P43" s="344"/>
      <c r="Q43" s="344"/>
      <c r="R43" s="344"/>
      <c r="S43" s="344"/>
      <c r="T43" s="344"/>
      <c r="U43" s="453"/>
      <c r="V43" s="453"/>
      <c r="W43" s="453"/>
      <c r="X43" s="453"/>
      <c r="Y43" s="453"/>
      <c r="Z43" s="453"/>
      <c r="AA43" s="453"/>
      <c r="AB43" s="453"/>
      <c r="AC43" s="453"/>
      <c r="AD43" s="453"/>
      <c r="AE43" s="453"/>
      <c r="AF43" s="453"/>
      <c r="AG43" s="453"/>
      <c r="AH43" s="453"/>
      <c r="AI43" s="453"/>
      <c r="AJ43" s="453"/>
      <c r="AK43" s="453"/>
      <c r="AL43" s="453"/>
      <c r="AM43" s="453"/>
      <c r="AN43" s="344"/>
      <c r="AO43" s="453">
        <f>1-SUM(J43:AN43)</f>
        <v>1</v>
      </c>
      <c r="AP43" s="344"/>
    </row>
    <row r="44" spans="3:42" ht="12.75">
      <c r="C44" s="344"/>
      <c r="D44" s="344"/>
      <c r="E44" s="344"/>
      <c r="F44" s="344"/>
      <c r="G44" s="344"/>
      <c r="H44" s="344"/>
      <c r="I44" s="344"/>
      <c r="J44" s="344"/>
      <c r="K44" s="344"/>
      <c r="L44" s="344"/>
      <c r="M44" s="344"/>
      <c r="N44" s="344"/>
      <c r="O44" s="344"/>
      <c r="P44" s="344"/>
      <c r="Q44" s="344"/>
      <c r="R44" s="344"/>
      <c r="S44" s="344"/>
      <c r="T44" s="344"/>
      <c r="U44" s="344"/>
      <c r="V44" s="453"/>
      <c r="W44" s="453"/>
      <c r="X44" s="453"/>
      <c r="Y44" s="453"/>
      <c r="Z44" s="453"/>
      <c r="AA44" s="453"/>
      <c r="AB44" s="453"/>
      <c r="AC44" s="453"/>
      <c r="AD44" s="453"/>
      <c r="AE44" s="453"/>
      <c r="AF44" s="453"/>
      <c r="AG44" s="453"/>
      <c r="AH44" s="453"/>
      <c r="AI44" s="453"/>
      <c r="AJ44" s="453"/>
      <c r="AK44" s="453"/>
      <c r="AL44" s="453"/>
      <c r="AM44" s="453"/>
      <c r="AN44" s="344"/>
      <c r="AO44" s="344"/>
      <c r="AP44" s="344"/>
    </row>
    <row r="45" spans="3:42" ht="12.75">
      <c r="C45" s="344"/>
      <c r="D45" s="344"/>
      <c r="E45" s="344"/>
      <c r="F45" s="344"/>
      <c r="G45" s="344"/>
      <c r="H45" s="344"/>
      <c r="I45" s="344"/>
      <c r="J45" s="344"/>
      <c r="K45" s="344"/>
      <c r="L45" s="344"/>
      <c r="M45" s="344"/>
      <c r="N45" s="344"/>
      <c r="O45" s="344"/>
      <c r="P45" s="344"/>
      <c r="Q45" s="344"/>
      <c r="R45" s="344"/>
      <c r="S45" s="344"/>
      <c r="T45" s="344"/>
      <c r="U45" s="344"/>
      <c r="V45" s="344"/>
      <c r="W45" s="453"/>
      <c r="X45" s="453"/>
      <c r="Y45" s="453"/>
      <c r="Z45" s="453"/>
      <c r="AA45" s="453"/>
      <c r="AB45" s="453"/>
      <c r="AC45" s="453"/>
      <c r="AD45" s="453"/>
      <c r="AE45" s="453"/>
      <c r="AF45" s="453"/>
      <c r="AG45" s="453"/>
      <c r="AH45" s="453"/>
      <c r="AI45" s="453"/>
      <c r="AJ45" s="453"/>
      <c r="AK45" s="453"/>
      <c r="AL45" s="453"/>
      <c r="AM45" s="453"/>
      <c r="AN45" s="344"/>
      <c r="AO45" s="344"/>
      <c r="AP45" s="344"/>
    </row>
    <row r="46" spans="3:42" ht="12.75">
      <c r="C46" s="344"/>
      <c r="D46" s="344" t="s">
        <v>459</v>
      </c>
      <c r="E46" s="344"/>
      <c r="F46" s="344"/>
      <c r="G46" s="344"/>
      <c r="H46" s="451">
        <f>$J$7</f>
        <v>1998</v>
      </c>
      <c r="I46" s="454">
        <f aca="true" t="shared" si="3" ref="I46:I77">SUM(J46:AO46)</f>
        <v>0</v>
      </c>
      <c r="J46" s="454">
        <f aca="true" t="shared" si="4" ref="J46:AM46">$J$9*J12</f>
        <v>0</v>
      </c>
      <c r="K46" s="454">
        <f t="shared" si="4"/>
        <v>0</v>
      </c>
      <c r="L46" s="454">
        <f t="shared" si="4"/>
        <v>0</v>
      </c>
      <c r="M46" s="454">
        <f t="shared" si="4"/>
        <v>0</v>
      </c>
      <c r="N46" s="454">
        <f t="shared" si="4"/>
        <v>0</v>
      </c>
      <c r="O46" s="454">
        <f t="shared" si="4"/>
        <v>0</v>
      </c>
      <c r="P46" s="454">
        <f t="shared" si="4"/>
        <v>0</v>
      </c>
      <c r="Q46" s="454">
        <f t="shared" si="4"/>
        <v>0</v>
      </c>
      <c r="R46" s="454">
        <f t="shared" si="4"/>
        <v>0</v>
      </c>
      <c r="S46" s="454">
        <f t="shared" si="4"/>
        <v>0</v>
      </c>
      <c r="T46" s="454">
        <f t="shared" si="4"/>
        <v>0</v>
      </c>
      <c r="U46" s="454">
        <f t="shared" si="4"/>
        <v>0</v>
      </c>
      <c r="V46" s="454">
        <f t="shared" si="4"/>
        <v>0</v>
      </c>
      <c r="W46" s="454">
        <f t="shared" si="4"/>
        <v>0</v>
      </c>
      <c r="X46" s="454">
        <f t="shared" si="4"/>
        <v>0</v>
      </c>
      <c r="Y46" s="454">
        <f t="shared" si="4"/>
        <v>0</v>
      </c>
      <c r="Z46" s="454">
        <f t="shared" si="4"/>
        <v>0</v>
      </c>
      <c r="AA46" s="454">
        <f t="shared" si="4"/>
        <v>0</v>
      </c>
      <c r="AB46" s="454">
        <f t="shared" si="4"/>
        <v>0</v>
      </c>
      <c r="AC46" s="454">
        <f t="shared" si="4"/>
        <v>0</v>
      </c>
      <c r="AD46" s="454">
        <f t="shared" si="4"/>
        <v>0</v>
      </c>
      <c r="AE46" s="454">
        <f t="shared" si="4"/>
        <v>0</v>
      </c>
      <c r="AF46" s="454">
        <f t="shared" si="4"/>
        <v>0</v>
      </c>
      <c r="AG46" s="454">
        <f t="shared" si="4"/>
        <v>0</v>
      </c>
      <c r="AH46" s="454">
        <f t="shared" si="4"/>
        <v>0</v>
      </c>
      <c r="AI46" s="454">
        <f t="shared" si="4"/>
        <v>0</v>
      </c>
      <c r="AJ46" s="454">
        <f t="shared" si="4"/>
        <v>0</v>
      </c>
      <c r="AK46" s="454">
        <f t="shared" si="4"/>
        <v>0</v>
      </c>
      <c r="AL46" s="454">
        <f t="shared" si="4"/>
        <v>0</v>
      </c>
      <c r="AM46" s="454">
        <f t="shared" si="4"/>
        <v>0</v>
      </c>
      <c r="AN46" s="344"/>
      <c r="AO46" s="344"/>
      <c r="AP46" s="344"/>
    </row>
    <row r="47" spans="3:42" ht="12.75">
      <c r="C47" s="344"/>
      <c r="D47" s="344"/>
      <c r="E47" s="344" t="s">
        <v>460</v>
      </c>
      <c r="F47" s="344"/>
      <c r="G47" s="344"/>
      <c r="H47" s="344">
        <f aca="true" t="shared" si="5" ref="H47:H77">H46+1</f>
        <v>1999</v>
      </c>
      <c r="I47" s="454">
        <f t="shared" si="3"/>
        <v>7523.265</v>
      </c>
      <c r="J47" s="454"/>
      <c r="K47" s="454">
        <f aca="true" t="shared" si="6" ref="K47:AM47">$K$9*K13</f>
        <v>282.1224375</v>
      </c>
      <c r="L47" s="454">
        <f t="shared" si="6"/>
        <v>543.10450035</v>
      </c>
      <c r="M47" s="454">
        <f t="shared" si="6"/>
        <v>502.3284040499999</v>
      </c>
      <c r="N47" s="454">
        <f t="shared" si="6"/>
        <v>464.71207904999994</v>
      </c>
      <c r="O47" s="454">
        <f t="shared" si="6"/>
        <v>429.80412944999995</v>
      </c>
      <c r="P47" s="454">
        <f t="shared" si="6"/>
        <v>397.60455525</v>
      </c>
      <c r="Q47" s="454">
        <f t="shared" si="6"/>
        <v>367.7371932</v>
      </c>
      <c r="R47" s="454">
        <f t="shared" si="6"/>
        <v>340.2020433</v>
      </c>
      <c r="S47" s="454">
        <f t="shared" si="6"/>
        <v>335.68808429999996</v>
      </c>
      <c r="T47" s="454">
        <f t="shared" si="6"/>
        <v>335.6128516499999</v>
      </c>
      <c r="U47" s="454">
        <f t="shared" si="6"/>
        <v>335.68808429999996</v>
      </c>
      <c r="V47" s="454">
        <f t="shared" si="6"/>
        <v>335.6128516499999</v>
      </c>
      <c r="W47" s="454">
        <f t="shared" si="6"/>
        <v>335.68808429999996</v>
      </c>
      <c r="X47" s="454">
        <f t="shared" si="6"/>
        <v>335.6128516499999</v>
      </c>
      <c r="Y47" s="454">
        <f t="shared" si="6"/>
        <v>335.68808429999996</v>
      </c>
      <c r="Z47" s="454">
        <f t="shared" si="6"/>
        <v>335.6128516499999</v>
      </c>
      <c r="AA47" s="454">
        <f t="shared" si="6"/>
        <v>335.68808429999996</v>
      </c>
      <c r="AB47" s="454">
        <f t="shared" si="6"/>
        <v>335.6128516499999</v>
      </c>
      <c r="AC47" s="454">
        <f t="shared" si="6"/>
        <v>335.68808429999996</v>
      </c>
      <c r="AD47" s="454">
        <f t="shared" si="6"/>
        <v>335.6128516499999</v>
      </c>
      <c r="AE47" s="454">
        <f t="shared" si="6"/>
        <v>167.84404214999998</v>
      </c>
      <c r="AF47" s="454">
        <f t="shared" si="6"/>
        <v>0</v>
      </c>
      <c r="AG47" s="454">
        <f t="shared" si="6"/>
        <v>0</v>
      </c>
      <c r="AH47" s="454">
        <f t="shared" si="6"/>
        <v>0</v>
      </c>
      <c r="AI47" s="454">
        <f t="shared" si="6"/>
        <v>0</v>
      </c>
      <c r="AJ47" s="454">
        <f t="shared" si="6"/>
        <v>0</v>
      </c>
      <c r="AK47" s="454">
        <f t="shared" si="6"/>
        <v>0</v>
      </c>
      <c r="AL47" s="454">
        <f t="shared" si="6"/>
        <v>0</v>
      </c>
      <c r="AM47" s="454">
        <f t="shared" si="6"/>
        <v>0</v>
      </c>
      <c r="AN47" s="344"/>
      <c r="AO47" s="344"/>
      <c r="AP47" s="344"/>
    </row>
    <row r="48" spans="3:42" ht="12.75">
      <c r="C48" s="344"/>
      <c r="D48" s="344"/>
      <c r="E48" s="344"/>
      <c r="F48" s="344"/>
      <c r="G48" s="344"/>
      <c r="H48" s="344">
        <f t="shared" si="5"/>
        <v>2000</v>
      </c>
      <c r="I48" s="454">
        <f t="shared" si="3"/>
        <v>1781.9000000000005</v>
      </c>
      <c r="J48" s="454"/>
      <c r="K48" s="454"/>
      <c r="L48" s="454">
        <f aca="true" t="shared" si="7" ref="L48:AM48">$L$9*L14</f>
        <v>66.82125</v>
      </c>
      <c r="M48" s="454">
        <f t="shared" si="7"/>
        <v>128.63536100000002</v>
      </c>
      <c r="N48" s="454">
        <f t="shared" si="7"/>
        <v>118.977463</v>
      </c>
      <c r="O48" s="454">
        <f t="shared" si="7"/>
        <v>110.067963</v>
      </c>
      <c r="P48" s="454">
        <f t="shared" si="7"/>
        <v>101.799947</v>
      </c>
      <c r="Q48" s="454">
        <f t="shared" si="7"/>
        <v>94.173415</v>
      </c>
      <c r="R48" s="454">
        <f t="shared" si="7"/>
        <v>87.099272</v>
      </c>
      <c r="S48" s="454">
        <f t="shared" si="7"/>
        <v>80.57751800000001</v>
      </c>
      <c r="T48" s="454">
        <f t="shared" si="7"/>
        <v>79.50837800000001</v>
      </c>
      <c r="U48" s="454">
        <f t="shared" si="7"/>
        <v>79.490559</v>
      </c>
      <c r="V48" s="454">
        <f t="shared" si="7"/>
        <v>79.50837800000001</v>
      </c>
      <c r="W48" s="454">
        <f t="shared" si="7"/>
        <v>79.490559</v>
      </c>
      <c r="X48" s="454">
        <f t="shared" si="7"/>
        <v>79.50837800000001</v>
      </c>
      <c r="Y48" s="454">
        <f t="shared" si="7"/>
        <v>79.490559</v>
      </c>
      <c r="Z48" s="454">
        <f t="shared" si="7"/>
        <v>79.50837800000001</v>
      </c>
      <c r="AA48" s="454">
        <f t="shared" si="7"/>
        <v>79.490559</v>
      </c>
      <c r="AB48" s="454">
        <f t="shared" si="7"/>
        <v>79.50837800000001</v>
      </c>
      <c r="AC48" s="454">
        <f t="shared" si="7"/>
        <v>79.490559</v>
      </c>
      <c r="AD48" s="454">
        <f t="shared" si="7"/>
        <v>79.50837800000001</v>
      </c>
      <c r="AE48" s="454">
        <f t="shared" si="7"/>
        <v>79.490559</v>
      </c>
      <c r="AF48" s="454">
        <f t="shared" si="7"/>
        <v>39.754189000000004</v>
      </c>
      <c r="AG48" s="454">
        <f t="shared" si="7"/>
        <v>0</v>
      </c>
      <c r="AH48" s="454">
        <f t="shared" si="7"/>
        <v>0</v>
      </c>
      <c r="AI48" s="454">
        <f t="shared" si="7"/>
        <v>0</v>
      </c>
      <c r="AJ48" s="454">
        <f t="shared" si="7"/>
        <v>0</v>
      </c>
      <c r="AK48" s="454">
        <f t="shared" si="7"/>
        <v>0</v>
      </c>
      <c r="AL48" s="454">
        <f t="shared" si="7"/>
        <v>0</v>
      </c>
      <c r="AM48" s="454">
        <f t="shared" si="7"/>
        <v>0</v>
      </c>
      <c r="AN48" s="344"/>
      <c r="AO48" s="344"/>
      <c r="AP48" s="344"/>
    </row>
    <row r="49" spans="3:42" ht="12.75">
      <c r="C49" s="344"/>
      <c r="D49" s="344"/>
      <c r="E49" s="344"/>
      <c r="F49" s="344"/>
      <c r="G49" s="344"/>
      <c r="H49" s="344">
        <f t="shared" si="5"/>
        <v>2001</v>
      </c>
      <c r="I49" s="454">
        <f t="shared" si="3"/>
        <v>148331.0099040021</v>
      </c>
      <c r="J49" s="454"/>
      <c r="K49" s="454"/>
      <c r="L49" s="454"/>
      <c r="M49" s="454">
        <f aca="true" t="shared" si="8" ref="M49:AM49">$M$9*M15</f>
        <v>5562.412871400077</v>
      </c>
      <c r="N49" s="454">
        <f t="shared" si="8"/>
        <v>10708.01560496991</v>
      </c>
      <c r="O49" s="454">
        <f t="shared" si="8"/>
        <v>9904.061531290217</v>
      </c>
      <c r="P49" s="454">
        <f t="shared" si="8"/>
        <v>9162.406481770207</v>
      </c>
      <c r="Q49" s="454">
        <f t="shared" si="8"/>
        <v>8474.150595815638</v>
      </c>
      <c r="R49" s="454">
        <f t="shared" si="8"/>
        <v>7839.29387342651</v>
      </c>
      <c r="S49" s="454">
        <f t="shared" si="8"/>
        <v>7250.419764107622</v>
      </c>
      <c r="T49" s="454">
        <f t="shared" si="8"/>
        <v>6707.528267858974</v>
      </c>
      <c r="U49" s="454">
        <f t="shared" si="8"/>
        <v>6618.529661916573</v>
      </c>
      <c r="V49" s="454">
        <f t="shared" si="8"/>
        <v>6617.046351817532</v>
      </c>
      <c r="W49" s="454">
        <f t="shared" si="8"/>
        <v>6618.529661916573</v>
      </c>
      <c r="X49" s="454">
        <f t="shared" si="8"/>
        <v>6617.046351817532</v>
      </c>
      <c r="Y49" s="454">
        <f t="shared" si="8"/>
        <v>6618.529661916573</v>
      </c>
      <c r="Z49" s="454">
        <f t="shared" si="8"/>
        <v>6617.046351817532</v>
      </c>
      <c r="AA49" s="454">
        <f t="shared" si="8"/>
        <v>6618.529661916573</v>
      </c>
      <c r="AB49" s="454">
        <f t="shared" si="8"/>
        <v>6617.046351817532</v>
      </c>
      <c r="AC49" s="454">
        <f t="shared" si="8"/>
        <v>6618.529661916573</v>
      </c>
      <c r="AD49" s="454">
        <f t="shared" si="8"/>
        <v>6617.046351817532</v>
      </c>
      <c r="AE49" s="454">
        <f t="shared" si="8"/>
        <v>6618.529661916573</v>
      </c>
      <c r="AF49" s="454">
        <f t="shared" si="8"/>
        <v>6617.046351817532</v>
      </c>
      <c r="AG49" s="454">
        <f t="shared" si="8"/>
        <v>3309.2648309582864</v>
      </c>
      <c r="AH49" s="454">
        <f t="shared" si="8"/>
        <v>0</v>
      </c>
      <c r="AI49" s="454">
        <f t="shared" si="8"/>
        <v>0</v>
      </c>
      <c r="AJ49" s="454">
        <f t="shared" si="8"/>
        <v>0</v>
      </c>
      <c r="AK49" s="454">
        <f t="shared" si="8"/>
        <v>0</v>
      </c>
      <c r="AL49" s="454">
        <f t="shared" si="8"/>
        <v>0</v>
      </c>
      <c r="AM49" s="454">
        <f t="shared" si="8"/>
        <v>0</v>
      </c>
      <c r="AN49" s="344"/>
      <c r="AO49" s="344"/>
      <c r="AP49" s="344"/>
    </row>
    <row r="50" spans="3:42" ht="12.75">
      <c r="C50" s="344"/>
      <c r="D50" s="344"/>
      <c r="E50" s="344"/>
      <c r="F50" s="344"/>
      <c r="G50" s="344"/>
      <c r="H50" s="344">
        <f t="shared" si="5"/>
        <v>2002</v>
      </c>
      <c r="I50" s="454">
        <f t="shared" si="3"/>
        <v>76380.80922806004</v>
      </c>
      <c r="J50" s="454"/>
      <c r="K50" s="454"/>
      <c r="L50" s="454"/>
      <c r="M50" s="454"/>
      <c r="N50" s="454">
        <f aca="true" t="shared" si="9" ref="N50:AM50">$N$9*N16</f>
        <v>2864.2803460522514</v>
      </c>
      <c r="O50" s="454">
        <f t="shared" si="9"/>
        <v>5513.930618173655</v>
      </c>
      <c r="P50" s="454">
        <f t="shared" si="9"/>
        <v>5099.946632157568</v>
      </c>
      <c r="Q50" s="454">
        <f t="shared" si="9"/>
        <v>4718.042586017268</v>
      </c>
      <c r="R50" s="454">
        <f t="shared" si="9"/>
        <v>4363.63563119907</v>
      </c>
      <c r="S50" s="454">
        <f t="shared" si="9"/>
        <v>4036.7257677029734</v>
      </c>
      <c r="T50" s="454">
        <f t="shared" si="9"/>
        <v>3733.493955067575</v>
      </c>
      <c r="U50" s="454">
        <f t="shared" si="9"/>
        <v>3453.9401932928754</v>
      </c>
      <c r="V50" s="454">
        <f t="shared" si="9"/>
        <v>3408.111707756039</v>
      </c>
      <c r="W50" s="454">
        <f t="shared" si="9"/>
        <v>3407.347899663758</v>
      </c>
      <c r="X50" s="454">
        <f t="shared" si="9"/>
        <v>3408.111707756039</v>
      </c>
      <c r="Y50" s="454">
        <f t="shared" si="9"/>
        <v>3407.347899663758</v>
      </c>
      <c r="Z50" s="454">
        <f t="shared" si="9"/>
        <v>3408.111707756039</v>
      </c>
      <c r="AA50" s="454">
        <f t="shared" si="9"/>
        <v>3407.347899663758</v>
      </c>
      <c r="AB50" s="454">
        <f t="shared" si="9"/>
        <v>3408.111707756039</v>
      </c>
      <c r="AC50" s="454">
        <f t="shared" si="9"/>
        <v>3407.347899663758</v>
      </c>
      <c r="AD50" s="454">
        <f t="shared" si="9"/>
        <v>3408.111707756039</v>
      </c>
      <c r="AE50" s="454">
        <f t="shared" si="9"/>
        <v>3407.347899663758</v>
      </c>
      <c r="AF50" s="454">
        <f t="shared" si="9"/>
        <v>3408.111707756039</v>
      </c>
      <c r="AG50" s="454">
        <f t="shared" si="9"/>
        <v>3407.347899663758</v>
      </c>
      <c r="AH50" s="454">
        <f t="shared" si="9"/>
        <v>1704.0558538780194</v>
      </c>
      <c r="AI50" s="454">
        <f t="shared" si="9"/>
        <v>0</v>
      </c>
      <c r="AJ50" s="454">
        <f t="shared" si="9"/>
        <v>0</v>
      </c>
      <c r="AK50" s="454">
        <f t="shared" si="9"/>
        <v>0</v>
      </c>
      <c r="AL50" s="454">
        <f t="shared" si="9"/>
        <v>0</v>
      </c>
      <c r="AM50" s="454">
        <f t="shared" si="9"/>
        <v>0</v>
      </c>
      <c r="AN50" s="344"/>
      <c r="AO50" s="344"/>
      <c r="AP50" s="344"/>
    </row>
    <row r="51" spans="3:42" ht="12.75">
      <c r="C51" s="344"/>
      <c r="D51" s="344"/>
      <c r="E51" s="344"/>
      <c r="F51" s="344"/>
      <c r="G51" s="344"/>
      <c r="H51" s="344">
        <f t="shared" si="5"/>
        <v>2003</v>
      </c>
      <c r="I51" s="454">
        <f t="shared" si="3"/>
        <v>4976.9999578199995</v>
      </c>
      <c r="J51" s="454"/>
      <c r="K51" s="454"/>
      <c r="L51" s="454"/>
      <c r="M51" s="454"/>
      <c r="N51" s="454"/>
      <c r="O51" s="454">
        <f aca="true" t="shared" si="10" ref="O51:AM51">$O$9*O17</f>
        <v>186.63749841824998</v>
      </c>
      <c r="P51" s="454">
        <f t="shared" si="10"/>
        <v>359.28962695502577</v>
      </c>
      <c r="Q51" s="454">
        <f t="shared" si="10"/>
        <v>332.31428718364134</v>
      </c>
      <c r="R51" s="454">
        <f t="shared" si="10"/>
        <v>307.42928739454135</v>
      </c>
      <c r="S51" s="454">
        <f t="shared" si="10"/>
        <v>284.3360075902566</v>
      </c>
      <c r="T51" s="454">
        <f t="shared" si="10"/>
        <v>263.034447770787</v>
      </c>
      <c r="U51" s="454">
        <f t="shared" si="10"/>
        <v>243.27575793824158</v>
      </c>
      <c r="V51" s="454">
        <f t="shared" si="10"/>
        <v>225.0599380926204</v>
      </c>
      <c r="W51" s="454">
        <f t="shared" si="10"/>
        <v>222.07373811792837</v>
      </c>
      <c r="X51" s="454">
        <f t="shared" si="10"/>
        <v>222.02396811835015</v>
      </c>
      <c r="Y51" s="454">
        <f t="shared" si="10"/>
        <v>222.07373811792837</v>
      </c>
      <c r="Z51" s="454">
        <f t="shared" si="10"/>
        <v>222.02396811835015</v>
      </c>
      <c r="AA51" s="454">
        <f t="shared" si="10"/>
        <v>222.07373811792837</v>
      </c>
      <c r="AB51" s="454">
        <f t="shared" si="10"/>
        <v>222.02396811835015</v>
      </c>
      <c r="AC51" s="454">
        <f t="shared" si="10"/>
        <v>222.07373811792837</v>
      </c>
      <c r="AD51" s="454">
        <f t="shared" si="10"/>
        <v>222.02396811835015</v>
      </c>
      <c r="AE51" s="454">
        <f t="shared" si="10"/>
        <v>222.07373811792837</v>
      </c>
      <c r="AF51" s="454">
        <f t="shared" si="10"/>
        <v>222.02396811835015</v>
      </c>
      <c r="AG51" s="454">
        <f t="shared" si="10"/>
        <v>222.07373811792837</v>
      </c>
      <c r="AH51" s="454">
        <f t="shared" si="10"/>
        <v>222.02396811835015</v>
      </c>
      <c r="AI51" s="454">
        <f t="shared" si="10"/>
        <v>111.03686905896335</v>
      </c>
      <c r="AJ51" s="454">
        <f t="shared" si="10"/>
        <v>0</v>
      </c>
      <c r="AK51" s="454">
        <f t="shared" si="10"/>
        <v>0</v>
      </c>
      <c r="AL51" s="454">
        <f t="shared" si="10"/>
        <v>0</v>
      </c>
      <c r="AM51" s="454">
        <f t="shared" si="10"/>
        <v>0</v>
      </c>
      <c r="AN51" s="344"/>
      <c r="AO51" s="344"/>
      <c r="AP51" s="344"/>
    </row>
    <row r="52" spans="3:42" ht="12.75">
      <c r="C52" s="344"/>
      <c r="D52" s="344"/>
      <c r="E52" s="344"/>
      <c r="F52" s="344"/>
      <c r="G52" s="344"/>
      <c r="H52" s="344">
        <f t="shared" si="5"/>
        <v>2004</v>
      </c>
      <c r="I52" s="454">
        <f t="shared" si="3"/>
        <v>4057.4592600499977</v>
      </c>
      <c r="J52" s="454"/>
      <c r="K52" s="454"/>
      <c r="L52" s="454"/>
      <c r="M52" s="454"/>
      <c r="N52" s="454"/>
      <c r="O52" s="454"/>
      <c r="P52" s="454">
        <f aca="true" t="shared" si="11" ref="P52:AM52">$P$9*P18</f>
        <v>152.15472225187497</v>
      </c>
      <c r="Q52" s="454">
        <f t="shared" si="11"/>
        <v>292.9079839830095</v>
      </c>
      <c r="R52" s="454">
        <f t="shared" si="11"/>
        <v>270.91655479353847</v>
      </c>
      <c r="S52" s="454">
        <f t="shared" si="11"/>
        <v>250.62925849328846</v>
      </c>
      <c r="T52" s="454">
        <f t="shared" si="11"/>
        <v>231.80264752665647</v>
      </c>
      <c r="U52" s="454">
        <f t="shared" si="11"/>
        <v>214.43672189364247</v>
      </c>
      <c r="V52" s="454">
        <f t="shared" si="11"/>
        <v>198.32860863124398</v>
      </c>
      <c r="W52" s="454">
        <f t="shared" si="11"/>
        <v>183.478307739461</v>
      </c>
      <c r="X52" s="454">
        <f t="shared" si="11"/>
        <v>181.043832183431</v>
      </c>
      <c r="Y52" s="454">
        <f t="shared" si="11"/>
        <v>181.00325759083046</v>
      </c>
      <c r="Z52" s="454">
        <f t="shared" si="11"/>
        <v>181.043832183431</v>
      </c>
      <c r="AA52" s="454">
        <f t="shared" si="11"/>
        <v>181.00325759083046</v>
      </c>
      <c r="AB52" s="454">
        <f t="shared" si="11"/>
        <v>181.043832183431</v>
      </c>
      <c r="AC52" s="454">
        <f t="shared" si="11"/>
        <v>181.00325759083046</v>
      </c>
      <c r="AD52" s="454">
        <f t="shared" si="11"/>
        <v>181.043832183431</v>
      </c>
      <c r="AE52" s="454">
        <f t="shared" si="11"/>
        <v>181.00325759083046</v>
      </c>
      <c r="AF52" s="454">
        <f t="shared" si="11"/>
        <v>181.043832183431</v>
      </c>
      <c r="AG52" s="454">
        <f t="shared" si="11"/>
        <v>181.00325759083046</v>
      </c>
      <c r="AH52" s="454">
        <f t="shared" si="11"/>
        <v>181.043832183431</v>
      </c>
      <c r="AI52" s="454">
        <f t="shared" si="11"/>
        <v>271.5251736825454</v>
      </c>
      <c r="AJ52" s="454">
        <f t="shared" si="11"/>
        <v>0</v>
      </c>
      <c r="AK52" s="454">
        <f t="shared" si="11"/>
        <v>0</v>
      </c>
      <c r="AL52" s="454">
        <f t="shared" si="11"/>
        <v>0</v>
      </c>
      <c r="AM52" s="454">
        <f t="shared" si="11"/>
        <v>0</v>
      </c>
      <c r="AN52" s="344"/>
      <c r="AO52" s="344"/>
      <c r="AP52" s="344"/>
    </row>
    <row r="53" spans="3:42" ht="12.75">
      <c r="C53" s="344"/>
      <c r="D53" s="344"/>
      <c r="E53" s="344"/>
      <c r="F53" s="344"/>
      <c r="G53" s="344"/>
      <c r="H53" s="344">
        <f t="shared" si="5"/>
        <v>2005</v>
      </c>
      <c r="I53" s="454">
        <f t="shared" si="3"/>
        <v>4179.183037851498</v>
      </c>
      <c r="J53" s="454"/>
      <c r="K53" s="454"/>
      <c r="L53" s="454"/>
      <c r="M53" s="454"/>
      <c r="N53" s="454"/>
      <c r="O53" s="454"/>
      <c r="P53" s="454"/>
      <c r="Q53" s="454">
        <f aca="true" t="shared" si="12" ref="Q53:AM53">$Q$9*Q19</f>
        <v>156.71936391943123</v>
      </c>
      <c r="R53" s="454">
        <f t="shared" si="12"/>
        <v>301.6952235024998</v>
      </c>
      <c r="S53" s="454">
        <f t="shared" si="12"/>
        <v>279.0440514373446</v>
      </c>
      <c r="T53" s="454">
        <f t="shared" si="12"/>
        <v>258.14813624808716</v>
      </c>
      <c r="U53" s="454">
        <f t="shared" si="12"/>
        <v>238.75672695245618</v>
      </c>
      <c r="V53" s="454">
        <f t="shared" si="12"/>
        <v>220.86982355045177</v>
      </c>
      <c r="W53" s="454">
        <f t="shared" si="12"/>
        <v>204.2784668901813</v>
      </c>
      <c r="X53" s="454">
        <f t="shared" si="12"/>
        <v>188.98265697164481</v>
      </c>
      <c r="Y53" s="454">
        <f t="shared" si="12"/>
        <v>186.47514714893393</v>
      </c>
      <c r="Z53" s="454">
        <f t="shared" si="12"/>
        <v>186.43335531855539</v>
      </c>
      <c r="AA53" s="454">
        <f t="shared" si="12"/>
        <v>186.47514714893393</v>
      </c>
      <c r="AB53" s="454">
        <f t="shared" si="12"/>
        <v>186.43335531855539</v>
      </c>
      <c r="AC53" s="454">
        <f t="shared" si="12"/>
        <v>186.47514714893393</v>
      </c>
      <c r="AD53" s="454">
        <f t="shared" si="12"/>
        <v>186.43335531855539</v>
      </c>
      <c r="AE53" s="454">
        <f t="shared" si="12"/>
        <v>186.47514714893393</v>
      </c>
      <c r="AF53" s="454">
        <f t="shared" si="12"/>
        <v>186.43335531855539</v>
      </c>
      <c r="AG53" s="454">
        <f t="shared" si="12"/>
        <v>186.47514714893393</v>
      </c>
      <c r="AH53" s="454">
        <f t="shared" si="12"/>
        <v>186.43335531855539</v>
      </c>
      <c r="AI53" s="454">
        <f t="shared" si="12"/>
        <v>466.14607604195567</v>
      </c>
      <c r="AJ53" s="454">
        <f t="shared" si="12"/>
        <v>0</v>
      </c>
      <c r="AK53" s="454">
        <f t="shared" si="12"/>
        <v>0</v>
      </c>
      <c r="AL53" s="454">
        <f t="shared" si="12"/>
        <v>0</v>
      </c>
      <c r="AM53" s="454">
        <f t="shared" si="12"/>
        <v>0</v>
      </c>
      <c r="AN53" s="344"/>
      <c r="AO53" s="344"/>
      <c r="AP53" s="344"/>
    </row>
    <row r="54" spans="3:42" ht="12.75">
      <c r="C54" s="344"/>
      <c r="D54" s="344"/>
      <c r="E54" s="344"/>
      <c r="F54" s="344"/>
      <c r="G54" s="344"/>
      <c r="H54" s="344">
        <f t="shared" si="5"/>
        <v>2006</v>
      </c>
      <c r="I54" s="454">
        <f t="shared" si="3"/>
        <v>4304.558528987045</v>
      </c>
      <c r="J54" s="454"/>
      <c r="K54" s="454"/>
      <c r="L54" s="454"/>
      <c r="M54" s="454"/>
      <c r="N54" s="454"/>
      <c r="O54" s="454"/>
      <c r="P54" s="454"/>
      <c r="Q54" s="454"/>
      <c r="R54" s="454">
        <f aca="true" t="shared" si="13" ref="R54:AM54">$R$9*R20</f>
        <v>161.4209448370142</v>
      </c>
      <c r="S54" s="454">
        <f t="shared" si="13"/>
        <v>310.7460802075748</v>
      </c>
      <c r="T54" s="454">
        <f t="shared" si="13"/>
        <v>287.415372980465</v>
      </c>
      <c r="U54" s="454">
        <f t="shared" si="13"/>
        <v>265.8925803355298</v>
      </c>
      <c r="V54" s="454">
        <f t="shared" si="13"/>
        <v>245.91942876102988</v>
      </c>
      <c r="W54" s="454">
        <f t="shared" si="13"/>
        <v>227.49591825696533</v>
      </c>
      <c r="X54" s="454">
        <f t="shared" si="13"/>
        <v>210.40682089688676</v>
      </c>
      <c r="Y54" s="454">
        <f t="shared" si="13"/>
        <v>194.6521366807942</v>
      </c>
      <c r="Z54" s="454">
        <f t="shared" si="13"/>
        <v>192.06940156340195</v>
      </c>
      <c r="AA54" s="454">
        <f t="shared" si="13"/>
        <v>192.02635597811206</v>
      </c>
      <c r="AB54" s="454">
        <f t="shared" si="13"/>
        <v>192.06940156340195</v>
      </c>
      <c r="AC54" s="454">
        <f t="shared" si="13"/>
        <v>192.02635597811206</v>
      </c>
      <c r="AD54" s="454">
        <f t="shared" si="13"/>
        <v>192.06940156340195</v>
      </c>
      <c r="AE54" s="454">
        <f t="shared" si="13"/>
        <v>192.02635597811206</v>
      </c>
      <c r="AF54" s="454">
        <f t="shared" si="13"/>
        <v>192.06940156340195</v>
      </c>
      <c r="AG54" s="454">
        <f t="shared" si="13"/>
        <v>192.02635597811206</v>
      </c>
      <c r="AH54" s="454">
        <f t="shared" si="13"/>
        <v>192.06940156340195</v>
      </c>
      <c r="AI54" s="454">
        <f t="shared" si="13"/>
        <v>672.1568143013267</v>
      </c>
      <c r="AJ54" s="454">
        <f t="shared" si="13"/>
        <v>0</v>
      </c>
      <c r="AK54" s="454">
        <f t="shared" si="13"/>
        <v>0</v>
      </c>
      <c r="AL54" s="454">
        <f t="shared" si="13"/>
        <v>0</v>
      </c>
      <c r="AM54" s="454">
        <f t="shared" si="13"/>
        <v>0</v>
      </c>
      <c r="AN54" s="344"/>
      <c r="AO54" s="344"/>
      <c r="AP54" s="344"/>
    </row>
    <row r="55" spans="3:42" ht="12.75">
      <c r="C55" s="344"/>
      <c r="D55" s="344"/>
      <c r="E55" s="344"/>
      <c r="F55" s="344"/>
      <c r="G55" s="344"/>
      <c r="H55" s="344">
        <f t="shared" si="5"/>
        <v>2007</v>
      </c>
      <c r="I55" s="454">
        <f t="shared" si="3"/>
        <v>4433.695284856656</v>
      </c>
      <c r="J55" s="454"/>
      <c r="K55" s="454"/>
      <c r="L55" s="454"/>
      <c r="M55" s="454"/>
      <c r="N55" s="454"/>
      <c r="O55" s="454"/>
      <c r="P55" s="454"/>
      <c r="Q55" s="454"/>
      <c r="R55" s="454"/>
      <c r="S55" s="454">
        <f aca="true" t="shared" si="14" ref="S55:AH55">$S$9*S21</f>
        <v>166.2635731821246</v>
      </c>
      <c r="T55" s="454">
        <f t="shared" si="14"/>
        <v>320.068462613802</v>
      </c>
      <c r="U55" s="454">
        <f t="shared" si="14"/>
        <v>296.0378341698789</v>
      </c>
      <c r="V55" s="454">
        <f t="shared" si="14"/>
        <v>273.86935774559566</v>
      </c>
      <c r="W55" s="454">
        <f t="shared" si="14"/>
        <v>253.29701162386075</v>
      </c>
      <c r="X55" s="454">
        <f t="shared" si="14"/>
        <v>234.32079580467428</v>
      </c>
      <c r="Y55" s="454">
        <f t="shared" si="14"/>
        <v>216.71902552379336</v>
      </c>
      <c r="Z55" s="454">
        <f t="shared" si="14"/>
        <v>200.49170078121801</v>
      </c>
      <c r="AA55" s="454">
        <f t="shared" si="14"/>
        <v>197.831483610304</v>
      </c>
      <c r="AB55" s="454">
        <f t="shared" si="14"/>
        <v>197.78714665745542</v>
      </c>
      <c r="AC55" s="454">
        <f t="shared" si="14"/>
        <v>197.831483610304</v>
      </c>
      <c r="AD55" s="454">
        <f t="shared" si="14"/>
        <v>197.78714665745542</v>
      </c>
      <c r="AE55" s="454">
        <f t="shared" si="14"/>
        <v>197.831483610304</v>
      </c>
      <c r="AF55" s="454">
        <f t="shared" si="14"/>
        <v>197.78714665745542</v>
      </c>
      <c r="AG55" s="454">
        <f t="shared" si="14"/>
        <v>197.831483610304</v>
      </c>
      <c r="AH55" s="454">
        <f t="shared" si="14"/>
        <v>197.78714665745542</v>
      </c>
      <c r="AI55" s="454">
        <f>$S$9*AI21</f>
        <v>890.1530023406704</v>
      </c>
      <c r="AJ55" s="454">
        <f>$S$9*AJ21</f>
        <v>0</v>
      </c>
      <c r="AK55" s="454">
        <f>$S$9*AK21</f>
        <v>0</v>
      </c>
      <c r="AL55" s="454">
        <f>$S$9*AL21</f>
        <v>0</v>
      </c>
      <c r="AM55" s="454">
        <f>$S$9*AM21</f>
        <v>0</v>
      </c>
      <c r="AN55" s="344"/>
      <c r="AO55" s="344"/>
      <c r="AP55" s="344"/>
    </row>
    <row r="56" spans="3:42" ht="12.75">
      <c r="C56" s="344"/>
      <c r="D56" s="344"/>
      <c r="E56" s="344"/>
      <c r="F56" s="344"/>
      <c r="G56" s="344"/>
      <c r="H56" s="344">
        <f t="shared" si="5"/>
        <v>2008</v>
      </c>
      <c r="I56" s="454">
        <f t="shared" si="3"/>
        <v>4566.706143402354</v>
      </c>
      <c r="J56" s="454"/>
      <c r="K56" s="454"/>
      <c r="L56" s="454"/>
      <c r="M56" s="454"/>
      <c r="N56" s="454"/>
      <c r="O56" s="454"/>
      <c r="P56" s="454"/>
      <c r="Q56" s="454"/>
      <c r="R56" s="454"/>
      <c r="S56" s="454"/>
      <c r="T56" s="454">
        <f aca="true" t="shared" si="15" ref="T56:AI56">$T$9*T22</f>
        <v>171.2514803775883</v>
      </c>
      <c r="U56" s="454">
        <f t="shared" si="15"/>
        <v>329.67051649221605</v>
      </c>
      <c r="V56" s="454">
        <f t="shared" si="15"/>
        <v>304.91896919497526</v>
      </c>
      <c r="W56" s="454">
        <f t="shared" si="15"/>
        <v>282.08543847796346</v>
      </c>
      <c r="X56" s="454">
        <f t="shared" si="15"/>
        <v>260.89592197257656</v>
      </c>
      <c r="Y56" s="454">
        <f t="shared" si="15"/>
        <v>241.3504196788145</v>
      </c>
      <c r="Z56" s="454">
        <f t="shared" si="15"/>
        <v>223.22059628950714</v>
      </c>
      <c r="AA56" s="454">
        <f t="shared" si="15"/>
        <v>206.50645180465452</v>
      </c>
      <c r="AB56" s="454">
        <f t="shared" si="15"/>
        <v>203.7664281186131</v>
      </c>
      <c r="AC56" s="454">
        <f t="shared" si="15"/>
        <v>203.72076105717906</v>
      </c>
      <c r="AD56" s="454">
        <f t="shared" si="15"/>
        <v>203.7664281186131</v>
      </c>
      <c r="AE56" s="454">
        <f t="shared" si="15"/>
        <v>203.72076105717906</v>
      </c>
      <c r="AF56" s="454">
        <f t="shared" si="15"/>
        <v>203.7664281186131</v>
      </c>
      <c r="AG56" s="454">
        <f t="shared" si="15"/>
        <v>203.72076105717906</v>
      </c>
      <c r="AH56" s="454">
        <f t="shared" si="15"/>
        <v>203.7664281186131</v>
      </c>
      <c r="AI56" s="454">
        <f t="shared" si="15"/>
        <v>1120.5783534680697</v>
      </c>
      <c r="AJ56" s="454">
        <f>$T$9*AJ22</f>
        <v>0</v>
      </c>
      <c r="AK56" s="454">
        <f>$T$9*AK22</f>
        <v>0</v>
      </c>
      <c r="AL56" s="454">
        <f>$T$9*AL22</f>
        <v>0</v>
      </c>
      <c r="AM56" s="454">
        <f>$T$9*AM22</f>
        <v>0</v>
      </c>
      <c r="AN56" s="344"/>
      <c r="AO56" s="344"/>
      <c r="AP56" s="344"/>
    </row>
    <row r="57" spans="3:42" ht="12.75">
      <c r="C57" s="344"/>
      <c r="D57" s="344"/>
      <c r="E57" s="344"/>
      <c r="F57" s="344"/>
      <c r="G57" s="344"/>
      <c r="H57" s="344">
        <f t="shared" si="5"/>
        <v>2009</v>
      </c>
      <c r="I57" s="454">
        <f t="shared" si="3"/>
        <v>4703.7073277044265</v>
      </c>
      <c r="J57" s="454"/>
      <c r="K57" s="454"/>
      <c r="L57" s="454"/>
      <c r="M57" s="454"/>
      <c r="N57" s="454"/>
      <c r="O57" s="454"/>
      <c r="P57" s="454"/>
      <c r="Q57" s="454"/>
      <c r="R57" s="454"/>
      <c r="S57" s="454"/>
      <c r="T57" s="454"/>
      <c r="U57" s="454">
        <f aca="true" t="shared" si="16" ref="U57:AJ57">$U$9*U23</f>
        <v>176.38902478891598</v>
      </c>
      <c r="V57" s="454">
        <f t="shared" si="16"/>
        <v>339.56063198698257</v>
      </c>
      <c r="W57" s="454">
        <f t="shared" si="16"/>
        <v>314.06653827082454</v>
      </c>
      <c r="X57" s="454">
        <f t="shared" si="16"/>
        <v>290.54800163230243</v>
      </c>
      <c r="Y57" s="454">
        <f t="shared" si="16"/>
        <v>268.7227996317539</v>
      </c>
      <c r="Z57" s="454">
        <f t="shared" si="16"/>
        <v>248.59093226917895</v>
      </c>
      <c r="AA57" s="454">
        <f t="shared" si="16"/>
        <v>229.91721417819235</v>
      </c>
      <c r="AB57" s="454">
        <f t="shared" si="16"/>
        <v>212.70164535879417</v>
      </c>
      <c r="AC57" s="454">
        <f t="shared" si="16"/>
        <v>209.8794209621715</v>
      </c>
      <c r="AD57" s="454">
        <f t="shared" si="16"/>
        <v>209.83238388889444</v>
      </c>
      <c r="AE57" s="454">
        <f t="shared" si="16"/>
        <v>209.8794209621715</v>
      </c>
      <c r="AF57" s="454">
        <f t="shared" si="16"/>
        <v>209.83238388889444</v>
      </c>
      <c r="AG57" s="454">
        <f t="shared" si="16"/>
        <v>209.8794209621715</v>
      </c>
      <c r="AH57" s="454">
        <f t="shared" si="16"/>
        <v>209.83238388889444</v>
      </c>
      <c r="AI57" s="454">
        <f t="shared" si="16"/>
        <v>1364.0751250342832</v>
      </c>
      <c r="AJ57" s="454">
        <f t="shared" si="16"/>
        <v>0</v>
      </c>
      <c r="AK57" s="454">
        <f>$U$9*AK23</f>
        <v>0</v>
      </c>
      <c r="AL57" s="454">
        <f>$U$9*AL23</f>
        <v>0</v>
      </c>
      <c r="AM57" s="454">
        <f>$U$9*AM23</f>
        <v>0</v>
      </c>
      <c r="AN57" s="344"/>
      <c r="AO57" s="344"/>
      <c r="AP57" s="344"/>
    </row>
    <row r="58" spans="3:42" ht="12.75">
      <c r="C58" s="344"/>
      <c r="D58" s="344"/>
      <c r="E58" s="344"/>
      <c r="F58" s="344"/>
      <c r="G58" s="344"/>
      <c r="H58" s="344">
        <f t="shared" si="5"/>
        <v>2010</v>
      </c>
      <c r="I58" s="454">
        <f t="shared" si="3"/>
        <v>4844.818547535559</v>
      </c>
      <c r="J58" s="454"/>
      <c r="K58" s="454"/>
      <c r="L58" s="454"/>
      <c r="M58" s="454"/>
      <c r="N58" s="454"/>
      <c r="O58" s="454"/>
      <c r="P58" s="454"/>
      <c r="Q58" s="454"/>
      <c r="R58" s="454"/>
      <c r="S58" s="454"/>
      <c r="T58" s="454"/>
      <c r="U58" s="454"/>
      <c r="V58" s="454">
        <f aca="true" t="shared" si="17" ref="V58:AK58">$V$9*V24</f>
        <v>181.68069553258348</v>
      </c>
      <c r="W58" s="454">
        <f t="shared" si="17"/>
        <v>349.74745094659204</v>
      </c>
      <c r="X58" s="454">
        <f t="shared" si="17"/>
        <v>323.48853441894926</v>
      </c>
      <c r="Y58" s="454">
        <f t="shared" si="17"/>
        <v>299.2644416812715</v>
      </c>
      <c r="Z58" s="454">
        <f t="shared" si="17"/>
        <v>276.7844836207065</v>
      </c>
      <c r="AA58" s="454">
        <f t="shared" si="17"/>
        <v>256.0486602372543</v>
      </c>
      <c r="AB58" s="454">
        <f t="shared" si="17"/>
        <v>236.81473060353815</v>
      </c>
      <c r="AC58" s="454">
        <f t="shared" si="17"/>
        <v>219.08269471955802</v>
      </c>
      <c r="AD58" s="454">
        <f t="shared" si="17"/>
        <v>216.17580359103667</v>
      </c>
      <c r="AE58" s="454">
        <f t="shared" si="17"/>
        <v>216.1273554055613</v>
      </c>
      <c r="AF58" s="454">
        <f t="shared" si="17"/>
        <v>216.17580359103667</v>
      </c>
      <c r="AG58" s="454">
        <f t="shared" si="17"/>
        <v>216.1273554055613</v>
      </c>
      <c r="AH58" s="454">
        <f t="shared" si="17"/>
        <v>216.17580359103667</v>
      </c>
      <c r="AI58" s="454">
        <f t="shared" si="17"/>
        <v>1621.1247341908734</v>
      </c>
      <c r="AJ58" s="454">
        <f t="shared" si="17"/>
        <v>0</v>
      </c>
      <c r="AK58" s="454">
        <f t="shared" si="17"/>
        <v>0</v>
      </c>
      <c r="AL58" s="454">
        <f>$V$9*AL24</f>
        <v>0</v>
      </c>
      <c r="AM58" s="454">
        <f>$V$9*AM24</f>
        <v>0</v>
      </c>
      <c r="AN58" s="344"/>
      <c r="AO58" s="344"/>
      <c r="AP58" s="344"/>
    </row>
    <row r="59" spans="3:42" ht="12.75">
      <c r="C59" s="344"/>
      <c r="D59" s="344"/>
      <c r="E59" s="344"/>
      <c r="F59" s="344"/>
      <c r="G59" s="344"/>
      <c r="H59" s="344">
        <f t="shared" si="5"/>
        <v>2011</v>
      </c>
      <c r="I59" s="454">
        <f t="shared" si="3"/>
        <v>4990.163103961625</v>
      </c>
      <c r="J59" s="454"/>
      <c r="K59" s="454"/>
      <c r="L59" s="454"/>
      <c r="M59" s="454"/>
      <c r="N59" s="454"/>
      <c r="O59" s="454"/>
      <c r="P59" s="454"/>
      <c r="Q59" s="454"/>
      <c r="R59" s="454"/>
      <c r="S59" s="454"/>
      <c r="T59" s="454"/>
      <c r="U59" s="454"/>
      <c r="V59" s="454"/>
      <c r="W59" s="454">
        <f aca="true" t="shared" si="18" ref="W59:AL59">$W$9*W25</f>
        <v>187.13111639856092</v>
      </c>
      <c r="X59" s="454">
        <f t="shared" si="18"/>
        <v>360.23987447498973</v>
      </c>
      <c r="Y59" s="454">
        <f t="shared" si="18"/>
        <v>333.1931904515177</v>
      </c>
      <c r="Z59" s="454">
        <f t="shared" si="18"/>
        <v>308.24237493170955</v>
      </c>
      <c r="AA59" s="454">
        <f t="shared" si="18"/>
        <v>285.0880181293276</v>
      </c>
      <c r="AB59" s="454">
        <f t="shared" si="18"/>
        <v>263.73012004437186</v>
      </c>
      <c r="AC59" s="454">
        <f t="shared" si="18"/>
        <v>243.91917252164424</v>
      </c>
      <c r="AD59" s="454">
        <f t="shared" si="18"/>
        <v>225.6551755611447</v>
      </c>
      <c r="AE59" s="454">
        <f t="shared" si="18"/>
        <v>222.6610776987677</v>
      </c>
      <c r="AF59" s="454">
        <f t="shared" si="18"/>
        <v>222.61117606772808</v>
      </c>
      <c r="AG59" s="454">
        <f t="shared" si="18"/>
        <v>222.6610776987677</v>
      </c>
      <c r="AH59" s="454">
        <f t="shared" si="18"/>
        <v>222.61117606772808</v>
      </c>
      <c r="AI59" s="454">
        <f t="shared" si="18"/>
        <v>1892.4195539153668</v>
      </c>
      <c r="AJ59" s="454">
        <f t="shared" si="18"/>
        <v>0</v>
      </c>
      <c r="AK59" s="454">
        <f t="shared" si="18"/>
        <v>0</v>
      </c>
      <c r="AL59" s="454">
        <f t="shared" si="18"/>
        <v>0</v>
      </c>
      <c r="AM59" s="454">
        <f>$W$9*AM25</f>
        <v>0</v>
      </c>
      <c r="AN59" s="344"/>
      <c r="AO59" s="344"/>
      <c r="AP59" s="344"/>
    </row>
    <row r="60" spans="3:42" ht="12.75">
      <c r="C60" s="344"/>
      <c r="D60" s="344"/>
      <c r="E60" s="344"/>
      <c r="F60" s="344"/>
      <c r="G60" s="344"/>
      <c r="H60" s="344">
        <f t="shared" si="5"/>
        <v>2012</v>
      </c>
      <c r="I60" s="454">
        <f t="shared" si="3"/>
        <v>5139.867997080473</v>
      </c>
      <c r="J60" s="454"/>
      <c r="K60" s="454"/>
      <c r="L60" s="454"/>
      <c r="M60" s="454"/>
      <c r="N60" s="454"/>
      <c r="O60" s="454"/>
      <c r="P60" s="454"/>
      <c r="Q60" s="454"/>
      <c r="R60" s="454"/>
      <c r="S60" s="454"/>
      <c r="T60" s="454"/>
      <c r="U60" s="454"/>
      <c r="V60" s="454"/>
      <c r="W60" s="454"/>
      <c r="X60" s="454">
        <f aca="true" t="shared" si="19" ref="X60:AM60">$X$9*X26</f>
        <v>192.74504989051775</v>
      </c>
      <c r="Y60" s="454">
        <f t="shared" si="19"/>
        <v>371.0470707092394</v>
      </c>
      <c r="Z60" s="454">
        <f t="shared" si="19"/>
        <v>343.18898616506317</v>
      </c>
      <c r="AA60" s="454">
        <f t="shared" si="19"/>
        <v>317.48964617966084</v>
      </c>
      <c r="AB60" s="454">
        <f t="shared" si="19"/>
        <v>293.64065867320744</v>
      </c>
      <c r="AC60" s="454">
        <f t="shared" si="19"/>
        <v>271.64202364570303</v>
      </c>
      <c r="AD60" s="454">
        <f t="shared" si="19"/>
        <v>251.23674769729354</v>
      </c>
      <c r="AE60" s="454">
        <f t="shared" si="19"/>
        <v>232.424830827979</v>
      </c>
      <c r="AF60" s="454">
        <f t="shared" si="19"/>
        <v>229.3409100297307</v>
      </c>
      <c r="AG60" s="454">
        <f t="shared" si="19"/>
        <v>229.2895113497599</v>
      </c>
      <c r="AH60" s="454">
        <f t="shared" si="19"/>
        <v>229.3409100297307</v>
      </c>
      <c r="AI60" s="454">
        <f t="shared" si="19"/>
        <v>2178.481651882588</v>
      </c>
      <c r="AJ60" s="454">
        <f t="shared" si="19"/>
        <v>0</v>
      </c>
      <c r="AK60" s="454">
        <f t="shared" si="19"/>
        <v>0</v>
      </c>
      <c r="AL60" s="454">
        <f t="shared" si="19"/>
        <v>0</v>
      </c>
      <c r="AM60" s="454">
        <f t="shared" si="19"/>
        <v>0</v>
      </c>
      <c r="AN60" s="344"/>
      <c r="AO60" s="344"/>
      <c r="AP60" s="344"/>
    </row>
    <row r="61" spans="3:42" ht="12.75">
      <c r="C61" s="344"/>
      <c r="D61" s="344"/>
      <c r="E61" s="344"/>
      <c r="F61" s="344"/>
      <c r="G61" s="344"/>
      <c r="H61" s="344">
        <f t="shared" si="5"/>
        <v>2013</v>
      </c>
      <c r="I61" s="454">
        <f t="shared" si="3"/>
        <v>5294.064036992888</v>
      </c>
      <c r="J61" s="454"/>
      <c r="K61" s="454"/>
      <c r="L61" s="454"/>
      <c r="M61" s="454"/>
      <c r="N61" s="454"/>
      <c r="O61" s="454"/>
      <c r="P61" s="454"/>
      <c r="Q61" s="454"/>
      <c r="R61" s="454"/>
      <c r="S61" s="454"/>
      <c r="T61" s="454"/>
      <c r="U61" s="454"/>
      <c r="V61" s="454"/>
      <c r="W61" s="454"/>
      <c r="X61" s="454"/>
      <c r="Y61" s="454">
        <f aca="true" t="shared" si="20" ref="Y61:AM61">$Y$9*Y27</f>
        <v>198.5274013872333</v>
      </c>
      <c r="Z61" s="454">
        <f t="shared" si="20"/>
        <v>382.17848283051666</v>
      </c>
      <c r="AA61" s="454">
        <f t="shared" si="20"/>
        <v>353.4846557500152</v>
      </c>
      <c r="AB61" s="454">
        <f t="shared" si="20"/>
        <v>327.0143355650507</v>
      </c>
      <c r="AC61" s="454">
        <f t="shared" si="20"/>
        <v>302.44987843340374</v>
      </c>
      <c r="AD61" s="454">
        <f t="shared" si="20"/>
        <v>279.7912843550742</v>
      </c>
      <c r="AE61" s="454">
        <f t="shared" si="20"/>
        <v>258.7738501282124</v>
      </c>
      <c r="AF61" s="454">
        <f t="shared" si="20"/>
        <v>239.39757575281845</v>
      </c>
      <c r="AG61" s="454">
        <f t="shared" si="20"/>
        <v>236.2211373306227</v>
      </c>
      <c r="AH61" s="454">
        <f t="shared" si="20"/>
        <v>236.16819669025276</v>
      </c>
      <c r="AI61" s="454">
        <f t="shared" si="20"/>
        <v>2480.0572387696884</v>
      </c>
      <c r="AJ61" s="454">
        <f t="shared" si="20"/>
        <v>0</v>
      </c>
      <c r="AK61" s="454">
        <f t="shared" si="20"/>
        <v>0</v>
      </c>
      <c r="AL61" s="454">
        <f t="shared" si="20"/>
        <v>0</v>
      </c>
      <c r="AM61" s="454">
        <f t="shared" si="20"/>
        <v>0</v>
      </c>
      <c r="AN61" s="344"/>
      <c r="AO61" s="344"/>
      <c r="AP61" s="344"/>
    </row>
    <row r="62" spans="3:42" ht="12.75">
      <c r="C62" s="344"/>
      <c r="D62" s="344"/>
      <c r="E62" s="344"/>
      <c r="F62" s="344"/>
      <c r="G62" s="344"/>
      <c r="H62" s="344">
        <f t="shared" si="5"/>
        <v>2014</v>
      </c>
      <c r="I62" s="454">
        <f t="shared" si="3"/>
        <v>5452.885958102675</v>
      </c>
      <c r="J62" s="454"/>
      <c r="K62" s="454"/>
      <c r="L62" s="454"/>
      <c r="M62" s="454"/>
      <c r="N62" s="454"/>
      <c r="O62" s="454"/>
      <c r="P62" s="454"/>
      <c r="Q62" s="454"/>
      <c r="R62" s="454"/>
      <c r="S62" s="454"/>
      <c r="T62" s="454"/>
      <c r="U62" s="454"/>
      <c r="V62" s="454"/>
      <c r="W62" s="454"/>
      <c r="X62" s="454"/>
      <c r="Y62" s="454"/>
      <c r="Z62" s="454">
        <f aca="true" t="shared" si="21" ref="Z62:AM62">$Z$9*Z28</f>
        <v>204.48322342885032</v>
      </c>
      <c r="AA62" s="454">
        <f t="shared" si="21"/>
        <v>393.64383731543217</v>
      </c>
      <c r="AB62" s="454">
        <f t="shared" si="21"/>
        <v>364.0891954225156</v>
      </c>
      <c r="AC62" s="454">
        <f t="shared" si="21"/>
        <v>336.82476563200225</v>
      </c>
      <c r="AD62" s="454">
        <f t="shared" si="21"/>
        <v>311.52337478640584</v>
      </c>
      <c r="AE62" s="454">
        <f t="shared" si="21"/>
        <v>288.1850228857264</v>
      </c>
      <c r="AF62" s="454">
        <f t="shared" si="21"/>
        <v>266.5370656320588</v>
      </c>
      <c r="AG62" s="454">
        <f t="shared" si="21"/>
        <v>246.579503025403</v>
      </c>
      <c r="AH62" s="454">
        <f t="shared" si="21"/>
        <v>243.30777145054137</v>
      </c>
      <c r="AI62" s="454">
        <f t="shared" si="21"/>
        <v>2797.71219852374</v>
      </c>
      <c r="AJ62" s="454">
        <f t="shared" si="21"/>
        <v>0</v>
      </c>
      <c r="AK62" s="454">
        <f t="shared" si="21"/>
        <v>0</v>
      </c>
      <c r="AL62" s="454">
        <f t="shared" si="21"/>
        <v>0</v>
      </c>
      <c r="AM62" s="454">
        <f t="shared" si="21"/>
        <v>0</v>
      </c>
      <c r="AN62" s="344"/>
      <c r="AO62" s="344"/>
      <c r="AP62" s="344"/>
    </row>
    <row r="63" spans="3:42" ht="12.75">
      <c r="C63" s="344"/>
      <c r="D63" s="344"/>
      <c r="E63" s="344"/>
      <c r="F63" s="344"/>
      <c r="G63" s="344"/>
      <c r="H63" s="344">
        <f t="shared" si="5"/>
        <v>2015</v>
      </c>
      <c r="I63" s="454">
        <f t="shared" si="3"/>
        <v>5616.472536845755</v>
      </c>
      <c r="J63" s="454"/>
      <c r="K63" s="454"/>
      <c r="L63" s="454"/>
      <c r="M63" s="454"/>
      <c r="N63" s="454"/>
      <c r="O63" s="454"/>
      <c r="P63" s="454"/>
      <c r="Q63" s="454"/>
      <c r="R63" s="454"/>
      <c r="S63" s="454"/>
      <c r="T63" s="454"/>
      <c r="U63" s="454"/>
      <c r="V63" s="454"/>
      <c r="W63" s="454"/>
      <c r="X63" s="454"/>
      <c r="Y63" s="454"/>
      <c r="Z63" s="454"/>
      <c r="AA63" s="454">
        <f aca="true" t="shared" si="22" ref="AA63:AM63">$AA$9*AA29</f>
        <v>210.6177201317158</v>
      </c>
      <c r="AB63" s="454">
        <f t="shared" si="22"/>
        <v>405.45315243489506</v>
      </c>
      <c r="AC63" s="454">
        <f t="shared" si="22"/>
        <v>375.01187128519103</v>
      </c>
      <c r="AD63" s="454">
        <f t="shared" si="22"/>
        <v>346.92950860096227</v>
      </c>
      <c r="AE63" s="454">
        <f t="shared" si="22"/>
        <v>320.869076029998</v>
      </c>
      <c r="AF63" s="454">
        <f t="shared" si="22"/>
        <v>296.83057357229814</v>
      </c>
      <c r="AG63" s="454">
        <f t="shared" si="22"/>
        <v>274.5331776010205</v>
      </c>
      <c r="AH63" s="454">
        <f t="shared" si="22"/>
        <v>253.97688811616504</v>
      </c>
      <c r="AI63" s="454">
        <f t="shared" si="22"/>
        <v>3132.2505690735093</v>
      </c>
      <c r="AJ63" s="454">
        <f t="shared" si="22"/>
        <v>0</v>
      </c>
      <c r="AK63" s="454">
        <f t="shared" si="22"/>
        <v>0</v>
      </c>
      <c r="AL63" s="454">
        <f t="shared" si="22"/>
        <v>0</v>
      </c>
      <c r="AM63" s="454">
        <f t="shared" si="22"/>
        <v>0</v>
      </c>
      <c r="AN63" s="344"/>
      <c r="AO63" s="344"/>
      <c r="AP63" s="344"/>
    </row>
    <row r="64" spans="3:42" ht="12.75">
      <c r="C64" s="344"/>
      <c r="D64" s="344"/>
      <c r="E64" s="344"/>
      <c r="F64" s="344"/>
      <c r="G64" s="344"/>
      <c r="H64" s="344">
        <f t="shared" si="5"/>
        <v>2016</v>
      </c>
      <c r="I64" s="454">
        <f t="shared" si="3"/>
        <v>5784.966712951127</v>
      </c>
      <c r="J64" s="454"/>
      <c r="K64" s="454"/>
      <c r="L64" s="454"/>
      <c r="M64" s="454"/>
      <c r="N64" s="454"/>
      <c r="O64" s="454"/>
      <c r="P64" s="454"/>
      <c r="Q64" s="454"/>
      <c r="R64" s="454"/>
      <c r="S64" s="454"/>
      <c r="T64" s="454"/>
      <c r="U64" s="454"/>
      <c r="V64" s="454"/>
      <c r="W64" s="454"/>
      <c r="X64" s="454"/>
      <c r="Y64" s="454"/>
      <c r="Z64" s="454"/>
      <c r="AA64" s="454"/>
      <c r="AB64" s="454">
        <f aca="true" t="shared" si="23" ref="AB64:AM64">$AB$9*AB30</f>
        <v>216.93625173566727</v>
      </c>
      <c r="AC64" s="454">
        <f t="shared" si="23"/>
        <v>417.6167470079419</v>
      </c>
      <c r="AD64" s="454">
        <f t="shared" si="23"/>
        <v>386.26222742374676</v>
      </c>
      <c r="AE64" s="454">
        <f t="shared" si="23"/>
        <v>357.3373938589911</v>
      </c>
      <c r="AF64" s="454">
        <f t="shared" si="23"/>
        <v>330.4951483108979</v>
      </c>
      <c r="AG64" s="454">
        <f t="shared" si="23"/>
        <v>305.73549077946706</v>
      </c>
      <c r="AH64" s="454">
        <f t="shared" si="23"/>
        <v>282.7691729290511</v>
      </c>
      <c r="AI64" s="454">
        <f t="shared" si="23"/>
        <v>3487.8142809053643</v>
      </c>
      <c r="AJ64" s="454">
        <f t="shared" si="23"/>
        <v>0</v>
      </c>
      <c r="AK64" s="454">
        <f t="shared" si="23"/>
        <v>0</v>
      </c>
      <c r="AL64" s="454">
        <f t="shared" si="23"/>
        <v>0</v>
      </c>
      <c r="AM64" s="454">
        <f t="shared" si="23"/>
        <v>0</v>
      </c>
      <c r="AN64" s="344"/>
      <c r="AO64" s="344"/>
      <c r="AP64" s="344"/>
    </row>
    <row r="65" spans="3:42" ht="12.75">
      <c r="C65" s="344"/>
      <c r="D65" s="344"/>
      <c r="E65" s="344"/>
      <c r="F65" s="344"/>
      <c r="G65" s="344"/>
      <c r="H65" s="344">
        <f t="shared" si="5"/>
        <v>2017</v>
      </c>
      <c r="I65" s="454">
        <f t="shared" si="3"/>
        <v>5958.515714339661</v>
      </c>
      <c r="J65" s="454"/>
      <c r="K65" s="454"/>
      <c r="L65" s="454"/>
      <c r="M65" s="454"/>
      <c r="N65" s="454"/>
      <c r="O65" s="454"/>
      <c r="P65" s="454"/>
      <c r="Q65" s="454"/>
      <c r="R65" s="454"/>
      <c r="S65" s="454"/>
      <c r="T65" s="454"/>
      <c r="U65" s="454"/>
      <c r="V65" s="454"/>
      <c r="W65" s="454"/>
      <c r="X65" s="454"/>
      <c r="Y65" s="454"/>
      <c r="Z65" s="454"/>
      <c r="AA65" s="454"/>
      <c r="AB65" s="454"/>
      <c r="AC65" s="454">
        <f aca="true" t="shared" si="24" ref="AC65:AM65">$AC$9*AC31</f>
        <v>223.44433928773728</v>
      </c>
      <c r="AD65" s="454">
        <f t="shared" si="24"/>
        <v>430.14524941818013</v>
      </c>
      <c r="AE65" s="454">
        <f t="shared" si="24"/>
        <v>397.85009424645915</v>
      </c>
      <c r="AF65" s="454">
        <f t="shared" si="24"/>
        <v>368.05751567476085</v>
      </c>
      <c r="AG65" s="454">
        <f t="shared" si="24"/>
        <v>340.4100027602248</v>
      </c>
      <c r="AH65" s="454">
        <f t="shared" si="24"/>
        <v>314.9075555028511</v>
      </c>
      <c r="AI65" s="454">
        <f t="shared" si="24"/>
        <v>3883.7009574494473</v>
      </c>
      <c r="AJ65" s="454">
        <f t="shared" si="24"/>
        <v>0</v>
      </c>
      <c r="AK65" s="454">
        <f t="shared" si="24"/>
        <v>0</v>
      </c>
      <c r="AL65" s="454">
        <f t="shared" si="24"/>
        <v>0</v>
      </c>
      <c r="AM65" s="454">
        <f t="shared" si="24"/>
        <v>0</v>
      </c>
      <c r="AN65" s="344"/>
      <c r="AO65" s="344"/>
      <c r="AP65" s="344"/>
    </row>
    <row r="66" spans="3:42" ht="12.75">
      <c r="C66" s="344"/>
      <c r="D66" s="344"/>
      <c r="E66" s="344"/>
      <c r="F66" s="344"/>
      <c r="G66" s="344"/>
      <c r="H66" s="344">
        <f t="shared" si="5"/>
        <v>2018</v>
      </c>
      <c r="I66" s="454">
        <f t="shared" si="3"/>
        <v>6137.2711857698505</v>
      </c>
      <c r="J66" s="454"/>
      <c r="K66" s="454"/>
      <c r="L66" s="454"/>
      <c r="M66" s="454"/>
      <c r="N66" s="454"/>
      <c r="O66" s="454"/>
      <c r="P66" s="454"/>
      <c r="Q66" s="454"/>
      <c r="R66" s="454"/>
      <c r="S66" s="454"/>
      <c r="T66" s="454"/>
      <c r="U66" s="454"/>
      <c r="V66" s="454"/>
      <c r="W66" s="454"/>
      <c r="X66" s="454"/>
      <c r="Y66" s="454"/>
      <c r="Z66" s="454"/>
      <c r="AA66" s="454"/>
      <c r="AB66" s="454"/>
      <c r="AC66" s="454"/>
      <c r="AD66" s="454">
        <f aca="true" t="shared" si="25" ref="AD66:AM66">$AD$9*AD32</f>
        <v>230.14766946636942</v>
      </c>
      <c r="AE66" s="454">
        <f t="shared" si="25"/>
        <v>443.0496069007256</v>
      </c>
      <c r="AF66" s="454">
        <f t="shared" si="25"/>
        <v>409.78559707385295</v>
      </c>
      <c r="AG66" s="454">
        <f t="shared" si="25"/>
        <v>379.0992411450037</v>
      </c>
      <c r="AH66" s="454">
        <f t="shared" si="25"/>
        <v>350.6223028430316</v>
      </c>
      <c r="AI66" s="454">
        <f t="shared" si="25"/>
        <v>4324.566768340867</v>
      </c>
      <c r="AJ66" s="454">
        <f t="shared" si="25"/>
        <v>0</v>
      </c>
      <c r="AK66" s="454">
        <f t="shared" si="25"/>
        <v>0</v>
      </c>
      <c r="AL66" s="454">
        <f t="shared" si="25"/>
        <v>0</v>
      </c>
      <c r="AM66" s="454">
        <f t="shared" si="25"/>
        <v>0</v>
      </c>
      <c r="AN66" s="344"/>
      <c r="AO66" s="344"/>
      <c r="AP66" s="344"/>
    </row>
    <row r="67" spans="3:42" ht="12.75">
      <c r="C67" s="344"/>
      <c r="D67" s="344"/>
      <c r="E67" s="344"/>
      <c r="F67" s="344"/>
      <c r="G67" s="344"/>
      <c r="H67" s="344">
        <f t="shared" si="5"/>
        <v>2019</v>
      </c>
      <c r="I67" s="454">
        <f t="shared" si="3"/>
        <v>6321.3893213429465</v>
      </c>
      <c r="J67" s="454"/>
      <c r="K67" s="454"/>
      <c r="L67" s="454"/>
      <c r="M67" s="454"/>
      <c r="N67" s="454"/>
      <c r="O67" s="454"/>
      <c r="P67" s="454"/>
      <c r="Q67" s="454"/>
      <c r="R67" s="454"/>
      <c r="S67" s="454"/>
      <c r="T67" s="454"/>
      <c r="U67" s="454"/>
      <c r="V67" s="454"/>
      <c r="W67" s="454"/>
      <c r="X67" s="454"/>
      <c r="Y67" s="454"/>
      <c r="Z67" s="454"/>
      <c r="AA67" s="454"/>
      <c r="AB67" s="454"/>
      <c r="AC67" s="454"/>
      <c r="AD67" s="454"/>
      <c r="AE67" s="454">
        <f aca="true" t="shared" si="26" ref="AE67:AM67">$AE$9*AE33</f>
        <v>237.05209955036048</v>
      </c>
      <c r="AF67" s="454">
        <f t="shared" si="26"/>
        <v>456.3410951077473</v>
      </c>
      <c r="AG67" s="454">
        <f t="shared" si="26"/>
        <v>422.0791649860685</v>
      </c>
      <c r="AH67" s="454">
        <f t="shared" si="26"/>
        <v>390.4722183793538</v>
      </c>
      <c r="AI67" s="454">
        <f t="shared" si="26"/>
        <v>4815.444743319416</v>
      </c>
      <c r="AJ67" s="454">
        <f t="shared" si="26"/>
        <v>0</v>
      </c>
      <c r="AK67" s="454">
        <f t="shared" si="26"/>
        <v>0</v>
      </c>
      <c r="AL67" s="454">
        <f t="shared" si="26"/>
        <v>0</v>
      </c>
      <c r="AM67" s="454">
        <f t="shared" si="26"/>
        <v>0</v>
      </c>
      <c r="AN67" s="344"/>
      <c r="AO67" s="344"/>
      <c r="AP67" s="344"/>
    </row>
    <row r="68" spans="3:42" ht="12.75">
      <c r="C68" s="344"/>
      <c r="D68" s="344"/>
      <c r="E68" s="344"/>
      <c r="F68" s="344"/>
      <c r="G68" s="344"/>
      <c r="H68" s="344">
        <f t="shared" si="5"/>
        <v>2020</v>
      </c>
      <c r="I68" s="454">
        <f t="shared" si="3"/>
        <v>4883.273250737426</v>
      </c>
      <c r="J68" s="454"/>
      <c r="K68" s="454"/>
      <c r="L68" s="454"/>
      <c r="M68" s="454"/>
      <c r="N68" s="454"/>
      <c r="O68" s="454"/>
      <c r="P68" s="454"/>
      <c r="Q68" s="454"/>
      <c r="R68" s="454"/>
      <c r="S68" s="454"/>
      <c r="T68" s="454"/>
      <c r="U68" s="454"/>
      <c r="V68" s="454"/>
      <c r="W68" s="454"/>
      <c r="X68" s="454"/>
      <c r="Y68" s="454"/>
      <c r="Z68" s="454"/>
      <c r="AA68" s="454"/>
      <c r="AB68" s="454"/>
      <c r="AC68" s="454"/>
      <c r="AD68" s="454"/>
      <c r="AE68" s="454"/>
      <c r="AF68" s="454">
        <f aca="true" t="shared" si="27" ref="AF68:AM68">$AF$9*AF34</f>
        <v>183.12274690265346</v>
      </c>
      <c r="AG68" s="454">
        <f t="shared" si="27"/>
        <v>352.5234959707348</v>
      </c>
      <c r="AH68" s="454">
        <f t="shared" si="27"/>
        <v>326.0561549517379</v>
      </c>
      <c r="AI68" s="454">
        <f t="shared" si="27"/>
        <v>4021.5708529122994</v>
      </c>
      <c r="AJ68" s="454">
        <f t="shared" si="27"/>
        <v>0</v>
      </c>
      <c r="AK68" s="454">
        <f t="shared" si="27"/>
        <v>0</v>
      </c>
      <c r="AL68" s="454">
        <f t="shared" si="27"/>
        <v>0</v>
      </c>
      <c r="AM68" s="454">
        <f t="shared" si="27"/>
        <v>0</v>
      </c>
      <c r="AN68" s="344"/>
      <c r="AO68" s="344"/>
      <c r="AP68" s="344"/>
    </row>
    <row r="69" spans="3:42" ht="12.75">
      <c r="C69" s="344"/>
      <c r="D69" s="344"/>
      <c r="E69" s="344"/>
      <c r="F69" s="344"/>
      <c r="G69" s="344"/>
      <c r="H69" s="344">
        <f t="shared" si="5"/>
        <v>2021</v>
      </c>
      <c r="I69" s="454">
        <f t="shared" si="3"/>
        <v>2514.8857241297737</v>
      </c>
      <c r="J69" s="454"/>
      <c r="K69" s="454"/>
      <c r="L69" s="454"/>
      <c r="M69" s="454"/>
      <c r="N69" s="454"/>
      <c r="O69" s="454"/>
      <c r="P69" s="454"/>
      <c r="Q69" s="454"/>
      <c r="R69" s="454"/>
      <c r="S69" s="454"/>
      <c r="T69" s="454"/>
      <c r="U69" s="454"/>
      <c r="V69" s="454"/>
      <c r="W69" s="454"/>
      <c r="X69" s="454"/>
      <c r="Y69" s="454"/>
      <c r="Z69" s="454"/>
      <c r="AA69" s="454"/>
      <c r="AB69" s="454"/>
      <c r="AC69" s="454"/>
      <c r="AD69" s="454"/>
      <c r="AE69" s="454"/>
      <c r="AF69" s="454"/>
      <c r="AG69" s="454">
        <f aca="true" t="shared" si="28" ref="AG69:AM69">$AG$9*AG35</f>
        <v>94.30821465486653</v>
      </c>
      <c r="AH69" s="454">
        <f t="shared" si="28"/>
        <v>181.5496004249284</v>
      </c>
      <c r="AI69" s="454">
        <f t="shared" si="28"/>
        <v>2239.027909049979</v>
      </c>
      <c r="AJ69" s="454">
        <f t="shared" si="28"/>
        <v>0</v>
      </c>
      <c r="AK69" s="454">
        <f t="shared" si="28"/>
        <v>0</v>
      </c>
      <c r="AL69" s="454">
        <f t="shared" si="28"/>
        <v>0</v>
      </c>
      <c r="AM69" s="454">
        <f t="shared" si="28"/>
        <v>0</v>
      </c>
      <c r="AN69" s="344"/>
      <c r="AO69" s="344"/>
      <c r="AP69" s="344"/>
    </row>
    <row r="70" spans="3:42" ht="12.75">
      <c r="C70" s="344"/>
      <c r="D70" s="344"/>
      <c r="E70" s="344"/>
      <c r="F70" s="344"/>
      <c r="G70" s="344"/>
      <c r="H70" s="344">
        <f t="shared" si="5"/>
        <v>2022</v>
      </c>
      <c r="I70" s="454">
        <f t="shared" si="3"/>
        <v>647.5830739634168</v>
      </c>
      <c r="J70" s="454"/>
      <c r="K70" s="454"/>
      <c r="L70" s="454"/>
      <c r="M70" s="454"/>
      <c r="N70" s="454"/>
      <c r="O70" s="454"/>
      <c r="P70" s="454"/>
      <c r="Q70" s="454"/>
      <c r="R70" s="454"/>
      <c r="S70" s="454"/>
      <c r="T70" s="454"/>
      <c r="U70" s="454"/>
      <c r="V70" s="454"/>
      <c r="W70" s="454"/>
      <c r="X70" s="454"/>
      <c r="Y70" s="454"/>
      <c r="Z70" s="454"/>
      <c r="AA70" s="454"/>
      <c r="AB70" s="454"/>
      <c r="AC70" s="454"/>
      <c r="AD70" s="454"/>
      <c r="AE70" s="454"/>
      <c r="AF70" s="454"/>
      <c r="AG70" s="454"/>
      <c r="AH70" s="454">
        <f aca="true" t="shared" si="29" ref="AH70:AM70">$AH$9*AH36</f>
        <v>24.28436527362813</v>
      </c>
      <c r="AI70" s="454">
        <f t="shared" si="29"/>
        <v>623.2987086897887</v>
      </c>
      <c r="AJ70" s="454">
        <f t="shared" si="29"/>
        <v>0</v>
      </c>
      <c r="AK70" s="454">
        <f t="shared" si="29"/>
        <v>0</v>
      </c>
      <c r="AL70" s="454">
        <f t="shared" si="29"/>
        <v>0</v>
      </c>
      <c r="AM70" s="454">
        <f t="shared" si="29"/>
        <v>0</v>
      </c>
      <c r="AN70" s="344"/>
      <c r="AO70" s="344"/>
      <c r="AP70" s="344"/>
    </row>
    <row r="71" spans="3:42" ht="12.75">
      <c r="C71" s="344"/>
      <c r="D71" s="344"/>
      <c r="E71" s="344"/>
      <c r="F71" s="344"/>
      <c r="G71" s="344"/>
      <c r="H71" s="344">
        <f t="shared" si="5"/>
        <v>2023</v>
      </c>
      <c r="I71" s="454">
        <f t="shared" si="3"/>
        <v>66.70105661823195</v>
      </c>
      <c r="J71" s="454"/>
      <c r="K71" s="454"/>
      <c r="L71" s="454"/>
      <c r="M71" s="454"/>
      <c r="N71" s="454"/>
      <c r="O71" s="454"/>
      <c r="P71" s="454"/>
      <c r="Q71" s="454"/>
      <c r="R71" s="454"/>
      <c r="S71" s="454"/>
      <c r="T71" s="454"/>
      <c r="U71" s="454"/>
      <c r="V71" s="454"/>
      <c r="W71" s="454"/>
      <c r="X71" s="454"/>
      <c r="Y71" s="454"/>
      <c r="Z71" s="454"/>
      <c r="AA71" s="454"/>
      <c r="AB71" s="454"/>
      <c r="AC71" s="454"/>
      <c r="AD71" s="454"/>
      <c r="AE71" s="454"/>
      <c r="AF71" s="454"/>
      <c r="AG71" s="454"/>
      <c r="AH71" s="454"/>
      <c r="AI71" s="454">
        <f>$AI$9*AI37</f>
        <v>66.70105661823195</v>
      </c>
      <c r="AJ71" s="454">
        <f>$AI$9*AJ37</f>
        <v>0</v>
      </c>
      <c r="AK71" s="454">
        <f>$AI$9*AK37</f>
        <v>0</v>
      </c>
      <c r="AL71" s="454">
        <f>$AI$9*AL37</f>
        <v>0</v>
      </c>
      <c r="AM71" s="454">
        <f>$AI$9*AM37</f>
        <v>0</v>
      </c>
      <c r="AN71" s="344"/>
      <c r="AO71" s="344"/>
      <c r="AP71" s="344"/>
    </row>
    <row r="72" spans="3:42" ht="12.75">
      <c r="C72" s="344"/>
      <c r="D72" s="344"/>
      <c r="E72" s="344"/>
      <c r="F72" s="344"/>
      <c r="G72" s="344"/>
      <c r="H72" s="344">
        <f t="shared" si="5"/>
        <v>2024</v>
      </c>
      <c r="I72" s="454">
        <f t="shared" si="3"/>
        <v>0</v>
      </c>
      <c r="J72" s="454"/>
      <c r="K72" s="454"/>
      <c r="L72" s="454"/>
      <c r="M72" s="454"/>
      <c r="N72" s="454"/>
      <c r="O72" s="454"/>
      <c r="P72" s="454"/>
      <c r="Q72" s="454"/>
      <c r="R72" s="454"/>
      <c r="S72" s="454"/>
      <c r="T72" s="454"/>
      <c r="U72" s="454"/>
      <c r="V72" s="454"/>
      <c r="W72" s="454"/>
      <c r="X72" s="454"/>
      <c r="Y72" s="454"/>
      <c r="Z72" s="454"/>
      <c r="AA72" s="454"/>
      <c r="AB72" s="454"/>
      <c r="AC72" s="454"/>
      <c r="AD72" s="454"/>
      <c r="AE72" s="454"/>
      <c r="AF72" s="454"/>
      <c r="AG72" s="454"/>
      <c r="AH72" s="454"/>
      <c r="AI72" s="454"/>
      <c r="AJ72" s="454">
        <f>$AJ$9*AJ38</f>
        <v>0</v>
      </c>
      <c r="AK72" s="454">
        <f>$AJ$9*AK38</f>
        <v>0</v>
      </c>
      <c r="AL72" s="454">
        <f>$AJ$9*AL38</f>
        <v>0</v>
      </c>
      <c r="AM72" s="454">
        <f>$AJ$9*AM38</f>
        <v>0</v>
      </c>
      <c r="AN72" s="344"/>
      <c r="AO72" s="344"/>
      <c r="AP72" s="344"/>
    </row>
    <row r="73" spans="3:42" ht="12.75">
      <c r="C73" s="344"/>
      <c r="D73" s="344"/>
      <c r="E73" s="344"/>
      <c r="F73" s="344"/>
      <c r="G73" s="344"/>
      <c r="H73" s="344">
        <f t="shared" si="5"/>
        <v>2025</v>
      </c>
      <c r="I73" s="454">
        <f t="shared" si="3"/>
        <v>0</v>
      </c>
      <c r="J73" s="454"/>
      <c r="K73" s="454"/>
      <c r="L73" s="454"/>
      <c r="M73" s="454"/>
      <c r="N73" s="454"/>
      <c r="O73" s="454"/>
      <c r="P73" s="454"/>
      <c r="Q73" s="454"/>
      <c r="R73" s="454"/>
      <c r="S73" s="454"/>
      <c r="T73" s="454"/>
      <c r="U73" s="454"/>
      <c r="V73" s="454"/>
      <c r="W73" s="454"/>
      <c r="X73" s="454"/>
      <c r="Y73" s="454"/>
      <c r="Z73" s="454"/>
      <c r="AA73" s="454"/>
      <c r="AB73" s="454"/>
      <c r="AC73" s="454"/>
      <c r="AD73" s="454"/>
      <c r="AE73" s="454"/>
      <c r="AF73" s="454"/>
      <c r="AG73" s="454"/>
      <c r="AH73" s="454"/>
      <c r="AI73" s="454"/>
      <c r="AJ73" s="454"/>
      <c r="AK73" s="454">
        <f>$AK$9*AK39</f>
        <v>0</v>
      </c>
      <c r="AL73" s="454">
        <f>$AK$9*AL39</f>
        <v>0</v>
      </c>
      <c r="AM73" s="454">
        <f>$AK$9*AM39</f>
        <v>0</v>
      </c>
      <c r="AN73" s="344"/>
      <c r="AO73" s="344"/>
      <c r="AP73" s="344"/>
    </row>
    <row r="74" spans="3:42" ht="12.75">
      <c r="C74" s="344"/>
      <c r="D74" s="344"/>
      <c r="E74" s="344"/>
      <c r="F74" s="344"/>
      <c r="G74" s="344"/>
      <c r="H74" s="344">
        <f t="shared" si="5"/>
        <v>2026</v>
      </c>
      <c r="I74" s="454">
        <f t="shared" si="3"/>
        <v>0</v>
      </c>
      <c r="J74" s="344"/>
      <c r="K74" s="344"/>
      <c r="L74" s="344"/>
      <c r="M74" s="344"/>
      <c r="N74" s="344"/>
      <c r="O74" s="344"/>
      <c r="P74" s="344"/>
      <c r="Q74" s="344"/>
      <c r="R74" s="344"/>
      <c r="S74" s="344"/>
      <c r="T74" s="344"/>
      <c r="U74" s="344"/>
      <c r="V74" s="344"/>
      <c r="W74" s="344"/>
      <c r="X74" s="344"/>
      <c r="Y74" s="344"/>
      <c r="Z74" s="344"/>
      <c r="AA74" s="344"/>
      <c r="AB74" s="344"/>
      <c r="AC74" s="344"/>
      <c r="AD74" s="344"/>
      <c r="AE74" s="344"/>
      <c r="AF74" s="344"/>
      <c r="AG74" s="344"/>
      <c r="AH74" s="344"/>
      <c r="AI74" s="344"/>
      <c r="AJ74" s="344"/>
      <c r="AK74" s="344"/>
      <c r="AL74" s="454">
        <f>$AL$9*AL40</f>
        <v>0</v>
      </c>
      <c r="AM74" s="454">
        <f>$AL$9*AM40</f>
        <v>0</v>
      </c>
      <c r="AN74" s="344"/>
      <c r="AO74" s="344"/>
      <c r="AP74" s="344"/>
    </row>
    <row r="75" spans="3:42" ht="12.75">
      <c r="C75" s="344"/>
      <c r="D75" s="344"/>
      <c r="E75" s="344"/>
      <c r="F75" s="344"/>
      <c r="G75" s="344"/>
      <c r="H75" s="344">
        <f t="shared" si="5"/>
        <v>2027</v>
      </c>
      <c r="I75" s="454">
        <f t="shared" si="3"/>
        <v>0</v>
      </c>
      <c r="J75" s="344"/>
      <c r="K75" s="344"/>
      <c r="L75" s="344"/>
      <c r="M75" s="344"/>
      <c r="N75" s="344"/>
      <c r="O75" s="344"/>
      <c r="P75" s="344"/>
      <c r="Q75" s="344"/>
      <c r="R75" s="344"/>
      <c r="S75" s="344"/>
      <c r="T75" s="344"/>
      <c r="U75" s="344"/>
      <c r="V75" s="344"/>
      <c r="W75" s="344"/>
      <c r="X75" s="344"/>
      <c r="Y75" s="344"/>
      <c r="Z75" s="344"/>
      <c r="AA75" s="344"/>
      <c r="AB75" s="344"/>
      <c r="AC75" s="344"/>
      <c r="AD75" s="344"/>
      <c r="AE75" s="344"/>
      <c r="AF75" s="344"/>
      <c r="AG75" s="344"/>
      <c r="AH75" s="344"/>
      <c r="AI75" s="344"/>
      <c r="AJ75" s="344"/>
      <c r="AK75" s="344"/>
      <c r="AL75" s="344"/>
      <c r="AM75" s="454">
        <f>$AM$9*AM41</f>
        <v>0</v>
      </c>
      <c r="AN75" s="344"/>
      <c r="AO75" s="344"/>
      <c r="AP75" s="344"/>
    </row>
    <row r="76" spans="3:42" ht="12.75">
      <c r="C76" s="344"/>
      <c r="D76" s="344"/>
      <c r="E76" s="344"/>
      <c r="F76" s="344"/>
      <c r="G76" s="344"/>
      <c r="H76" s="344">
        <f t="shared" si="5"/>
        <v>2028</v>
      </c>
      <c r="I76" s="454">
        <f t="shared" si="3"/>
        <v>0</v>
      </c>
      <c r="J76" s="344"/>
      <c r="K76" s="344"/>
      <c r="L76" s="344"/>
      <c r="M76" s="344"/>
      <c r="N76" s="344"/>
      <c r="O76" s="344"/>
      <c r="P76" s="344"/>
      <c r="Q76" s="344"/>
      <c r="R76" s="344"/>
      <c r="S76" s="344"/>
      <c r="T76" s="344"/>
      <c r="U76" s="344"/>
      <c r="V76" s="344"/>
      <c r="W76" s="344"/>
      <c r="X76" s="344"/>
      <c r="Y76" s="344"/>
      <c r="Z76" s="344"/>
      <c r="AA76" s="344"/>
      <c r="AB76" s="344"/>
      <c r="AC76" s="344"/>
      <c r="AD76" s="344"/>
      <c r="AE76" s="344"/>
      <c r="AF76" s="344"/>
      <c r="AG76" s="344"/>
      <c r="AH76" s="344"/>
      <c r="AI76" s="344"/>
      <c r="AJ76" s="344"/>
      <c r="AK76" s="344"/>
      <c r="AL76" s="344"/>
      <c r="AM76" s="454"/>
      <c r="AN76" s="454">
        <f>AN9*AN42</f>
        <v>0</v>
      </c>
      <c r="AO76" s="344"/>
      <c r="AP76" s="344"/>
    </row>
    <row r="77" spans="3:42" ht="12.75">
      <c r="C77" s="344"/>
      <c r="D77" s="344"/>
      <c r="E77" s="344"/>
      <c r="F77" s="344"/>
      <c r="G77" s="344"/>
      <c r="H77" s="344">
        <f t="shared" si="5"/>
        <v>2029</v>
      </c>
      <c r="I77" s="454">
        <f t="shared" si="3"/>
        <v>0</v>
      </c>
      <c r="J77" s="344"/>
      <c r="K77" s="344"/>
      <c r="L77" s="344"/>
      <c r="M77" s="344"/>
      <c r="N77" s="344"/>
      <c r="O77" s="344"/>
      <c r="P77" s="344"/>
      <c r="Q77" s="344"/>
      <c r="R77" s="344"/>
      <c r="S77" s="344"/>
      <c r="T77" s="344"/>
      <c r="U77" s="344"/>
      <c r="V77" s="344"/>
      <c r="W77" s="344"/>
      <c r="X77" s="344"/>
      <c r="Y77" s="344"/>
      <c r="Z77" s="344"/>
      <c r="AA77" s="344"/>
      <c r="AB77" s="344"/>
      <c r="AC77" s="344"/>
      <c r="AD77" s="344"/>
      <c r="AE77" s="344"/>
      <c r="AF77" s="344"/>
      <c r="AG77" s="344"/>
      <c r="AH77" s="344"/>
      <c r="AI77" s="344"/>
      <c r="AJ77" s="344"/>
      <c r="AK77" s="344"/>
      <c r="AL77" s="344"/>
      <c r="AM77" s="454"/>
      <c r="AN77" s="344"/>
      <c r="AO77" s="454">
        <f>AO9*AO43</f>
        <v>0</v>
      </c>
      <c r="AP77" s="344"/>
    </row>
    <row r="78" spans="3:42" ht="12.75">
      <c r="C78" s="344"/>
      <c r="D78" s="344"/>
      <c r="E78" s="344"/>
      <c r="F78" s="344"/>
      <c r="G78" s="344"/>
      <c r="H78" s="344"/>
      <c r="I78" s="344"/>
      <c r="J78" s="344"/>
      <c r="K78" s="344"/>
      <c r="L78" s="344"/>
      <c r="M78" s="344"/>
      <c r="N78" s="344"/>
      <c r="O78" s="344"/>
      <c r="P78" s="344"/>
      <c r="Q78" s="344"/>
      <c r="R78" s="344"/>
      <c r="S78" s="344"/>
      <c r="T78" s="344"/>
      <c r="U78" s="344"/>
      <c r="V78" s="344"/>
      <c r="W78" s="344"/>
      <c r="X78" s="344"/>
      <c r="Y78" s="344"/>
      <c r="Z78" s="344"/>
      <c r="AA78" s="344"/>
      <c r="AB78" s="344"/>
      <c r="AC78" s="344"/>
      <c r="AD78" s="344"/>
      <c r="AE78" s="344"/>
      <c r="AF78" s="344"/>
      <c r="AG78" s="344"/>
      <c r="AH78" s="344"/>
      <c r="AI78" s="344"/>
      <c r="AJ78" s="344"/>
      <c r="AK78" s="344"/>
      <c r="AL78" s="344"/>
      <c r="AM78" s="344"/>
      <c r="AN78" s="344"/>
      <c r="AO78" s="344"/>
      <c r="AP78" s="344"/>
    </row>
    <row r="79" spans="3:42" ht="13.5" thickBot="1">
      <c r="C79" s="344"/>
      <c r="D79" s="344"/>
      <c r="E79" s="344"/>
      <c r="F79" s="344"/>
      <c r="G79" s="344"/>
      <c r="H79" s="445" t="s">
        <v>461</v>
      </c>
      <c r="I79" s="455">
        <f>SUM(I46:I78)</f>
        <v>328892.1518931056</v>
      </c>
      <c r="J79" s="455">
        <f>SUM(J46:J78)</f>
        <v>0</v>
      </c>
      <c r="K79" s="455">
        <f aca="true" t="shared" si="30" ref="K79:AO79">SUM(K46:K78)</f>
        <v>282.1224375</v>
      </c>
      <c r="L79" s="455">
        <f t="shared" si="30"/>
        <v>609.9257503499999</v>
      </c>
      <c r="M79" s="455">
        <f t="shared" si="30"/>
        <v>6193.376636450077</v>
      </c>
      <c r="N79" s="455">
        <f t="shared" si="30"/>
        <v>14155.985493072163</v>
      </c>
      <c r="O79" s="455">
        <f t="shared" si="30"/>
        <v>16144.50174033212</v>
      </c>
      <c r="P79" s="455">
        <f t="shared" si="30"/>
        <v>15273.201965384676</v>
      </c>
      <c r="Q79" s="455">
        <f t="shared" si="30"/>
        <v>14436.04542511899</v>
      </c>
      <c r="R79" s="455">
        <f t="shared" si="30"/>
        <v>13671.692830453174</v>
      </c>
      <c r="S79" s="455">
        <f t="shared" si="30"/>
        <v>12994.430105021183</v>
      </c>
      <c r="T79" s="455">
        <f t="shared" si="30"/>
        <v>12387.864000093936</v>
      </c>
      <c r="U79" s="455">
        <f t="shared" si="30"/>
        <v>12252.107661080332</v>
      </c>
      <c r="V79" s="455">
        <f t="shared" si="30"/>
        <v>12430.486742719053</v>
      </c>
      <c r="W79" s="455">
        <f t="shared" si="30"/>
        <v>12664.710191602668</v>
      </c>
      <c r="X79" s="455">
        <f t="shared" si="30"/>
        <v>12904.974745587895</v>
      </c>
      <c r="Y79" s="455">
        <f t="shared" si="30"/>
        <v>13154.08483348244</v>
      </c>
      <c r="Z79" s="455">
        <f t="shared" si="30"/>
        <v>13409.03062672406</v>
      </c>
      <c r="AA79" s="455">
        <f t="shared" si="30"/>
        <v>13673.262391052693</v>
      </c>
      <c r="AB79" s="455">
        <f t="shared" si="30"/>
        <v>13943.783511021422</v>
      </c>
      <c r="AC79" s="455">
        <f t="shared" si="30"/>
        <v>14224.057861878971</v>
      </c>
      <c r="AD79" s="455">
        <f t="shared" si="30"/>
        <v>14511.102845972488</v>
      </c>
      <c r="AE79" s="455">
        <f t="shared" si="30"/>
        <v>14640.55273472857</v>
      </c>
      <c r="AF79" s="455">
        <f t="shared" si="30"/>
        <v>14676.563972137857</v>
      </c>
      <c r="AG79" s="455">
        <f t="shared" si="30"/>
        <v>11429.190267795004</v>
      </c>
      <c r="AH79" s="455">
        <f t="shared" si="30"/>
        <v>6369.254485976758</v>
      </c>
      <c r="AI79" s="455">
        <f t="shared" si="30"/>
        <v>42459.842637568974</v>
      </c>
      <c r="AJ79" s="455">
        <f t="shared" si="30"/>
        <v>0</v>
      </c>
      <c r="AK79" s="455">
        <f t="shared" si="30"/>
        <v>0</v>
      </c>
      <c r="AL79" s="455">
        <f t="shared" si="30"/>
        <v>0</v>
      </c>
      <c r="AM79" s="455">
        <f t="shared" si="30"/>
        <v>0</v>
      </c>
      <c r="AN79" s="455">
        <f t="shared" si="30"/>
        <v>0</v>
      </c>
      <c r="AO79" s="455">
        <f t="shared" si="30"/>
        <v>0</v>
      </c>
      <c r="AP79" s="344"/>
    </row>
    <row r="80" spans="3:42" ht="13.5" thickTop="1">
      <c r="C80" s="344"/>
      <c r="D80" s="344"/>
      <c r="E80" s="344"/>
      <c r="F80" s="344"/>
      <c r="G80" s="344"/>
      <c r="H80" s="344"/>
      <c r="I80" s="456">
        <f>SUM(J79:AO79)</f>
        <v>328892.1518931055</v>
      </c>
      <c r="J80" s="344"/>
      <c r="K80" s="344"/>
      <c r="L80" s="344"/>
      <c r="M80" s="344"/>
      <c r="N80" s="344"/>
      <c r="O80" s="344"/>
      <c r="P80" s="344"/>
      <c r="Q80" s="344"/>
      <c r="R80" s="344"/>
      <c r="S80" s="344"/>
      <c r="T80" s="344"/>
      <c r="U80" s="344"/>
      <c r="V80" s="344"/>
      <c r="W80" s="344"/>
      <c r="X80" s="344"/>
      <c r="Y80" s="344"/>
      <c r="Z80" s="344"/>
      <c r="AA80" s="344"/>
      <c r="AB80" s="344"/>
      <c r="AC80" s="344"/>
      <c r="AD80" s="344"/>
      <c r="AE80" s="344"/>
      <c r="AF80" s="344"/>
      <c r="AG80" s="344"/>
      <c r="AH80" s="344"/>
      <c r="AI80" s="344"/>
      <c r="AJ80" s="344"/>
      <c r="AK80" s="344"/>
      <c r="AL80" s="344"/>
      <c r="AM80" s="344"/>
      <c r="AN80" s="344"/>
      <c r="AO80" s="344"/>
      <c r="AP80" s="344"/>
    </row>
    <row r="81" spans="3:42" ht="12.75">
      <c r="C81" s="344"/>
      <c r="D81" s="344"/>
      <c r="E81" s="344"/>
      <c r="F81" s="344"/>
      <c r="G81" s="344"/>
      <c r="H81" s="344"/>
      <c r="I81" s="457"/>
      <c r="J81" s="456"/>
      <c r="K81" s="344"/>
      <c r="L81" s="344"/>
      <c r="M81" s="344"/>
      <c r="N81" s="344"/>
      <c r="O81" s="344"/>
      <c r="P81" s="344"/>
      <c r="Q81" s="344"/>
      <c r="R81" s="344"/>
      <c r="S81" s="344"/>
      <c r="T81" s="344"/>
      <c r="U81" s="344"/>
      <c r="V81" s="344"/>
      <c r="W81" s="344"/>
      <c r="X81" s="344"/>
      <c r="Y81" s="344"/>
      <c r="Z81" s="344"/>
      <c r="AA81" s="344"/>
      <c r="AB81" s="344"/>
      <c r="AC81" s="344"/>
      <c r="AD81" s="344"/>
      <c r="AE81" s="344"/>
      <c r="AF81" s="344"/>
      <c r="AG81" s="344"/>
      <c r="AH81" s="344"/>
      <c r="AI81" s="344"/>
      <c r="AJ81" s="344"/>
      <c r="AK81" s="344"/>
      <c r="AL81" s="344"/>
      <c r="AM81" s="344"/>
      <c r="AN81" s="344"/>
      <c r="AO81" s="344"/>
      <c r="AP81" s="344"/>
    </row>
    <row r="82" spans="3:42" ht="12.75">
      <c r="C82" s="344"/>
      <c r="D82" s="344"/>
      <c r="E82" s="344"/>
      <c r="F82" s="344"/>
      <c r="G82" s="344"/>
      <c r="H82" s="344"/>
      <c r="I82" s="344"/>
      <c r="J82" s="344"/>
      <c r="K82" s="344"/>
      <c r="L82" s="344"/>
      <c r="M82" s="344"/>
      <c r="N82" s="344"/>
      <c r="O82" s="344"/>
      <c r="P82" s="344"/>
      <c r="Q82" s="344"/>
      <c r="R82" s="344"/>
      <c r="S82" s="344"/>
      <c r="T82" s="344"/>
      <c r="U82" s="344"/>
      <c r="V82" s="344"/>
      <c r="W82" s="344"/>
      <c r="X82" s="344"/>
      <c r="Y82" s="344"/>
      <c r="Z82" s="344"/>
      <c r="AA82" s="344"/>
      <c r="AB82" s="344"/>
      <c r="AC82" s="344"/>
      <c r="AD82" s="344"/>
      <c r="AE82" s="344"/>
      <c r="AF82" s="344"/>
      <c r="AG82" s="344"/>
      <c r="AH82" s="344"/>
      <c r="AI82" s="344"/>
      <c r="AJ82" s="344"/>
      <c r="AK82" s="344"/>
      <c r="AL82" s="344"/>
      <c r="AM82" s="344"/>
      <c r="AN82" s="344"/>
      <c r="AO82" s="344"/>
      <c r="AP82" s="344"/>
    </row>
    <row r="83" spans="3:42" ht="12.75">
      <c r="C83" s="344"/>
      <c r="D83" s="344"/>
      <c r="E83" s="344"/>
      <c r="F83" s="344"/>
      <c r="G83" s="344"/>
      <c r="H83" s="344"/>
      <c r="I83" s="344"/>
      <c r="J83" s="344"/>
      <c r="K83" s="344"/>
      <c r="L83" s="344"/>
      <c r="M83" s="344"/>
      <c r="N83" s="344"/>
      <c r="O83" s="344"/>
      <c r="P83" s="344"/>
      <c r="Q83" s="344"/>
      <c r="R83" s="344"/>
      <c r="S83" s="344"/>
      <c r="T83" s="344"/>
      <c r="U83" s="344"/>
      <c r="V83" s="344"/>
      <c r="W83" s="344"/>
      <c r="X83" s="344"/>
      <c r="Y83" s="344"/>
      <c r="Z83" s="344"/>
      <c r="AA83" s="344"/>
      <c r="AB83" s="344"/>
      <c r="AC83" s="344"/>
      <c r="AD83" s="344"/>
      <c r="AE83" s="344"/>
      <c r="AF83" s="344"/>
      <c r="AG83" s="344"/>
      <c r="AH83" s="344"/>
      <c r="AI83" s="344"/>
      <c r="AJ83" s="344"/>
      <c r="AK83" s="344"/>
      <c r="AL83" s="344"/>
      <c r="AM83" s="344"/>
      <c r="AN83" s="344"/>
      <c r="AO83" s="344"/>
      <c r="AP83" s="344"/>
    </row>
    <row r="84" spans="3:42" ht="12.75">
      <c r="C84" s="344"/>
      <c r="D84" s="344"/>
      <c r="E84" s="344"/>
      <c r="F84" s="344"/>
      <c r="G84" s="344"/>
      <c r="H84" s="344"/>
      <c r="I84" s="344"/>
      <c r="J84" s="344"/>
      <c r="K84" s="344"/>
      <c r="L84" s="344"/>
      <c r="M84" s="344"/>
      <c r="N84" s="344"/>
      <c r="O84" s="344"/>
      <c r="P84" s="344"/>
      <c r="Q84" s="344"/>
      <c r="R84" s="344"/>
      <c r="S84" s="344"/>
      <c r="T84" s="344"/>
      <c r="U84" s="344"/>
      <c r="V84" s="344"/>
      <c r="W84" s="344"/>
      <c r="X84" s="344"/>
      <c r="Y84" s="344"/>
      <c r="Z84" s="344"/>
      <c r="AA84" s="344"/>
      <c r="AB84" s="344"/>
      <c r="AC84" s="344"/>
      <c r="AD84" s="344"/>
      <c r="AE84" s="344"/>
      <c r="AF84" s="344"/>
      <c r="AG84" s="344"/>
      <c r="AH84" s="344"/>
      <c r="AI84" s="344"/>
      <c r="AJ84" s="344"/>
      <c r="AK84" s="344"/>
      <c r="AL84" s="344"/>
      <c r="AM84" s="344"/>
      <c r="AN84" s="344"/>
      <c r="AO84" s="344"/>
      <c r="AP84" s="344"/>
    </row>
    <row r="85" spans="3:42" ht="12.75">
      <c r="C85" s="344"/>
      <c r="D85" s="344"/>
      <c r="E85" s="344"/>
      <c r="F85" s="344"/>
      <c r="G85" s="344"/>
      <c r="H85" s="344"/>
      <c r="I85" s="344"/>
      <c r="J85" s="344"/>
      <c r="K85" s="344"/>
      <c r="L85" s="344"/>
      <c r="M85" s="344"/>
      <c r="N85" s="344"/>
      <c r="O85" s="344"/>
      <c r="P85" s="344"/>
      <c r="Q85" s="344"/>
      <c r="R85" s="344"/>
      <c r="S85" s="344"/>
      <c r="T85" s="344"/>
      <c r="U85" s="344"/>
      <c r="V85" s="344"/>
      <c r="W85" s="344"/>
      <c r="X85" s="344"/>
      <c r="Y85" s="344"/>
      <c r="Z85" s="344"/>
      <c r="AA85" s="344"/>
      <c r="AB85" s="344"/>
      <c r="AC85" s="344"/>
      <c r="AD85" s="344"/>
      <c r="AE85" s="344"/>
      <c r="AF85" s="344"/>
      <c r="AG85" s="344"/>
      <c r="AH85" s="344"/>
      <c r="AI85" s="344"/>
      <c r="AJ85" s="344"/>
      <c r="AK85" s="344"/>
      <c r="AL85" s="344"/>
      <c r="AM85" s="344"/>
      <c r="AN85" s="344"/>
      <c r="AO85" s="344"/>
      <c r="AP85" s="344"/>
    </row>
    <row r="86" spans="3:42" ht="18.75">
      <c r="C86" s="458" t="s">
        <v>462</v>
      </c>
      <c r="D86" s="344"/>
      <c r="E86" s="344"/>
      <c r="F86" s="344"/>
      <c r="G86" s="344"/>
      <c r="H86" s="344"/>
      <c r="I86" s="344"/>
      <c r="J86" s="344"/>
      <c r="K86" s="344"/>
      <c r="L86" s="344"/>
      <c r="M86" s="344"/>
      <c r="N86" s="344"/>
      <c r="O86" s="344"/>
      <c r="P86" s="344"/>
      <c r="Q86" s="344"/>
      <c r="R86" s="344"/>
      <c r="S86" s="344"/>
      <c r="T86" s="344"/>
      <c r="U86" s="344"/>
      <c r="V86" s="344"/>
      <c r="W86" s="344"/>
      <c r="X86" s="344"/>
      <c r="Y86" s="344"/>
      <c r="Z86" s="344"/>
      <c r="AA86" s="344"/>
      <c r="AB86" s="344"/>
      <c r="AC86" s="344"/>
      <c r="AD86" s="344"/>
      <c r="AE86" s="344"/>
      <c r="AF86" s="344"/>
      <c r="AG86" s="344"/>
      <c r="AH86" s="344"/>
      <c r="AI86" s="344"/>
      <c r="AJ86" s="344"/>
      <c r="AK86" s="344"/>
      <c r="AL86" s="344"/>
      <c r="AM86" s="344"/>
      <c r="AN86" s="344"/>
      <c r="AO86" s="344"/>
      <c r="AP86" s="344"/>
    </row>
    <row r="87" spans="3:42" ht="12.75">
      <c r="C87" s="344"/>
      <c r="D87" s="344"/>
      <c r="E87" s="344"/>
      <c r="F87" s="344"/>
      <c r="G87" s="344"/>
      <c r="H87" s="344"/>
      <c r="I87" s="344"/>
      <c r="J87" s="344"/>
      <c r="K87" s="344"/>
      <c r="L87" s="344"/>
      <c r="M87" s="344"/>
      <c r="N87" s="344"/>
      <c r="O87" s="344"/>
      <c r="P87" s="344"/>
      <c r="Q87" s="344"/>
      <c r="R87" s="344"/>
      <c r="S87" s="344"/>
      <c r="T87" s="344"/>
      <c r="U87" s="344"/>
      <c r="V87" s="344"/>
      <c r="W87" s="344"/>
      <c r="X87" s="344"/>
      <c r="Y87" s="344"/>
      <c r="Z87" s="344"/>
      <c r="AA87" s="344"/>
      <c r="AB87" s="344"/>
      <c r="AC87" s="344"/>
      <c r="AD87" s="344"/>
      <c r="AE87" s="344"/>
      <c r="AF87" s="344"/>
      <c r="AG87" s="344"/>
      <c r="AH87" s="344"/>
      <c r="AI87" s="344"/>
      <c r="AJ87" s="344"/>
      <c r="AK87" s="344"/>
      <c r="AL87" s="344"/>
      <c r="AM87" s="344"/>
      <c r="AN87" s="344"/>
      <c r="AO87" s="344"/>
      <c r="AP87" s="344"/>
    </row>
    <row r="88" spans="3:42" ht="12.75">
      <c r="C88" s="344"/>
      <c r="D88" s="344"/>
      <c r="E88" s="344"/>
      <c r="F88" s="344"/>
      <c r="G88" s="344"/>
      <c r="H88" s="344"/>
      <c r="I88" s="344"/>
      <c r="J88" s="451">
        <f>$J$7</f>
        <v>1998</v>
      </c>
      <c r="K88" s="449">
        <f aca="true" t="shared" si="31" ref="K88:AO88">J88+1</f>
        <v>1999</v>
      </c>
      <c r="L88" s="449">
        <f t="shared" si="31"/>
        <v>2000</v>
      </c>
      <c r="M88" s="449">
        <f t="shared" si="31"/>
        <v>2001</v>
      </c>
      <c r="N88" s="449">
        <f t="shared" si="31"/>
        <v>2002</v>
      </c>
      <c r="O88" s="449">
        <f t="shared" si="31"/>
        <v>2003</v>
      </c>
      <c r="P88" s="449">
        <f t="shared" si="31"/>
        <v>2004</v>
      </c>
      <c r="Q88" s="449">
        <f t="shared" si="31"/>
        <v>2005</v>
      </c>
      <c r="R88" s="449">
        <f t="shared" si="31"/>
        <v>2006</v>
      </c>
      <c r="S88" s="449">
        <f t="shared" si="31"/>
        <v>2007</v>
      </c>
      <c r="T88" s="449">
        <f t="shared" si="31"/>
        <v>2008</v>
      </c>
      <c r="U88" s="449">
        <f t="shared" si="31"/>
        <v>2009</v>
      </c>
      <c r="V88" s="449">
        <f t="shared" si="31"/>
        <v>2010</v>
      </c>
      <c r="W88" s="449">
        <f t="shared" si="31"/>
        <v>2011</v>
      </c>
      <c r="X88" s="449">
        <f t="shared" si="31"/>
        <v>2012</v>
      </c>
      <c r="Y88" s="449">
        <f t="shared" si="31"/>
        <v>2013</v>
      </c>
      <c r="Z88" s="449">
        <f t="shared" si="31"/>
        <v>2014</v>
      </c>
      <c r="AA88" s="449">
        <f t="shared" si="31"/>
        <v>2015</v>
      </c>
      <c r="AB88" s="449">
        <f t="shared" si="31"/>
        <v>2016</v>
      </c>
      <c r="AC88" s="449">
        <f t="shared" si="31"/>
        <v>2017</v>
      </c>
      <c r="AD88" s="449">
        <f t="shared" si="31"/>
        <v>2018</v>
      </c>
      <c r="AE88" s="449">
        <f t="shared" si="31"/>
        <v>2019</v>
      </c>
      <c r="AF88" s="449">
        <f t="shared" si="31"/>
        <v>2020</v>
      </c>
      <c r="AG88" s="449">
        <f t="shared" si="31"/>
        <v>2021</v>
      </c>
      <c r="AH88" s="449">
        <f t="shared" si="31"/>
        <v>2022</v>
      </c>
      <c r="AI88" s="449">
        <f t="shared" si="31"/>
        <v>2023</v>
      </c>
      <c r="AJ88" s="449">
        <f t="shared" si="31"/>
        <v>2024</v>
      </c>
      <c r="AK88" s="449">
        <f t="shared" si="31"/>
        <v>2025</v>
      </c>
      <c r="AL88" s="449">
        <f t="shared" si="31"/>
        <v>2026</v>
      </c>
      <c r="AM88" s="449">
        <f t="shared" si="31"/>
        <v>2027</v>
      </c>
      <c r="AN88" s="449">
        <f t="shared" si="31"/>
        <v>2028</v>
      </c>
      <c r="AO88" s="449">
        <f t="shared" si="31"/>
        <v>2029</v>
      </c>
      <c r="AP88" s="344"/>
    </row>
    <row r="89" spans="3:42" ht="12.75">
      <c r="C89" s="344"/>
      <c r="D89" s="344"/>
      <c r="E89" s="344"/>
      <c r="F89" s="344"/>
      <c r="G89" s="344"/>
      <c r="H89" s="344"/>
      <c r="I89" s="344"/>
      <c r="J89" s="344"/>
      <c r="K89" s="344"/>
      <c r="L89" s="344"/>
      <c r="M89" s="344"/>
      <c r="N89" s="344"/>
      <c r="O89" s="344"/>
      <c r="P89" s="344"/>
      <c r="Q89" s="344"/>
      <c r="R89" s="344"/>
      <c r="S89" s="344"/>
      <c r="T89" s="344"/>
      <c r="U89" s="344"/>
      <c r="V89" s="344"/>
      <c r="W89" s="344"/>
      <c r="X89" s="344"/>
      <c r="Y89" s="344"/>
      <c r="Z89" s="344"/>
      <c r="AA89" s="344"/>
      <c r="AB89" s="344"/>
      <c r="AC89" s="344"/>
      <c r="AD89" s="344"/>
      <c r="AE89" s="344"/>
      <c r="AF89" s="452">
        <f>Inputs!AD57</f>
        <v>0.75</v>
      </c>
      <c r="AG89" s="452">
        <f>Inputs!AE57</f>
        <v>0.5</v>
      </c>
      <c r="AH89" s="452">
        <f>Inputs!AF57</f>
        <v>0.25</v>
      </c>
      <c r="AI89" s="452">
        <f>Inputs!AG57</f>
        <v>0.1</v>
      </c>
      <c r="AJ89" s="344"/>
      <c r="AK89" s="344"/>
      <c r="AL89" s="344"/>
      <c r="AM89" s="344"/>
      <c r="AN89" s="344"/>
      <c r="AO89" s="344"/>
      <c r="AP89" s="344"/>
    </row>
    <row r="90" spans="3:42" ht="12.75">
      <c r="C90" s="344"/>
      <c r="D90" s="344"/>
      <c r="E90" s="344"/>
      <c r="F90" s="344"/>
      <c r="G90" s="344"/>
      <c r="H90" s="344"/>
      <c r="I90" s="450">
        <f>SUM(J90:AN90)</f>
        <v>283250.32265183114</v>
      </c>
      <c r="J90" s="450">
        <v>1131</v>
      </c>
      <c r="K90" s="450">
        <f>Inputs!G25/Inputs!G7</f>
        <v>8544.139284210527</v>
      </c>
      <c r="L90" s="450">
        <f>Capex!E120</f>
        <v>15961.91</v>
      </c>
      <c r="M90" s="450">
        <f>Capex!E119</f>
        <v>15728.9034</v>
      </c>
      <c r="N90" s="450">
        <f>Capex!E118</f>
        <v>17456.313825</v>
      </c>
      <c r="O90" s="450">
        <f>Capex!E117</f>
        <v>13089.6674603</v>
      </c>
      <c r="P90" s="450">
        <f>Capex!$E$148*Inputs!N9*Inputs!N57</f>
        <v>9274.1925944</v>
      </c>
      <c r="Q90" s="450">
        <f>Capex!$E$148*Inputs!O9*Inputs!O57</f>
        <v>9552.418372232</v>
      </c>
      <c r="R90" s="450">
        <f>Capex!$E$148*Inputs!P9*Inputs!P57</f>
        <v>9838.99092339896</v>
      </c>
      <c r="S90" s="450">
        <f>Capex!$E$148*Inputs!Q9*Inputs!Q57</f>
        <v>10134.160651100927</v>
      </c>
      <c r="T90" s="450">
        <f>Capex!$E$148*Inputs!R9*Inputs!R57</f>
        <v>10438.185470633956</v>
      </c>
      <c r="U90" s="450">
        <f>Capex!$E$148*Inputs!S9*Inputs!S57</f>
        <v>10751.331034752975</v>
      </c>
      <c r="V90" s="450">
        <f>Capex!$E$148*Inputs!T9*Inputs!T57</f>
        <v>11073.870965795564</v>
      </c>
      <c r="W90" s="450">
        <f>Capex!$E$148*Inputs!U9*Inputs!U57</f>
        <v>11406.08709476943</v>
      </c>
      <c r="X90" s="450">
        <f>Capex!$E$148*Inputs!V9*Inputs!V57</f>
        <v>11748.269707612511</v>
      </c>
      <c r="Y90" s="450">
        <f>Capex!$E$148*Inputs!W9*Inputs!W57</f>
        <v>12100.717798840888</v>
      </c>
      <c r="Z90" s="450">
        <f>Capex!$E$148*Inputs!X9*Inputs!X57</f>
        <v>12463.739332806115</v>
      </c>
      <c r="AA90" s="450">
        <f>Capex!$E$148*Inputs!Y9*Inputs!Y57</f>
        <v>12837.651512790297</v>
      </c>
      <c r="AB90" s="450">
        <f>Capex!$E$148*Inputs!Z9*Inputs!Z57</f>
        <v>13222.781058174005</v>
      </c>
      <c r="AC90" s="450">
        <f>Capex!$E$148*Inputs!AA9*Inputs!AA57</f>
        <v>13619.464489919226</v>
      </c>
      <c r="AD90" s="450">
        <f>Capex!$E$148*Inputs!AB9*Inputs!AB57</f>
        <v>14028.048424616802</v>
      </c>
      <c r="AE90" s="450">
        <f>Capex!$E$148*Inputs!AC9*Inputs!AC57</f>
        <v>14448.889877355306</v>
      </c>
      <c r="AF90" s="450">
        <f>Capex!$E$148*Inputs!AD9*Inputs!AD57</f>
        <v>11161.767430256972</v>
      </c>
      <c r="AG90" s="450">
        <f>Capex!$E$148*Inputs!AE9*Inputs!AE57</f>
        <v>7664.413635443122</v>
      </c>
      <c r="AH90" s="450">
        <f>Capex!$E$148*Inputs!AF9*Inputs!AF57</f>
        <v>3947.173022253208</v>
      </c>
      <c r="AI90" s="450">
        <f>Capex!$E$148*Inputs!AG9*Inputs!AG57</f>
        <v>1626.2352851683215</v>
      </c>
      <c r="AJ90" s="450"/>
      <c r="AK90" s="450"/>
      <c r="AL90" s="450"/>
      <c r="AM90" s="450"/>
      <c r="AN90" s="450"/>
      <c r="AO90" s="450"/>
      <c r="AP90" s="344"/>
    </row>
    <row r="91" spans="3:42" ht="12.75">
      <c r="C91" s="344"/>
      <c r="D91" s="344"/>
      <c r="E91" s="344"/>
      <c r="F91" s="344"/>
      <c r="G91" s="344"/>
      <c r="H91" s="344"/>
      <c r="I91" s="344"/>
      <c r="J91" s="344"/>
      <c r="K91" s="344"/>
      <c r="L91" s="344"/>
      <c r="M91" s="344"/>
      <c r="N91" s="344"/>
      <c r="O91" s="344"/>
      <c r="P91" s="344"/>
      <c r="Q91" s="344"/>
      <c r="R91" s="344"/>
      <c r="S91" s="344"/>
      <c r="T91" s="344"/>
      <c r="U91" s="344"/>
      <c r="V91" s="344"/>
      <c r="W91" s="344"/>
      <c r="X91" s="344"/>
      <c r="Y91" s="344"/>
      <c r="Z91" s="344"/>
      <c r="AA91" s="344"/>
      <c r="AB91" s="344"/>
      <c r="AC91" s="344"/>
      <c r="AD91" s="344"/>
      <c r="AE91" s="344"/>
      <c r="AF91" s="344"/>
      <c r="AG91" s="344"/>
      <c r="AH91" s="344"/>
      <c r="AI91" s="344"/>
      <c r="AJ91" s="344"/>
      <c r="AK91" s="344"/>
      <c r="AL91" s="344"/>
      <c r="AM91" s="344"/>
      <c r="AN91" s="344"/>
      <c r="AO91" s="344"/>
      <c r="AP91" s="344"/>
    </row>
    <row r="92" spans="3:42" ht="12.75">
      <c r="C92" s="344"/>
      <c r="D92" s="344"/>
      <c r="E92" s="344"/>
      <c r="F92" s="344"/>
      <c r="G92" s="344"/>
      <c r="H92" s="344"/>
      <c r="I92" s="344"/>
      <c r="J92" s="344"/>
      <c r="K92" s="344"/>
      <c r="L92" s="344"/>
      <c r="M92" s="344"/>
      <c r="N92" s="344"/>
      <c r="O92" s="344"/>
      <c r="P92" s="344"/>
      <c r="Q92" s="344"/>
      <c r="R92" s="344"/>
      <c r="S92" s="344"/>
      <c r="T92" s="344"/>
      <c r="U92" s="344"/>
      <c r="V92" s="344"/>
      <c r="W92" s="344"/>
      <c r="X92" s="344"/>
      <c r="Y92" s="344"/>
      <c r="Z92" s="344"/>
      <c r="AA92" s="344"/>
      <c r="AB92" s="344"/>
      <c r="AC92" s="344"/>
      <c r="AD92" s="344"/>
      <c r="AE92" s="344"/>
      <c r="AF92" s="344"/>
      <c r="AG92" s="344"/>
      <c r="AH92" s="344"/>
      <c r="AI92" s="344"/>
      <c r="AJ92" s="344"/>
      <c r="AK92" s="344"/>
      <c r="AL92" s="344"/>
      <c r="AM92" s="453"/>
      <c r="AN92" s="344"/>
      <c r="AO92" s="344"/>
      <c r="AP92" s="344"/>
    </row>
    <row r="93" spans="3:42" ht="15.75">
      <c r="C93" s="344"/>
      <c r="D93" s="447"/>
      <c r="E93" s="447"/>
      <c r="F93" s="459" t="s">
        <v>463</v>
      </c>
      <c r="G93" s="349">
        <v>0</v>
      </c>
      <c r="H93" s="447" t="s">
        <v>464</v>
      </c>
      <c r="I93" s="344"/>
      <c r="J93" s="344"/>
      <c r="K93" s="344"/>
      <c r="L93" s="344"/>
      <c r="M93" s="344"/>
      <c r="N93" s="344"/>
      <c r="O93" s="344"/>
      <c r="P93" s="344"/>
      <c r="Q93" s="344"/>
      <c r="R93" s="344"/>
      <c r="S93" s="344"/>
      <c r="T93" s="344"/>
      <c r="U93" s="344"/>
      <c r="V93" s="344"/>
      <c r="W93" s="344"/>
      <c r="X93" s="344"/>
      <c r="Y93" s="344"/>
      <c r="Z93" s="344"/>
      <c r="AA93" s="344"/>
      <c r="AB93" s="344"/>
      <c r="AC93" s="344"/>
      <c r="AD93" s="344"/>
      <c r="AE93" s="344"/>
      <c r="AF93" s="344"/>
      <c r="AG93" s="344"/>
      <c r="AH93" s="344"/>
      <c r="AI93" s="344"/>
      <c r="AJ93" s="344"/>
      <c r="AK93" s="344"/>
      <c r="AL93" s="344"/>
      <c r="AM93" s="453"/>
      <c r="AN93" s="344"/>
      <c r="AO93" s="344"/>
      <c r="AP93" s="344"/>
    </row>
    <row r="94" spans="3:42" ht="12.75">
      <c r="C94" s="344"/>
      <c r="D94" s="344"/>
      <c r="E94" s="344"/>
      <c r="F94" s="344"/>
      <c r="G94" s="344"/>
      <c r="H94" s="344"/>
      <c r="I94" s="344"/>
      <c r="J94" s="344"/>
      <c r="K94" s="344"/>
      <c r="L94" s="344"/>
      <c r="M94" s="344"/>
      <c r="N94" s="344"/>
      <c r="O94" s="344"/>
      <c r="P94" s="344"/>
      <c r="Q94" s="344"/>
      <c r="R94" s="344"/>
      <c r="S94" s="344"/>
      <c r="T94" s="344"/>
      <c r="U94" s="344"/>
      <c r="V94" s="344"/>
      <c r="W94" s="344"/>
      <c r="X94" s="344"/>
      <c r="Y94" s="344"/>
      <c r="Z94" s="344"/>
      <c r="AA94" s="344"/>
      <c r="AB94" s="344"/>
      <c r="AC94" s="344"/>
      <c r="AD94" s="344"/>
      <c r="AE94" s="344"/>
      <c r="AF94" s="344"/>
      <c r="AG94" s="344"/>
      <c r="AH94" s="344"/>
      <c r="AI94" s="344"/>
      <c r="AJ94" s="344"/>
      <c r="AK94" s="344"/>
      <c r="AL94" s="344"/>
      <c r="AM94" s="453"/>
      <c r="AN94" s="344"/>
      <c r="AO94" s="344"/>
      <c r="AP94" s="344"/>
    </row>
    <row r="95" spans="3:42" ht="12.75">
      <c r="C95" s="344"/>
      <c r="D95" s="344"/>
      <c r="E95" s="344"/>
      <c r="F95" s="344"/>
      <c r="G95" s="344"/>
      <c r="H95" s="344"/>
      <c r="I95" s="344"/>
      <c r="J95" s="344"/>
      <c r="K95" s="344"/>
      <c r="L95" s="344"/>
      <c r="M95" s="344"/>
      <c r="N95" s="344"/>
      <c r="O95" s="344"/>
      <c r="P95" s="344"/>
      <c r="Q95" s="344"/>
      <c r="R95" s="344"/>
      <c r="S95" s="344"/>
      <c r="T95" s="344"/>
      <c r="U95" s="344"/>
      <c r="V95" s="344"/>
      <c r="W95" s="344"/>
      <c r="X95" s="344"/>
      <c r="Y95" s="344"/>
      <c r="Z95" s="344"/>
      <c r="AA95" s="344"/>
      <c r="AB95" s="344"/>
      <c r="AC95" s="344"/>
      <c r="AD95" s="344"/>
      <c r="AE95" s="344"/>
      <c r="AF95" s="344"/>
      <c r="AG95" s="344"/>
      <c r="AH95" s="344"/>
      <c r="AI95" s="344"/>
      <c r="AJ95" s="344"/>
      <c r="AK95" s="344"/>
      <c r="AL95" s="344"/>
      <c r="AM95" s="453"/>
      <c r="AN95" s="344"/>
      <c r="AO95" s="344"/>
      <c r="AP95" s="344"/>
    </row>
    <row r="96" spans="3:42" ht="12.75">
      <c r="C96" s="344"/>
      <c r="D96" s="344"/>
      <c r="E96" s="344"/>
      <c r="F96" s="344"/>
      <c r="G96" s="344"/>
      <c r="H96" s="451">
        <f>$J$7</f>
        <v>1998</v>
      </c>
      <c r="I96" s="452">
        <f aca="true" t="shared" si="32" ref="I96:I127">SUM(J96:AO96)</f>
        <v>1.0000000000000002</v>
      </c>
      <c r="J96" s="453">
        <v>0.1429</v>
      </c>
      <c r="K96" s="453">
        <v>0.2449</v>
      </c>
      <c r="L96" s="453">
        <v>0.1749</v>
      </c>
      <c r="M96" s="453">
        <f>IF($G$93=1,1-SUM($J96:L96),0.1249)</f>
        <v>0.1249</v>
      </c>
      <c r="N96" s="453">
        <f>IF($G$93=1,0,0.0893)</f>
        <v>0.0893</v>
      </c>
      <c r="O96" s="453">
        <f>IF($G$93=1,0,0.0892)</f>
        <v>0.0892</v>
      </c>
      <c r="P96" s="453">
        <f>IF($G$93=1,0,0.0893)</f>
        <v>0.0893</v>
      </c>
      <c r="Q96" s="453">
        <f>IF($G$93=1,0,0.0446)</f>
        <v>0.0446</v>
      </c>
      <c r="R96" s="453"/>
      <c r="S96" s="453"/>
      <c r="T96" s="453"/>
      <c r="U96" s="453"/>
      <c r="V96" s="453"/>
      <c r="W96" s="453"/>
      <c r="X96" s="453"/>
      <c r="Y96" s="453"/>
      <c r="Z96" s="453"/>
      <c r="AA96" s="453"/>
      <c r="AB96" s="453"/>
      <c r="AC96" s="453"/>
      <c r="AD96" s="453"/>
      <c r="AE96" s="344"/>
      <c r="AF96" s="344"/>
      <c r="AG96" s="344"/>
      <c r="AH96" s="344"/>
      <c r="AI96" s="344"/>
      <c r="AJ96" s="344"/>
      <c r="AK96" s="344"/>
      <c r="AL96" s="344"/>
      <c r="AM96" s="453"/>
      <c r="AN96" s="344"/>
      <c r="AO96" s="344"/>
      <c r="AP96" s="344"/>
    </row>
    <row r="97" spans="3:42" ht="12.75">
      <c r="C97" s="344"/>
      <c r="D97" s="344" t="s">
        <v>465</v>
      </c>
      <c r="E97" s="344"/>
      <c r="F97" s="344"/>
      <c r="G97" s="344"/>
      <c r="H97" s="344">
        <f aca="true" t="shared" si="33" ref="H97:H127">H96+1</f>
        <v>1999</v>
      </c>
      <c r="I97" s="452">
        <f t="shared" si="32"/>
        <v>1.0000000000000002</v>
      </c>
      <c r="J97" s="453"/>
      <c r="K97" s="453">
        <v>0.1429</v>
      </c>
      <c r="L97" s="453">
        <v>0.2449</v>
      </c>
      <c r="M97" s="453">
        <f>IF($G$93=1,1-SUM($J97:L97),0.1749)</f>
        <v>0.1749</v>
      </c>
      <c r="N97" s="453">
        <f>IF($G$93=1,0,0.1249)</f>
        <v>0.1249</v>
      </c>
      <c r="O97" s="453">
        <f>IF($G$93=1,0,0.0893)</f>
        <v>0.0893</v>
      </c>
      <c r="P97" s="453">
        <f>IF($G$93=1,0,0.0892)</f>
        <v>0.0892</v>
      </c>
      <c r="Q97" s="453">
        <f>IF($G$93=1,0,0.0893)</f>
        <v>0.0893</v>
      </c>
      <c r="R97" s="453">
        <f>IF($G$93=1,0,0.0446)</f>
        <v>0.0446</v>
      </c>
      <c r="S97" s="453"/>
      <c r="T97" s="453"/>
      <c r="U97" s="453"/>
      <c r="V97" s="453"/>
      <c r="W97" s="453"/>
      <c r="X97" s="453"/>
      <c r="Y97" s="453"/>
      <c r="Z97" s="453"/>
      <c r="AA97" s="453"/>
      <c r="AB97" s="453"/>
      <c r="AC97" s="453"/>
      <c r="AD97" s="453"/>
      <c r="AE97" s="453"/>
      <c r="AF97" s="344"/>
      <c r="AG97" s="344"/>
      <c r="AH97" s="344"/>
      <c r="AI97" s="344"/>
      <c r="AJ97" s="344"/>
      <c r="AK97" s="344"/>
      <c r="AL97" s="344"/>
      <c r="AM97" s="453"/>
      <c r="AN97" s="344"/>
      <c r="AO97" s="344"/>
      <c r="AP97" s="344"/>
    </row>
    <row r="98" spans="3:42" ht="12.75">
      <c r="C98" s="344"/>
      <c r="D98" s="344"/>
      <c r="E98" s="344"/>
      <c r="F98" s="344"/>
      <c r="G98" s="344"/>
      <c r="H98" s="344">
        <f t="shared" si="33"/>
        <v>2000</v>
      </c>
      <c r="I98" s="452">
        <f t="shared" si="32"/>
        <v>1.0000000000000002</v>
      </c>
      <c r="J98" s="453"/>
      <c r="K98" s="453"/>
      <c r="L98" s="453">
        <v>0.1429</v>
      </c>
      <c r="M98" s="453">
        <f>IF($G$93=1,1-SUM($J98:L98),0.2449)</f>
        <v>0.2449</v>
      </c>
      <c r="N98" s="453">
        <f>IF($G$93=1,0,0.1749)</f>
        <v>0.1749</v>
      </c>
      <c r="O98" s="453">
        <f>IF($G$93=1,0,0.1249)</f>
        <v>0.1249</v>
      </c>
      <c r="P98" s="453">
        <f>IF($G$93=1,0,0.0893)</f>
        <v>0.0893</v>
      </c>
      <c r="Q98" s="453">
        <f>IF($G$93=1,0,0.0892)</f>
        <v>0.0892</v>
      </c>
      <c r="R98" s="453">
        <f>IF($G$93=1,0,0.0893)</f>
        <v>0.0893</v>
      </c>
      <c r="S98" s="453">
        <f>IF($G$93=1,0,0.0446)</f>
        <v>0.0446</v>
      </c>
      <c r="T98" s="453"/>
      <c r="U98" s="453"/>
      <c r="V98" s="453"/>
      <c r="W98" s="453"/>
      <c r="X98" s="453"/>
      <c r="Y98" s="453"/>
      <c r="Z98" s="453"/>
      <c r="AA98" s="453"/>
      <c r="AB98" s="453"/>
      <c r="AC98" s="453"/>
      <c r="AD98" s="453"/>
      <c r="AE98" s="453"/>
      <c r="AF98" s="453"/>
      <c r="AG98" s="344"/>
      <c r="AH98" s="344"/>
      <c r="AI98" s="344"/>
      <c r="AJ98" s="344"/>
      <c r="AK98" s="344"/>
      <c r="AL98" s="344"/>
      <c r="AM98" s="453"/>
      <c r="AN98" s="344"/>
      <c r="AO98" s="344"/>
      <c r="AP98" s="344"/>
    </row>
    <row r="99" spans="3:42" ht="12.75">
      <c r="C99" s="344"/>
      <c r="D99" s="344"/>
      <c r="E99" s="344"/>
      <c r="F99" s="344"/>
      <c r="G99" s="344"/>
      <c r="H99" s="344">
        <f t="shared" si="33"/>
        <v>2001</v>
      </c>
      <c r="I99" s="452">
        <f t="shared" si="32"/>
        <v>1.0000000000000002</v>
      </c>
      <c r="J99" s="453"/>
      <c r="K99" s="453"/>
      <c r="L99" s="453"/>
      <c r="M99" s="453">
        <f>IF($G$93=1,1-SUM($J99:L99),0.1429)</f>
        <v>0.1429</v>
      </c>
      <c r="N99" s="453">
        <f>IF($G$93=1,0,0.2449)</f>
        <v>0.2449</v>
      </c>
      <c r="O99" s="453">
        <f>IF($G$93=1,0,0.1749)</f>
        <v>0.1749</v>
      </c>
      <c r="P99" s="453">
        <f>IF($G$93=1,0,0.1249)</f>
        <v>0.1249</v>
      </c>
      <c r="Q99" s="453">
        <f>IF($G$93=1,0,0.0893)</f>
        <v>0.0893</v>
      </c>
      <c r="R99" s="453">
        <f>IF($G$93=1,0,0.0892)</f>
        <v>0.0892</v>
      </c>
      <c r="S99" s="453">
        <f>IF($G$93=1,0,0.0893)</f>
        <v>0.0893</v>
      </c>
      <c r="T99" s="453">
        <f>IF($G$93=1,0,0.0446)</f>
        <v>0.0446</v>
      </c>
      <c r="U99" s="453"/>
      <c r="V99" s="453"/>
      <c r="W99" s="453"/>
      <c r="X99" s="453"/>
      <c r="Y99" s="453"/>
      <c r="Z99" s="453"/>
      <c r="AA99" s="453"/>
      <c r="AB99" s="453"/>
      <c r="AC99" s="453"/>
      <c r="AD99" s="453"/>
      <c r="AE99" s="453"/>
      <c r="AF99" s="453"/>
      <c r="AG99" s="453"/>
      <c r="AH99" s="344"/>
      <c r="AI99" s="344"/>
      <c r="AJ99" s="344"/>
      <c r="AK99" s="344"/>
      <c r="AL99" s="344"/>
      <c r="AM99" s="453"/>
      <c r="AN99" s="344"/>
      <c r="AO99" s="344"/>
      <c r="AP99" s="344"/>
    </row>
    <row r="100" spans="3:42" ht="12.75">
      <c r="C100" s="344"/>
      <c r="D100" s="344"/>
      <c r="E100" s="344"/>
      <c r="F100" s="344"/>
      <c r="G100" s="344"/>
      <c r="H100" s="344">
        <f t="shared" si="33"/>
        <v>2002</v>
      </c>
      <c r="I100" s="452">
        <f t="shared" si="32"/>
        <v>1.0000000000000002</v>
      </c>
      <c r="J100" s="453"/>
      <c r="K100" s="453"/>
      <c r="L100" s="453"/>
      <c r="M100" s="453"/>
      <c r="N100" s="453">
        <f>IF($G$93=1,0,0.1429)</f>
        <v>0.1429</v>
      </c>
      <c r="O100" s="453">
        <f>IF($G$93=1,0,0.2449)</f>
        <v>0.2449</v>
      </c>
      <c r="P100" s="453">
        <f>IF($G$93=1,0,0.1749)</f>
        <v>0.1749</v>
      </c>
      <c r="Q100" s="453">
        <f>IF($G$93=1,0,0.1249)</f>
        <v>0.1249</v>
      </c>
      <c r="R100" s="453">
        <f>IF($G$93=1,0,0.0893)</f>
        <v>0.0893</v>
      </c>
      <c r="S100" s="453">
        <f>IF($G$93=1,0,0.0892)</f>
        <v>0.0892</v>
      </c>
      <c r="T100" s="453">
        <f>IF($G$93=1,0,0.0893)</f>
        <v>0.0893</v>
      </c>
      <c r="U100" s="453">
        <f>IF($G$93=1,0,0.0446)</f>
        <v>0.0446</v>
      </c>
      <c r="V100" s="453"/>
      <c r="W100" s="453"/>
      <c r="X100" s="453"/>
      <c r="Y100" s="453"/>
      <c r="Z100" s="453"/>
      <c r="AA100" s="453"/>
      <c r="AB100" s="453"/>
      <c r="AC100" s="453"/>
      <c r="AD100" s="453"/>
      <c r="AE100" s="453"/>
      <c r="AF100" s="453"/>
      <c r="AG100" s="453"/>
      <c r="AH100" s="453"/>
      <c r="AI100" s="344"/>
      <c r="AJ100" s="344"/>
      <c r="AK100" s="344"/>
      <c r="AL100" s="344"/>
      <c r="AM100" s="453"/>
      <c r="AN100" s="344"/>
      <c r="AO100" s="344"/>
      <c r="AP100" s="344"/>
    </row>
    <row r="101" spans="3:42" ht="12.75">
      <c r="C101" s="344"/>
      <c r="D101" s="344"/>
      <c r="E101" s="344"/>
      <c r="F101" s="344"/>
      <c r="G101" s="344"/>
      <c r="H101" s="344">
        <f t="shared" si="33"/>
        <v>2003</v>
      </c>
      <c r="I101" s="452">
        <f t="shared" si="32"/>
        <v>1.0000000000000002</v>
      </c>
      <c r="J101" s="453"/>
      <c r="K101" s="453"/>
      <c r="L101" s="453"/>
      <c r="M101" s="453"/>
      <c r="N101" s="453"/>
      <c r="O101" s="453">
        <f>IF($G$93=1,0,0.1429)</f>
        <v>0.1429</v>
      </c>
      <c r="P101" s="453">
        <f>IF($G$93=1,0,0.2449)</f>
        <v>0.2449</v>
      </c>
      <c r="Q101" s="453">
        <f>IF($G$93=1,0,0.1749)</f>
        <v>0.1749</v>
      </c>
      <c r="R101" s="453">
        <f>IF($G$93=1,0,0.1249)</f>
        <v>0.1249</v>
      </c>
      <c r="S101" s="453">
        <f>IF($G$93=1,0,0.0893)</f>
        <v>0.0893</v>
      </c>
      <c r="T101" s="453">
        <f>IF($G$93=1,0,0.0892)</f>
        <v>0.0892</v>
      </c>
      <c r="U101" s="453">
        <f>IF($G$93=1,0,0.0893)</f>
        <v>0.0893</v>
      </c>
      <c r="V101" s="453">
        <f>IF($G$93=1,0,0.0446)</f>
        <v>0.0446</v>
      </c>
      <c r="W101" s="453"/>
      <c r="X101" s="453"/>
      <c r="Y101" s="453"/>
      <c r="Z101" s="453"/>
      <c r="AA101" s="453"/>
      <c r="AB101" s="453"/>
      <c r="AC101" s="453"/>
      <c r="AD101" s="453"/>
      <c r="AE101" s="453"/>
      <c r="AF101" s="453"/>
      <c r="AG101" s="453"/>
      <c r="AH101" s="453"/>
      <c r="AI101" s="453"/>
      <c r="AJ101" s="344"/>
      <c r="AK101" s="344"/>
      <c r="AL101" s="344"/>
      <c r="AM101" s="453"/>
      <c r="AN101" s="344"/>
      <c r="AO101" s="344"/>
      <c r="AP101" s="344"/>
    </row>
    <row r="102" spans="3:42" ht="12.75">
      <c r="C102" s="344"/>
      <c r="D102" s="344"/>
      <c r="E102" s="344"/>
      <c r="F102" s="344"/>
      <c r="G102" s="344"/>
      <c r="H102" s="344">
        <f t="shared" si="33"/>
        <v>2004</v>
      </c>
      <c r="I102" s="452">
        <f t="shared" si="32"/>
        <v>1.0000000000000002</v>
      </c>
      <c r="J102" s="453"/>
      <c r="K102" s="453"/>
      <c r="L102" s="453"/>
      <c r="M102" s="453"/>
      <c r="N102" s="453"/>
      <c r="O102" s="453"/>
      <c r="P102" s="453">
        <f>IF($G$93=1,0,0.1429)</f>
        <v>0.1429</v>
      </c>
      <c r="Q102" s="453">
        <f>IF($G$93=1,0,0.2449)</f>
        <v>0.2449</v>
      </c>
      <c r="R102" s="453">
        <f>IF($G$93=1,0,0.1749)</f>
        <v>0.1749</v>
      </c>
      <c r="S102" s="453">
        <f>IF($G$93=1,0,0.1249)</f>
        <v>0.1249</v>
      </c>
      <c r="T102" s="453">
        <f>IF($G$93=1,0,0.0893)</f>
        <v>0.0893</v>
      </c>
      <c r="U102" s="453">
        <f>IF($G$93=1,0,0.0892)</f>
        <v>0.0892</v>
      </c>
      <c r="V102" s="453">
        <f>IF($G$93=1,0,0.0893)</f>
        <v>0.0893</v>
      </c>
      <c r="W102" s="453">
        <f>IF($G$93=1,0,0.0446)</f>
        <v>0.0446</v>
      </c>
      <c r="X102" s="453"/>
      <c r="Y102" s="453"/>
      <c r="Z102" s="453"/>
      <c r="AA102" s="453"/>
      <c r="AB102" s="453"/>
      <c r="AC102" s="453"/>
      <c r="AD102" s="453"/>
      <c r="AE102" s="453"/>
      <c r="AF102" s="453"/>
      <c r="AG102" s="453"/>
      <c r="AH102" s="453"/>
      <c r="AI102" s="453"/>
      <c r="AJ102" s="453"/>
      <c r="AK102" s="344"/>
      <c r="AL102" s="344"/>
      <c r="AM102" s="453"/>
      <c r="AN102" s="344"/>
      <c r="AO102" s="344"/>
      <c r="AP102" s="344"/>
    </row>
    <row r="103" spans="3:42" ht="12.75">
      <c r="C103" s="344"/>
      <c r="D103" s="344"/>
      <c r="E103" s="344"/>
      <c r="F103" s="344"/>
      <c r="G103" s="344"/>
      <c r="H103" s="344">
        <f t="shared" si="33"/>
        <v>2005</v>
      </c>
      <c r="I103" s="452">
        <f t="shared" si="32"/>
        <v>1.0000000000000002</v>
      </c>
      <c r="J103" s="453"/>
      <c r="K103" s="453"/>
      <c r="L103" s="453"/>
      <c r="M103" s="453"/>
      <c r="N103" s="453"/>
      <c r="O103" s="453"/>
      <c r="P103" s="453"/>
      <c r="Q103" s="453">
        <f>IF($G$93=1,0,0.1429)</f>
        <v>0.1429</v>
      </c>
      <c r="R103" s="453">
        <f>IF($G$93=1,0,0.2449)</f>
        <v>0.2449</v>
      </c>
      <c r="S103" s="453">
        <f>IF($G$93=1,0,0.1749)</f>
        <v>0.1749</v>
      </c>
      <c r="T103" s="453">
        <f>IF($G$93=1,0,0.1249)</f>
        <v>0.1249</v>
      </c>
      <c r="U103" s="453">
        <f>IF($G$93=1,0,0.0893)</f>
        <v>0.0893</v>
      </c>
      <c r="V103" s="453">
        <f>IF($G$93=1,0,0.0892)</f>
        <v>0.0892</v>
      </c>
      <c r="W103" s="453">
        <f>IF($G$93=1,0,0.0893)</f>
        <v>0.0893</v>
      </c>
      <c r="X103" s="453">
        <f>IF($G$93=1,0,IF($G$93=2,1-SUM(Q103:W103),0.0446))</f>
        <v>0.0446</v>
      </c>
      <c r="Y103" s="453"/>
      <c r="Z103" s="453"/>
      <c r="AA103" s="453"/>
      <c r="AB103" s="453"/>
      <c r="AC103" s="453"/>
      <c r="AD103" s="453"/>
      <c r="AE103" s="453"/>
      <c r="AF103" s="453"/>
      <c r="AG103" s="453"/>
      <c r="AH103" s="453"/>
      <c r="AI103" s="453"/>
      <c r="AJ103" s="453"/>
      <c r="AK103" s="453"/>
      <c r="AL103" s="344"/>
      <c r="AM103" s="453"/>
      <c r="AN103" s="344"/>
      <c r="AO103" s="344"/>
      <c r="AP103" s="344"/>
    </row>
    <row r="104" spans="3:42" ht="12.75">
      <c r="C104" s="344"/>
      <c r="D104" s="344"/>
      <c r="E104" s="344"/>
      <c r="F104" s="344"/>
      <c r="G104" s="344"/>
      <c r="H104" s="344">
        <f t="shared" si="33"/>
        <v>2006</v>
      </c>
      <c r="I104" s="452">
        <f t="shared" si="32"/>
        <v>1.0000000000000002</v>
      </c>
      <c r="J104" s="453"/>
      <c r="K104" s="453"/>
      <c r="L104" s="453"/>
      <c r="M104" s="453"/>
      <c r="N104" s="453"/>
      <c r="O104" s="453"/>
      <c r="P104" s="453"/>
      <c r="Q104" s="453"/>
      <c r="R104" s="453">
        <f>IF($G$93=1,0,0.1429)</f>
        <v>0.1429</v>
      </c>
      <c r="S104" s="453">
        <f>IF($G$93=1,0,0.2449)</f>
        <v>0.2449</v>
      </c>
      <c r="T104" s="453">
        <f>IF($G$93=1,0,0.1749)</f>
        <v>0.1749</v>
      </c>
      <c r="U104" s="453">
        <f>IF($G$93=1,0,0.1249)</f>
        <v>0.1249</v>
      </c>
      <c r="V104" s="453">
        <f>IF($G$93=1,0,0.0893)</f>
        <v>0.0893</v>
      </c>
      <c r="W104" s="453">
        <f>IF($G$93=1,0,0.0892)</f>
        <v>0.0892</v>
      </c>
      <c r="X104" s="453">
        <f>IF($G$93=1,0,IF($G$93=2,1-SUM(R104:W104),0.0893))</f>
        <v>0.0893</v>
      </c>
      <c r="Y104" s="453">
        <f>IF($G$93=1,0,IF($G$93=2,0,0.0446))</f>
        <v>0.0446</v>
      </c>
      <c r="Z104" s="453"/>
      <c r="AA104" s="453"/>
      <c r="AB104" s="453"/>
      <c r="AC104" s="453"/>
      <c r="AD104" s="453"/>
      <c r="AE104" s="453"/>
      <c r="AF104" s="453"/>
      <c r="AG104" s="453"/>
      <c r="AH104" s="453"/>
      <c r="AI104" s="453"/>
      <c r="AJ104" s="453"/>
      <c r="AK104" s="453"/>
      <c r="AL104" s="453"/>
      <c r="AM104" s="453"/>
      <c r="AN104" s="344"/>
      <c r="AO104" s="344"/>
      <c r="AP104" s="344"/>
    </row>
    <row r="105" spans="3:42" ht="12.75">
      <c r="C105" s="344"/>
      <c r="D105" s="344"/>
      <c r="E105" s="344"/>
      <c r="F105" s="344"/>
      <c r="G105" s="344"/>
      <c r="H105" s="344">
        <f t="shared" si="33"/>
        <v>2007</v>
      </c>
      <c r="I105" s="452">
        <f t="shared" si="32"/>
        <v>1.0000000000000002</v>
      </c>
      <c r="J105" s="453"/>
      <c r="K105" s="453"/>
      <c r="L105" s="453"/>
      <c r="M105" s="453"/>
      <c r="N105" s="453"/>
      <c r="O105" s="453"/>
      <c r="P105" s="453"/>
      <c r="Q105" s="453"/>
      <c r="R105" s="453"/>
      <c r="S105" s="453">
        <f>IF($G$93=1,0,0.1429)</f>
        <v>0.1429</v>
      </c>
      <c r="T105" s="453">
        <f>IF($G$93=1,0,0.2449)</f>
        <v>0.2449</v>
      </c>
      <c r="U105" s="453">
        <f>IF($G$93=1,0,0.1749)</f>
        <v>0.1749</v>
      </c>
      <c r="V105" s="453">
        <f>IF($G$93=1,0,0.1249)</f>
        <v>0.1249</v>
      </c>
      <c r="W105" s="453">
        <f>IF($G$93=1,0,0.0893)</f>
        <v>0.0893</v>
      </c>
      <c r="X105" s="453">
        <f>IF($G$93=1,0,IF($G$93=2,1-SUM(S105:W105),0.0892))</f>
        <v>0.0892</v>
      </c>
      <c r="Y105" s="453">
        <f>IF($G$93=1,0,IF($G$93=2,0,0.0893))</f>
        <v>0.0893</v>
      </c>
      <c r="Z105" s="453">
        <f>IF($G$93=1,0,IF($G$93=2,0,0.0446))</f>
        <v>0.0446</v>
      </c>
      <c r="AA105" s="453"/>
      <c r="AB105" s="453"/>
      <c r="AC105" s="453"/>
      <c r="AD105" s="453"/>
      <c r="AE105" s="453"/>
      <c r="AF105" s="453"/>
      <c r="AG105" s="453"/>
      <c r="AH105" s="453"/>
      <c r="AI105" s="453"/>
      <c r="AJ105" s="453"/>
      <c r="AK105" s="453"/>
      <c r="AL105" s="453"/>
      <c r="AM105" s="453"/>
      <c r="AN105" s="344"/>
      <c r="AO105" s="344"/>
      <c r="AP105" s="344"/>
    </row>
    <row r="106" spans="3:42" ht="12.75">
      <c r="C106" s="344"/>
      <c r="D106" s="344"/>
      <c r="E106" s="344"/>
      <c r="F106" s="344"/>
      <c r="G106" s="344"/>
      <c r="H106" s="344">
        <f t="shared" si="33"/>
        <v>2008</v>
      </c>
      <c r="I106" s="452">
        <f t="shared" si="32"/>
        <v>1.0000000000000002</v>
      </c>
      <c r="J106" s="453"/>
      <c r="K106" s="453"/>
      <c r="L106" s="453"/>
      <c r="M106" s="453"/>
      <c r="N106" s="453"/>
      <c r="O106" s="453"/>
      <c r="P106" s="453"/>
      <c r="Q106" s="453"/>
      <c r="R106" s="453"/>
      <c r="S106" s="453"/>
      <c r="T106" s="453">
        <f>IF($G$93=1,0,0.1429)</f>
        <v>0.1429</v>
      </c>
      <c r="U106" s="453">
        <f>IF($G$93=1,0,0.2449)</f>
        <v>0.2449</v>
      </c>
      <c r="V106" s="453">
        <f>IF($G$93=1,0,0.1749)</f>
        <v>0.1749</v>
      </c>
      <c r="W106" s="453">
        <f>IF($G$93=1,0,0.1249)</f>
        <v>0.1249</v>
      </c>
      <c r="X106" s="453">
        <f>IF($G$93=1,0,IF($G$93=2,1-SUM(T106:W106),0.0893))</f>
        <v>0.0893</v>
      </c>
      <c r="Y106" s="453">
        <f>IF($G$93=1,0,IF($G$93=2,0,0.0892))</f>
        <v>0.0892</v>
      </c>
      <c r="Z106" s="453">
        <f>IF($G$93=1,0,IF($G$93=2,0,0.0893))</f>
        <v>0.0893</v>
      </c>
      <c r="AA106" s="453">
        <f>IF($G$93=1,0,IF($G$93=2,0,0.0446))</f>
        <v>0.0446</v>
      </c>
      <c r="AB106" s="453"/>
      <c r="AC106" s="453"/>
      <c r="AD106" s="453"/>
      <c r="AE106" s="453"/>
      <c r="AF106" s="453"/>
      <c r="AG106" s="453"/>
      <c r="AH106" s="453"/>
      <c r="AI106" s="453"/>
      <c r="AJ106" s="453"/>
      <c r="AK106" s="453"/>
      <c r="AL106" s="453"/>
      <c r="AM106" s="453"/>
      <c r="AN106" s="453"/>
      <c r="AO106" s="344"/>
      <c r="AP106" s="344"/>
    </row>
    <row r="107" spans="3:42" ht="12.75">
      <c r="C107" s="344"/>
      <c r="D107" s="344"/>
      <c r="E107" s="344"/>
      <c r="F107" s="344"/>
      <c r="G107" s="344"/>
      <c r="H107" s="344">
        <f t="shared" si="33"/>
        <v>2009</v>
      </c>
      <c r="I107" s="452">
        <f t="shared" si="32"/>
        <v>1.0000000000000002</v>
      </c>
      <c r="J107" s="453"/>
      <c r="K107" s="453"/>
      <c r="L107" s="453"/>
      <c r="M107" s="453"/>
      <c r="N107" s="453"/>
      <c r="O107" s="453"/>
      <c r="P107" s="453"/>
      <c r="Q107" s="453"/>
      <c r="R107" s="453"/>
      <c r="S107" s="453"/>
      <c r="T107" s="453"/>
      <c r="U107" s="453">
        <f>IF($G$93=1,0,0.1429)</f>
        <v>0.1429</v>
      </c>
      <c r="V107" s="453">
        <f>IF($G$93=1,0,0.2449)</f>
        <v>0.2449</v>
      </c>
      <c r="W107" s="453">
        <f>IF($G$93=1,0,0.1749)</f>
        <v>0.1749</v>
      </c>
      <c r="X107" s="453">
        <f>IF($G$93=1,0,IF($G$93=2,1-SUM(U107:W107),0.1249))</f>
        <v>0.1249</v>
      </c>
      <c r="Y107" s="453">
        <f>IF($G$93=1,0,IF($G$93=2,0,0.0893))</f>
        <v>0.0893</v>
      </c>
      <c r="Z107" s="453">
        <f>IF($G$93=1,0,IF($G$93=2,0,0.0892))</f>
        <v>0.0892</v>
      </c>
      <c r="AA107" s="453">
        <f>IF($G$93=1,0,IF($G$93=2,0,0.0893))</f>
        <v>0.0893</v>
      </c>
      <c r="AB107" s="453">
        <f>IF($G$93=1,0,IF($G$93=2,0,0.0446))</f>
        <v>0.0446</v>
      </c>
      <c r="AC107" s="453"/>
      <c r="AD107" s="453"/>
      <c r="AE107" s="453"/>
      <c r="AF107" s="453"/>
      <c r="AG107" s="453"/>
      <c r="AH107" s="453"/>
      <c r="AI107" s="453"/>
      <c r="AJ107" s="453"/>
      <c r="AK107" s="453"/>
      <c r="AL107" s="453"/>
      <c r="AM107" s="453"/>
      <c r="AN107" s="453"/>
      <c r="AO107" s="453"/>
      <c r="AP107" s="344"/>
    </row>
    <row r="108" spans="3:42" ht="12.75">
      <c r="C108" s="344"/>
      <c r="D108" s="344"/>
      <c r="E108" s="344"/>
      <c r="F108" s="344"/>
      <c r="G108" s="344"/>
      <c r="H108" s="344">
        <f t="shared" si="33"/>
        <v>2010</v>
      </c>
      <c r="I108" s="452">
        <f t="shared" si="32"/>
        <v>1.0000000000000002</v>
      </c>
      <c r="J108" s="453"/>
      <c r="K108" s="453"/>
      <c r="L108" s="453"/>
      <c r="M108" s="453"/>
      <c r="N108" s="453"/>
      <c r="O108" s="453"/>
      <c r="P108" s="453"/>
      <c r="Q108" s="453"/>
      <c r="R108" s="453"/>
      <c r="S108" s="453"/>
      <c r="T108" s="453"/>
      <c r="U108" s="453"/>
      <c r="V108" s="453">
        <f>IF($G$93=1,0,0.1429)</f>
        <v>0.1429</v>
      </c>
      <c r="W108" s="453">
        <f>IF($G$93=1,0,0.2449)</f>
        <v>0.2449</v>
      </c>
      <c r="X108" s="453">
        <f>IF($G$93=1,0,IF($G$93=2,1-SUM(V108:W108),0.1749))</f>
        <v>0.1749</v>
      </c>
      <c r="Y108" s="453">
        <f>IF($G$93=1,0,IF($G$93=2,0,0.1249))</f>
        <v>0.1249</v>
      </c>
      <c r="Z108" s="453">
        <f>IF($G$93=1,0,IF($G$93=2,0,0.0893))</f>
        <v>0.0893</v>
      </c>
      <c r="AA108" s="453">
        <f>IF($G$93=1,0,IF($G$93=2,0,0.0892))</f>
        <v>0.0892</v>
      </c>
      <c r="AB108" s="453">
        <f>IF($G$93=1,0,IF($G$93=2,0,0.0893))</f>
        <v>0.0893</v>
      </c>
      <c r="AC108" s="453">
        <f>IF($G$93=1,0,IF($G$93=2,0,0.0446))</f>
        <v>0.0446</v>
      </c>
      <c r="AD108" s="453"/>
      <c r="AE108" s="453"/>
      <c r="AF108" s="453"/>
      <c r="AG108" s="453"/>
      <c r="AH108" s="453"/>
      <c r="AI108" s="453"/>
      <c r="AJ108" s="453"/>
      <c r="AK108" s="453"/>
      <c r="AL108" s="453"/>
      <c r="AM108" s="453"/>
      <c r="AN108" s="453"/>
      <c r="AO108" s="453"/>
      <c r="AP108" s="453"/>
    </row>
    <row r="109" spans="3:42" ht="12.75">
      <c r="C109" s="344"/>
      <c r="D109" s="344"/>
      <c r="E109" s="344"/>
      <c r="F109" s="344"/>
      <c r="G109" s="344"/>
      <c r="H109" s="344">
        <f t="shared" si="33"/>
        <v>2011</v>
      </c>
      <c r="I109" s="452">
        <f t="shared" si="32"/>
        <v>1.0000000000000002</v>
      </c>
      <c r="J109" s="453"/>
      <c r="K109" s="453"/>
      <c r="L109" s="453"/>
      <c r="M109" s="453"/>
      <c r="N109" s="453"/>
      <c r="O109" s="453"/>
      <c r="P109" s="453"/>
      <c r="Q109" s="453"/>
      <c r="R109" s="453"/>
      <c r="S109" s="453"/>
      <c r="T109" s="453"/>
      <c r="U109" s="453"/>
      <c r="V109" s="453"/>
      <c r="W109" s="453">
        <f>IF($G$93=1,0,0.1429)</f>
        <v>0.1429</v>
      </c>
      <c r="X109" s="453">
        <f>IF($G$93=1,0,IF($G$93=2,1-SUM(W109:W109),0.2449))</f>
        <v>0.2449</v>
      </c>
      <c r="Y109" s="453">
        <f>IF($G$93=1,0,IF($G$93=2,0,0.1749))</f>
        <v>0.1749</v>
      </c>
      <c r="Z109" s="453">
        <f>IF($G$93=1,0,IF($G$93=2,0,0.1249))</f>
        <v>0.1249</v>
      </c>
      <c r="AA109" s="453">
        <f>IF($G$93=1,0,IF($G$93=2,0,0.0893))</f>
        <v>0.0893</v>
      </c>
      <c r="AB109" s="453">
        <f>IF($G$93=1,0,IF($G$93=2,0,0.0892))</f>
        <v>0.0892</v>
      </c>
      <c r="AC109" s="453">
        <f>IF($G$93=1,0,IF($G$93=2,0,0.0893))</f>
        <v>0.0893</v>
      </c>
      <c r="AD109" s="453">
        <f>IF($G$93=1,0,IF($G$93=2,0,0.0446))</f>
        <v>0.0446</v>
      </c>
      <c r="AE109" s="453"/>
      <c r="AF109" s="453"/>
      <c r="AG109" s="453"/>
      <c r="AH109" s="453"/>
      <c r="AI109" s="453"/>
      <c r="AJ109" s="453"/>
      <c r="AK109" s="453"/>
      <c r="AL109" s="453"/>
      <c r="AM109" s="453"/>
      <c r="AN109" s="453"/>
      <c r="AO109" s="453"/>
      <c r="AP109" s="453"/>
    </row>
    <row r="110" spans="3:42" ht="12.75">
      <c r="C110" s="344"/>
      <c r="D110" s="344"/>
      <c r="E110" s="344"/>
      <c r="F110" s="344"/>
      <c r="G110" s="344"/>
      <c r="H110" s="344">
        <f t="shared" si="33"/>
        <v>2012</v>
      </c>
      <c r="I110" s="452">
        <f t="shared" si="32"/>
        <v>1.0000000000000002</v>
      </c>
      <c r="J110" s="453"/>
      <c r="K110" s="453"/>
      <c r="L110" s="453"/>
      <c r="M110" s="453"/>
      <c r="N110" s="453"/>
      <c r="O110" s="453"/>
      <c r="P110" s="453"/>
      <c r="Q110" s="453"/>
      <c r="R110" s="453"/>
      <c r="S110" s="453"/>
      <c r="T110" s="453"/>
      <c r="U110" s="453"/>
      <c r="V110" s="453"/>
      <c r="W110" s="453"/>
      <c r="X110" s="453">
        <f>IF($G$93=1,0,IF($G$93=2,1,0.1429))</f>
        <v>0.1429</v>
      </c>
      <c r="Y110" s="453">
        <f>IF($G$93=1,0,IF($G$93=2,0,0.2449))</f>
        <v>0.2449</v>
      </c>
      <c r="Z110" s="453">
        <f>IF($G$93=1,0,IF($G$93=2,0,0.1749))</f>
        <v>0.1749</v>
      </c>
      <c r="AA110" s="453">
        <f>IF($G$93=1,0,IF($G$93=2,0,0.1249))</f>
        <v>0.1249</v>
      </c>
      <c r="AB110" s="453">
        <f>IF($G$93=1,0,IF($G$93=2,0,0.0893))</f>
        <v>0.0893</v>
      </c>
      <c r="AC110" s="453">
        <f>IF($G$93=1,0,IF($G$93=2,0,0.0892))</f>
        <v>0.0892</v>
      </c>
      <c r="AD110" s="453">
        <f>IF($G$93=1,0,IF($G$93=2,0,0.0893))</f>
        <v>0.0893</v>
      </c>
      <c r="AE110" s="453">
        <f>IF($G$93=1,0,IF($G$93=2,0,0.0446))</f>
        <v>0.0446</v>
      </c>
      <c r="AF110" s="453"/>
      <c r="AG110" s="453"/>
      <c r="AH110" s="453"/>
      <c r="AI110" s="453"/>
      <c r="AJ110" s="453"/>
      <c r="AK110" s="453"/>
      <c r="AL110" s="453"/>
      <c r="AM110" s="453"/>
      <c r="AN110" s="453"/>
      <c r="AO110" s="453"/>
      <c r="AP110" s="453"/>
    </row>
    <row r="111" spans="3:42" ht="12.75">
      <c r="C111" s="344"/>
      <c r="D111" s="344"/>
      <c r="E111" s="344"/>
      <c r="F111" s="344"/>
      <c r="G111" s="344"/>
      <c r="H111" s="344">
        <f t="shared" si="33"/>
        <v>2013</v>
      </c>
      <c r="I111" s="452">
        <f t="shared" si="32"/>
        <v>1.0000000000000002</v>
      </c>
      <c r="J111" s="453"/>
      <c r="K111" s="453"/>
      <c r="L111" s="453"/>
      <c r="M111" s="453"/>
      <c r="N111" s="453"/>
      <c r="O111" s="453"/>
      <c r="P111" s="453"/>
      <c r="Q111" s="453"/>
      <c r="R111" s="453"/>
      <c r="S111" s="453"/>
      <c r="T111" s="453"/>
      <c r="U111" s="453"/>
      <c r="V111" s="453"/>
      <c r="W111" s="453"/>
      <c r="X111" s="453"/>
      <c r="Y111" s="453">
        <f>IF($G$93=1,0,IF($G$93=2,0,0.1429))</f>
        <v>0.1429</v>
      </c>
      <c r="Z111" s="453">
        <f>IF($G$93=1,0,IF($G$93=2,0,0.2449))</f>
        <v>0.2449</v>
      </c>
      <c r="AA111" s="453">
        <f>IF($G$93=1,0,IF($G$93=2,0,0.1749))</f>
        <v>0.1749</v>
      </c>
      <c r="AB111" s="453">
        <f>IF($G$93=1,0,IF($G$93=2,0,0.1249))</f>
        <v>0.1249</v>
      </c>
      <c r="AC111" s="453">
        <f>IF($G$93=1,0,IF($G$93=2,0,0.0893))</f>
        <v>0.0893</v>
      </c>
      <c r="AD111" s="453">
        <f>IF($G$93=1,0,IF($G$93=2,0,0.0892))</f>
        <v>0.0892</v>
      </c>
      <c r="AE111" s="453">
        <f>IF($G$93=1,0,IF($G$93=2,0,0.0893))</f>
        <v>0.0893</v>
      </c>
      <c r="AF111" s="453">
        <f>IF($G$93=1,0,IF($G$93=2,0,0.0446))</f>
        <v>0.0446</v>
      </c>
      <c r="AG111" s="453"/>
      <c r="AH111" s="453"/>
      <c r="AI111" s="453"/>
      <c r="AJ111" s="453"/>
      <c r="AK111" s="453"/>
      <c r="AL111" s="453"/>
      <c r="AM111" s="453"/>
      <c r="AN111" s="453"/>
      <c r="AO111" s="453"/>
      <c r="AP111" s="453"/>
    </row>
    <row r="112" spans="3:42" ht="12.75">
      <c r="C112" s="344"/>
      <c r="D112" s="344"/>
      <c r="E112" s="344"/>
      <c r="F112" s="344"/>
      <c r="G112" s="344"/>
      <c r="H112" s="344">
        <f t="shared" si="33"/>
        <v>2014</v>
      </c>
      <c r="I112" s="452">
        <f t="shared" si="32"/>
        <v>1.0000000000000002</v>
      </c>
      <c r="J112" s="453"/>
      <c r="K112" s="453"/>
      <c r="L112" s="453"/>
      <c r="M112" s="453"/>
      <c r="N112" s="453"/>
      <c r="O112" s="453"/>
      <c r="P112" s="453"/>
      <c r="Q112" s="453"/>
      <c r="R112" s="453"/>
      <c r="S112" s="453"/>
      <c r="T112" s="453"/>
      <c r="U112" s="453"/>
      <c r="V112" s="453"/>
      <c r="W112" s="453"/>
      <c r="X112" s="453"/>
      <c r="Y112" s="453"/>
      <c r="Z112" s="453">
        <f>IF($G$93=1,0,IF($G$93=2,0,0.1429))</f>
        <v>0.1429</v>
      </c>
      <c r="AA112" s="453">
        <f>IF($G$93=1,0,IF($G$93=2,0,0.2449))</f>
        <v>0.2449</v>
      </c>
      <c r="AB112" s="453">
        <f>IF($G$93=1,0,IF($G$93=2,0,0.1749))</f>
        <v>0.1749</v>
      </c>
      <c r="AC112" s="453">
        <f>IF($G$93=1,0,IF($G$93=2,0,0.1249))</f>
        <v>0.1249</v>
      </c>
      <c r="AD112" s="453">
        <f>IF($G$93=1,0,IF($G$93=2,0,0.0893))</f>
        <v>0.0893</v>
      </c>
      <c r="AE112" s="453">
        <f>IF($G$93=1,0,IF($G$93=2,0,0.0892))</f>
        <v>0.0892</v>
      </c>
      <c r="AF112" s="453">
        <f>IF($G$93=1,0,IF($G$93=2,0,0.0893))</f>
        <v>0.0893</v>
      </c>
      <c r="AG112" s="453">
        <f>IF($G$93=1,0,IF($G$93=2,0,0.0446))</f>
        <v>0.0446</v>
      </c>
      <c r="AH112" s="453"/>
      <c r="AI112" s="453"/>
      <c r="AJ112" s="453"/>
      <c r="AK112" s="453"/>
      <c r="AL112" s="453"/>
      <c r="AM112" s="453"/>
      <c r="AN112" s="453"/>
      <c r="AO112" s="453"/>
      <c r="AP112" s="453"/>
    </row>
    <row r="113" spans="3:42" ht="12.75">
      <c r="C113" s="344"/>
      <c r="D113" s="344"/>
      <c r="E113" s="344"/>
      <c r="F113" s="344"/>
      <c r="G113" s="344"/>
      <c r="H113" s="344">
        <f t="shared" si="33"/>
        <v>2015</v>
      </c>
      <c r="I113" s="452">
        <f t="shared" si="32"/>
        <v>1.0000000000000002</v>
      </c>
      <c r="J113" s="453"/>
      <c r="K113" s="453"/>
      <c r="L113" s="453"/>
      <c r="M113" s="453"/>
      <c r="N113" s="453"/>
      <c r="O113" s="453"/>
      <c r="P113" s="453"/>
      <c r="Q113" s="453"/>
      <c r="R113" s="453"/>
      <c r="S113" s="453"/>
      <c r="T113" s="453"/>
      <c r="U113" s="453"/>
      <c r="V113" s="453"/>
      <c r="W113" s="453"/>
      <c r="X113" s="453"/>
      <c r="Y113" s="453"/>
      <c r="Z113" s="453"/>
      <c r="AA113" s="453">
        <f>IF($G$93=1,0,IF($G$93=2,0,0.1429))</f>
        <v>0.1429</v>
      </c>
      <c r="AB113" s="453">
        <f>IF($G$93=1,0,IF($G$93=2,0,0.2449))</f>
        <v>0.2449</v>
      </c>
      <c r="AC113" s="453">
        <f>IF($G$93=1,0,IF($G$93=2,0,0.1749))</f>
        <v>0.1749</v>
      </c>
      <c r="AD113" s="453">
        <f>IF($G$93=1,0,IF($G$93=2,0,0.1249))</f>
        <v>0.1249</v>
      </c>
      <c r="AE113" s="453">
        <f>IF($G$93=1,0,IF($G$93=2,0,0.0893))</f>
        <v>0.0893</v>
      </c>
      <c r="AF113" s="453">
        <f>IF($G$93=1,0,IF($G$93=2,0,0.0892))</f>
        <v>0.0892</v>
      </c>
      <c r="AG113" s="453">
        <f>IF($G$93=1,0,IF($G$93=2,0,0.0893))</f>
        <v>0.0893</v>
      </c>
      <c r="AH113" s="453">
        <f>IF($G$93=1,0,IF($G$93=2,0,0.0446))</f>
        <v>0.0446</v>
      </c>
      <c r="AI113" s="453"/>
      <c r="AJ113" s="453"/>
      <c r="AK113" s="453"/>
      <c r="AL113" s="453"/>
      <c r="AM113" s="453"/>
      <c r="AN113" s="453"/>
      <c r="AO113" s="453"/>
      <c r="AP113" s="453"/>
    </row>
    <row r="114" spans="3:42" ht="12.75">
      <c r="C114" s="344"/>
      <c r="D114" s="344"/>
      <c r="E114" s="344"/>
      <c r="F114" s="344"/>
      <c r="G114" s="344"/>
      <c r="H114" s="344">
        <f t="shared" si="33"/>
        <v>2016</v>
      </c>
      <c r="I114" s="452">
        <f t="shared" si="32"/>
        <v>1</v>
      </c>
      <c r="J114" s="453"/>
      <c r="K114" s="453"/>
      <c r="L114" s="453"/>
      <c r="M114" s="453"/>
      <c r="N114" s="453"/>
      <c r="O114" s="453"/>
      <c r="P114" s="453"/>
      <c r="Q114" s="453"/>
      <c r="R114" s="453"/>
      <c r="S114" s="453"/>
      <c r="T114" s="453"/>
      <c r="U114" s="453"/>
      <c r="V114" s="453"/>
      <c r="W114" s="453"/>
      <c r="X114" s="453"/>
      <c r="Y114" s="453"/>
      <c r="Z114" s="453"/>
      <c r="AA114" s="453"/>
      <c r="AB114" s="453">
        <f>IF($G$93=1,0,IF($G$93=2,0,0.1429))</f>
        <v>0.1429</v>
      </c>
      <c r="AC114" s="453">
        <f>IF($G$93=1,0,IF($G$93=2,0,0.2449))</f>
        <v>0.2449</v>
      </c>
      <c r="AD114" s="453">
        <f>IF($G$93=1,0,IF($G$93=2,0,0.1749))</f>
        <v>0.1749</v>
      </c>
      <c r="AE114" s="453">
        <f>IF($G$93=1,0,IF($G$93=2,0,0.1249))</f>
        <v>0.1249</v>
      </c>
      <c r="AF114" s="453">
        <f>IF($G$93=1,0,IF($G$93=2,0,0.0893))</f>
        <v>0.0893</v>
      </c>
      <c r="AG114" s="453">
        <f>IF($G$93=1,0,IF($G$93=2,0,0.0892))</f>
        <v>0.0892</v>
      </c>
      <c r="AH114" s="453">
        <f>IF($G$93=1,0,IF($G$93=2,0,0.0893))</f>
        <v>0.0893</v>
      </c>
      <c r="AI114" s="453">
        <f>1-SUM($J114:AH114)</f>
        <v>0.04459999999999986</v>
      </c>
      <c r="AJ114" s="453"/>
      <c r="AK114" s="453"/>
      <c r="AL114" s="453"/>
      <c r="AM114" s="453"/>
      <c r="AN114" s="453"/>
      <c r="AO114" s="453"/>
      <c r="AP114" s="453"/>
    </row>
    <row r="115" spans="3:42" ht="12.75">
      <c r="C115" s="344"/>
      <c r="D115" s="344"/>
      <c r="E115" s="344"/>
      <c r="F115" s="344"/>
      <c r="G115" s="344"/>
      <c r="H115" s="344">
        <f t="shared" si="33"/>
        <v>2017</v>
      </c>
      <c r="I115" s="452">
        <f t="shared" si="32"/>
        <v>1</v>
      </c>
      <c r="J115" s="453"/>
      <c r="K115" s="453"/>
      <c r="L115" s="453"/>
      <c r="M115" s="453"/>
      <c r="N115" s="453"/>
      <c r="O115" s="453"/>
      <c r="P115" s="453"/>
      <c r="Q115" s="453"/>
      <c r="R115" s="453"/>
      <c r="S115" s="453"/>
      <c r="T115" s="453"/>
      <c r="U115" s="453"/>
      <c r="V115" s="453"/>
      <c r="W115" s="453"/>
      <c r="X115" s="453"/>
      <c r="Y115" s="453"/>
      <c r="Z115" s="453"/>
      <c r="AA115" s="453"/>
      <c r="AB115" s="453"/>
      <c r="AC115" s="453">
        <f>IF($G$93=1,0,IF($G$93=2,0,0.1429))</f>
        <v>0.1429</v>
      </c>
      <c r="AD115" s="453">
        <f>IF($G$93=1,0,IF($G$93=2,0,0.2449))</f>
        <v>0.2449</v>
      </c>
      <c r="AE115" s="453">
        <f>IF($G$93=1,0,IF($G$93=2,0,0.1749))</f>
        <v>0.1749</v>
      </c>
      <c r="AF115" s="453">
        <f>IF($G$93=1,0,IF($G$93=2,0,0.1249))</f>
        <v>0.1249</v>
      </c>
      <c r="AG115" s="453">
        <f>IF($G$93=1,0,IF($G$93=2,0,0.0893))</f>
        <v>0.0893</v>
      </c>
      <c r="AH115" s="453">
        <f>IF($G$93=1,0,IF($G$93=2,0,0.0892))</f>
        <v>0.0892</v>
      </c>
      <c r="AI115" s="453">
        <f>1-SUM($J115:AH115)</f>
        <v>0.1338999999999999</v>
      </c>
      <c r="AJ115" s="453"/>
      <c r="AK115" s="453"/>
      <c r="AL115" s="453"/>
      <c r="AM115" s="453"/>
      <c r="AN115" s="453"/>
      <c r="AO115" s="453"/>
      <c r="AP115" s="453"/>
    </row>
    <row r="116" spans="3:42" ht="12.75">
      <c r="C116" s="344"/>
      <c r="D116" s="344"/>
      <c r="E116" s="344"/>
      <c r="F116" s="344"/>
      <c r="G116" s="344"/>
      <c r="H116" s="344">
        <f t="shared" si="33"/>
        <v>2018</v>
      </c>
      <c r="I116" s="452">
        <f t="shared" si="32"/>
        <v>1</v>
      </c>
      <c r="J116" s="453"/>
      <c r="K116" s="453"/>
      <c r="L116" s="453"/>
      <c r="M116" s="453"/>
      <c r="N116" s="453"/>
      <c r="O116" s="453"/>
      <c r="P116" s="453"/>
      <c r="Q116" s="453"/>
      <c r="R116" s="453"/>
      <c r="S116" s="453"/>
      <c r="T116" s="453"/>
      <c r="U116" s="453"/>
      <c r="V116" s="453"/>
      <c r="W116" s="453"/>
      <c r="X116" s="453"/>
      <c r="Y116" s="453"/>
      <c r="Z116" s="453"/>
      <c r="AA116" s="453"/>
      <c r="AB116" s="453"/>
      <c r="AC116" s="453"/>
      <c r="AD116" s="453">
        <f>IF($G$93=1,0,IF($G$93=2,0,0.1429))</f>
        <v>0.1429</v>
      </c>
      <c r="AE116" s="453">
        <f>IF($G$93=1,0,IF($G$93=2,0,0.2449))</f>
        <v>0.2449</v>
      </c>
      <c r="AF116" s="453">
        <f>IF($G$93=1,0,IF($G$93=2,0,0.1749))</f>
        <v>0.1749</v>
      </c>
      <c r="AG116" s="453">
        <f>IF($G$93=1,0,IF($G$93=2,0,0.1249))</f>
        <v>0.1249</v>
      </c>
      <c r="AH116" s="453">
        <f>IF($G$93=1,0,IF($G$93=2,0,0.0893))</f>
        <v>0.0893</v>
      </c>
      <c r="AI116" s="453">
        <f>1-SUM($J116:AH116)</f>
        <v>0.22309999999999997</v>
      </c>
      <c r="AJ116" s="453"/>
      <c r="AK116" s="453"/>
      <c r="AL116" s="453"/>
      <c r="AM116" s="453"/>
      <c r="AN116" s="453"/>
      <c r="AO116" s="453"/>
      <c r="AP116" s="453"/>
    </row>
    <row r="117" spans="3:42" ht="12.75">
      <c r="C117" s="344"/>
      <c r="D117" s="344"/>
      <c r="E117" s="344"/>
      <c r="F117" s="344"/>
      <c r="G117" s="344"/>
      <c r="H117" s="344">
        <f t="shared" si="33"/>
        <v>2019</v>
      </c>
      <c r="I117" s="452">
        <f t="shared" si="32"/>
        <v>1</v>
      </c>
      <c r="J117" s="344"/>
      <c r="K117" s="453"/>
      <c r="L117" s="453"/>
      <c r="M117" s="453"/>
      <c r="N117" s="453"/>
      <c r="O117" s="453"/>
      <c r="P117" s="453"/>
      <c r="Q117" s="453"/>
      <c r="R117" s="453"/>
      <c r="S117" s="453"/>
      <c r="T117" s="453"/>
      <c r="U117" s="453"/>
      <c r="V117" s="453"/>
      <c r="W117" s="453"/>
      <c r="X117" s="453"/>
      <c r="Y117" s="453"/>
      <c r="Z117" s="453"/>
      <c r="AA117" s="453"/>
      <c r="AB117" s="453"/>
      <c r="AC117" s="453"/>
      <c r="AD117" s="453"/>
      <c r="AE117" s="453">
        <f>IF($G$93=1,0,IF($G$93=2,0,0.1429))</f>
        <v>0.1429</v>
      </c>
      <c r="AF117" s="453">
        <f>IF($G$93=1,0,IF($G$93=2,0,0.2449))</f>
        <v>0.2449</v>
      </c>
      <c r="AG117" s="453">
        <f>IF($G$93=1,0,IF($G$93=2,0,0.1749))</f>
        <v>0.1749</v>
      </c>
      <c r="AH117" s="453">
        <f>IF($G$93=1,0,IF($G$93=2,0,0.1249))</f>
        <v>0.1249</v>
      </c>
      <c r="AI117" s="453">
        <f>1-SUM($J117:AH117)</f>
        <v>0.3124</v>
      </c>
      <c r="AJ117" s="453"/>
      <c r="AK117" s="453"/>
      <c r="AL117" s="453"/>
      <c r="AM117" s="453"/>
      <c r="AN117" s="453"/>
      <c r="AO117" s="453"/>
      <c r="AP117" s="453"/>
    </row>
    <row r="118" spans="3:42" ht="12.75">
      <c r="C118" s="344"/>
      <c r="D118" s="344"/>
      <c r="E118" s="344"/>
      <c r="F118" s="344"/>
      <c r="G118" s="344"/>
      <c r="H118" s="344">
        <f t="shared" si="33"/>
        <v>2020</v>
      </c>
      <c r="I118" s="452">
        <f t="shared" si="32"/>
        <v>1</v>
      </c>
      <c r="J118" s="344"/>
      <c r="K118" s="344"/>
      <c r="L118" s="453"/>
      <c r="M118" s="453"/>
      <c r="N118" s="453"/>
      <c r="O118" s="453"/>
      <c r="P118" s="453"/>
      <c r="Q118" s="453"/>
      <c r="R118" s="453"/>
      <c r="S118" s="453"/>
      <c r="T118" s="453"/>
      <c r="U118" s="453"/>
      <c r="V118" s="453"/>
      <c r="W118" s="453"/>
      <c r="X118" s="453"/>
      <c r="Y118" s="453"/>
      <c r="Z118" s="453"/>
      <c r="AA118" s="453"/>
      <c r="AB118" s="453"/>
      <c r="AC118" s="453"/>
      <c r="AD118" s="453"/>
      <c r="AE118" s="453"/>
      <c r="AF118" s="453">
        <f>IF($G$93=1,0,IF($G$93=2,0,0.1429))</f>
        <v>0.1429</v>
      </c>
      <c r="AG118" s="453">
        <f>IF($G$93=1,0,IF($G$93=2,0,0.2449))</f>
        <v>0.2449</v>
      </c>
      <c r="AH118" s="453">
        <f>IF($G$93=1,0,IF($G$93=2,0,0.1749))</f>
        <v>0.1749</v>
      </c>
      <c r="AI118" s="453">
        <f>1-SUM($J118:AH118)</f>
        <v>0.4373</v>
      </c>
      <c r="AJ118" s="453"/>
      <c r="AK118" s="453"/>
      <c r="AL118" s="453"/>
      <c r="AM118" s="453"/>
      <c r="AN118" s="453"/>
      <c r="AO118" s="453"/>
      <c r="AP118" s="453"/>
    </row>
    <row r="119" spans="3:42" ht="12.75">
      <c r="C119" s="344"/>
      <c r="D119" s="344"/>
      <c r="E119" s="344"/>
      <c r="F119" s="344"/>
      <c r="G119" s="344"/>
      <c r="H119" s="344">
        <f t="shared" si="33"/>
        <v>2021</v>
      </c>
      <c r="I119" s="452">
        <f t="shared" si="32"/>
        <v>1</v>
      </c>
      <c r="J119" s="344"/>
      <c r="K119" s="344"/>
      <c r="L119" s="344"/>
      <c r="M119" s="453"/>
      <c r="N119" s="453"/>
      <c r="O119" s="453"/>
      <c r="P119" s="453"/>
      <c r="Q119" s="453"/>
      <c r="R119" s="453"/>
      <c r="S119" s="453"/>
      <c r="T119" s="453"/>
      <c r="U119" s="453"/>
      <c r="V119" s="453"/>
      <c r="W119" s="453"/>
      <c r="X119" s="453"/>
      <c r="Y119" s="453"/>
      <c r="Z119" s="453"/>
      <c r="AA119" s="453"/>
      <c r="AB119" s="453"/>
      <c r="AC119" s="453"/>
      <c r="AD119" s="453"/>
      <c r="AE119" s="453"/>
      <c r="AF119" s="453"/>
      <c r="AG119" s="453">
        <f>IF($G$93=1,0,IF($G$93=2,0,0.1429))</f>
        <v>0.1429</v>
      </c>
      <c r="AH119" s="453">
        <f>IF($G$93=1,0,IF($G$93=2,0,0.2449))</f>
        <v>0.2449</v>
      </c>
      <c r="AI119" s="453">
        <f>1-SUM($J119:AH119)</f>
        <v>0.6122</v>
      </c>
      <c r="AJ119" s="453"/>
      <c r="AK119" s="453"/>
      <c r="AL119" s="453"/>
      <c r="AM119" s="453"/>
      <c r="AN119" s="453"/>
      <c r="AO119" s="453"/>
      <c r="AP119" s="453"/>
    </row>
    <row r="120" spans="3:42" ht="12.75">
      <c r="C120" s="344"/>
      <c r="D120" s="344"/>
      <c r="E120" s="344"/>
      <c r="F120" s="344"/>
      <c r="G120" s="344"/>
      <c r="H120" s="344">
        <f t="shared" si="33"/>
        <v>2022</v>
      </c>
      <c r="I120" s="452">
        <f t="shared" si="32"/>
        <v>1</v>
      </c>
      <c r="J120" s="344"/>
      <c r="K120" s="344"/>
      <c r="L120" s="344"/>
      <c r="M120" s="344"/>
      <c r="N120" s="453"/>
      <c r="O120" s="453"/>
      <c r="P120" s="453"/>
      <c r="Q120" s="453"/>
      <c r="R120" s="453"/>
      <c r="S120" s="453"/>
      <c r="T120" s="453"/>
      <c r="U120" s="453"/>
      <c r="V120" s="453"/>
      <c r="W120" s="453"/>
      <c r="X120" s="453"/>
      <c r="Y120" s="453"/>
      <c r="Z120" s="453"/>
      <c r="AA120" s="453"/>
      <c r="AB120" s="453"/>
      <c r="AC120" s="453"/>
      <c r="AD120" s="453"/>
      <c r="AE120" s="453"/>
      <c r="AF120" s="453"/>
      <c r="AG120" s="453"/>
      <c r="AH120" s="453">
        <f>IF($G$93=1,0,IF($G$93=2,0,0.1429))</f>
        <v>0.1429</v>
      </c>
      <c r="AI120" s="453">
        <f>1-SUM($J120:AH120)</f>
        <v>0.8571</v>
      </c>
      <c r="AJ120" s="453"/>
      <c r="AK120" s="453"/>
      <c r="AL120" s="453"/>
      <c r="AM120" s="453"/>
      <c r="AN120" s="453"/>
      <c r="AO120" s="453"/>
      <c r="AP120" s="453"/>
    </row>
    <row r="121" spans="3:42" ht="12.75">
      <c r="C121" s="344"/>
      <c r="D121" s="344"/>
      <c r="E121" s="344"/>
      <c r="F121" s="344"/>
      <c r="G121" s="344"/>
      <c r="H121" s="344">
        <f t="shared" si="33"/>
        <v>2023</v>
      </c>
      <c r="I121" s="452">
        <f t="shared" si="32"/>
        <v>1</v>
      </c>
      <c r="J121" s="344"/>
      <c r="K121" s="344"/>
      <c r="L121" s="344"/>
      <c r="M121" s="344"/>
      <c r="N121" s="344"/>
      <c r="O121" s="453"/>
      <c r="P121" s="453"/>
      <c r="Q121" s="453"/>
      <c r="R121" s="453"/>
      <c r="S121" s="453"/>
      <c r="T121" s="453"/>
      <c r="U121" s="453"/>
      <c r="V121" s="453"/>
      <c r="W121" s="453"/>
      <c r="X121" s="453"/>
      <c r="Y121" s="453"/>
      <c r="Z121" s="453"/>
      <c r="AA121" s="453"/>
      <c r="AB121" s="453"/>
      <c r="AC121" s="453"/>
      <c r="AD121" s="453"/>
      <c r="AE121" s="453"/>
      <c r="AF121" s="453"/>
      <c r="AG121" s="453"/>
      <c r="AH121" s="453"/>
      <c r="AI121" s="453">
        <f>1-SUM($J121:AH121)</f>
        <v>1</v>
      </c>
      <c r="AJ121" s="453"/>
      <c r="AK121" s="453"/>
      <c r="AL121" s="453"/>
      <c r="AM121" s="453"/>
      <c r="AN121" s="453"/>
      <c r="AO121" s="453"/>
      <c r="AP121" s="453"/>
    </row>
    <row r="122" spans="3:42" ht="12.75">
      <c r="C122" s="344"/>
      <c r="D122" s="344"/>
      <c r="E122" s="344"/>
      <c r="F122" s="344"/>
      <c r="G122" s="344"/>
      <c r="H122" s="344">
        <f t="shared" si="33"/>
        <v>2024</v>
      </c>
      <c r="I122" s="452">
        <f t="shared" si="32"/>
        <v>1</v>
      </c>
      <c r="J122" s="344"/>
      <c r="K122" s="344"/>
      <c r="L122" s="344"/>
      <c r="M122" s="344"/>
      <c r="N122" s="344"/>
      <c r="O122" s="344"/>
      <c r="P122" s="453"/>
      <c r="Q122" s="453"/>
      <c r="R122" s="453"/>
      <c r="S122" s="453"/>
      <c r="T122" s="453"/>
      <c r="U122" s="453"/>
      <c r="V122" s="453"/>
      <c r="W122" s="453"/>
      <c r="X122" s="453"/>
      <c r="Y122" s="453"/>
      <c r="Z122" s="453"/>
      <c r="AA122" s="453"/>
      <c r="AB122" s="453"/>
      <c r="AC122" s="453"/>
      <c r="AD122" s="453"/>
      <c r="AE122" s="453"/>
      <c r="AF122" s="453"/>
      <c r="AG122" s="453"/>
      <c r="AH122" s="453"/>
      <c r="AI122" s="453"/>
      <c r="AJ122" s="453">
        <f>1-SUM($J122:AI122)</f>
        <v>1</v>
      </c>
      <c r="AK122" s="453"/>
      <c r="AL122" s="453"/>
      <c r="AM122" s="453"/>
      <c r="AN122" s="453"/>
      <c r="AO122" s="453"/>
      <c r="AP122" s="453"/>
    </row>
    <row r="123" spans="3:42" ht="12.75">
      <c r="C123" s="344"/>
      <c r="D123" s="344"/>
      <c r="E123" s="344"/>
      <c r="F123" s="344"/>
      <c r="G123" s="344"/>
      <c r="H123" s="344">
        <f t="shared" si="33"/>
        <v>2025</v>
      </c>
      <c r="I123" s="452">
        <f t="shared" si="32"/>
        <v>1</v>
      </c>
      <c r="J123" s="344"/>
      <c r="K123" s="344"/>
      <c r="L123" s="344"/>
      <c r="M123" s="344"/>
      <c r="N123" s="344"/>
      <c r="O123" s="344"/>
      <c r="P123" s="344"/>
      <c r="Q123" s="453"/>
      <c r="R123" s="453"/>
      <c r="S123" s="453"/>
      <c r="T123" s="453"/>
      <c r="U123" s="453"/>
      <c r="V123" s="453"/>
      <c r="W123" s="453"/>
      <c r="X123" s="453"/>
      <c r="Y123" s="453"/>
      <c r="Z123" s="453"/>
      <c r="AA123" s="453"/>
      <c r="AB123" s="453"/>
      <c r="AC123" s="453"/>
      <c r="AD123" s="453"/>
      <c r="AE123" s="453"/>
      <c r="AF123" s="453"/>
      <c r="AG123" s="453"/>
      <c r="AH123" s="453"/>
      <c r="AI123" s="453"/>
      <c r="AJ123" s="453"/>
      <c r="AK123" s="453">
        <f>1-SUM($J123:AJ123)</f>
        <v>1</v>
      </c>
      <c r="AL123" s="453"/>
      <c r="AM123" s="453"/>
      <c r="AN123" s="453"/>
      <c r="AO123" s="453"/>
      <c r="AP123" s="453"/>
    </row>
    <row r="124" spans="3:42" ht="12.75">
      <c r="C124" s="344"/>
      <c r="D124" s="344"/>
      <c r="E124" s="344"/>
      <c r="F124" s="344"/>
      <c r="G124" s="344"/>
      <c r="H124" s="344">
        <f t="shared" si="33"/>
        <v>2026</v>
      </c>
      <c r="I124" s="452">
        <f t="shared" si="32"/>
        <v>1</v>
      </c>
      <c r="J124" s="344"/>
      <c r="K124" s="344"/>
      <c r="L124" s="344"/>
      <c r="M124" s="344"/>
      <c r="N124" s="344"/>
      <c r="O124" s="344"/>
      <c r="P124" s="344"/>
      <c r="Q124" s="344"/>
      <c r="R124" s="453"/>
      <c r="S124" s="453"/>
      <c r="T124" s="453"/>
      <c r="U124" s="453"/>
      <c r="V124" s="453"/>
      <c r="W124" s="453"/>
      <c r="X124" s="453"/>
      <c r="Y124" s="453"/>
      <c r="Z124" s="453"/>
      <c r="AA124" s="453"/>
      <c r="AB124" s="453"/>
      <c r="AC124" s="453"/>
      <c r="AD124" s="453"/>
      <c r="AE124" s="453"/>
      <c r="AF124" s="453"/>
      <c r="AG124" s="453"/>
      <c r="AH124" s="453"/>
      <c r="AI124" s="453"/>
      <c r="AJ124" s="453"/>
      <c r="AK124" s="453"/>
      <c r="AL124" s="453">
        <f>1-SUM($J124:AK124)</f>
        <v>1</v>
      </c>
      <c r="AM124" s="453"/>
      <c r="AN124" s="453"/>
      <c r="AO124" s="453"/>
      <c r="AP124" s="453"/>
    </row>
    <row r="125" spans="3:42" ht="12.75">
      <c r="C125" s="344"/>
      <c r="D125" s="344"/>
      <c r="E125" s="344"/>
      <c r="F125" s="344"/>
      <c r="G125" s="344"/>
      <c r="H125" s="344">
        <f t="shared" si="33"/>
        <v>2027</v>
      </c>
      <c r="I125" s="452">
        <f t="shared" si="32"/>
        <v>1</v>
      </c>
      <c r="J125" s="344"/>
      <c r="K125" s="344"/>
      <c r="L125" s="344"/>
      <c r="M125" s="344"/>
      <c r="N125" s="344"/>
      <c r="O125" s="344"/>
      <c r="P125" s="344"/>
      <c r="Q125" s="344"/>
      <c r="R125" s="344"/>
      <c r="S125" s="453"/>
      <c r="T125" s="453"/>
      <c r="U125" s="453"/>
      <c r="V125" s="453"/>
      <c r="W125" s="453"/>
      <c r="X125" s="453"/>
      <c r="Y125" s="453"/>
      <c r="Z125" s="453"/>
      <c r="AA125" s="453"/>
      <c r="AB125" s="453"/>
      <c r="AC125" s="453"/>
      <c r="AD125" s="453"/>
      <c r="AE125" s="453"/>
      <c r="AF125" s="453"/>
      <c r="AG125" s="453"/>
      <c r="AH125" s="453"/>
      <c r="AI125" s="453"/>
      <c r="AJ125" s="453"/>
      <c r="AK125" s="453"/>
      <c r="AL125" s="453"/>
      <c r="AM125" s="453">
        <f>1-SUM($J125:AL125)</f>
        <v>1</v>
      </c>
      <c r="AN125" s="453"/>
      <c r="AO125" s="453"/>
      <c r="AP125" s="453"/>
    </row>
    <row r="126" spans="3:42" ht="12.75">
      <c r="C126" s="344"/>
      <c r="D126" s="344"/>
      <c r="E126" s="344"/>
      <c r="F126" s="344"/>
      <c r="G126" s="344"/>
      <c r="H126" s="344">
        <f t="shared" si="33"/>
        <v>2028</v>
      </c>
      <c r="I126" s="452">
        <f t="shared" si="32"/>
        <v>1</v>
      </c>
      <c r="J126" s="344"/>
      <c r="K126" s="344"/>
      <c r="L126" s="344"/>
      <c r="M126" s="344"/>
      <c r="N126" s="344"/>
      <c r="O126" s="344"/>
      <c r="P126" s="344"/>
      <c r="Q126" s="344"/>
      <c r="R126" s="344"/>
      <c r="S126" s="344"/>
      <c r="T126" s="453"/>
      <c r="U126" s="453"/>
      <c r="V126" s="453"/>
      <c r="W126" s="453"/>
      <c r="X126" s="453"/>
      <c r="Y126" s="453"/>
      <c r="Z126" s="453"/>
      <c r="AA126" s="453"/>
      <c r="AB126" s="453"/>
      <c r="AC126" s="453"/>
      <c r="AD126" s="453"/>
      <c r="AE126" s="453"/>
      <c r="AF126" s="453"/>
      <c r="AG126" s="453"/>
      <c r="AH126" s="453"/>
      <c r="AI126" s="453"/>
      <c r="AJ126" s="453"/>
      <c r="AK126" s="453"/>
      <c r="AL126" s="453"/>
      <c r="AM126" s="453"/>
      <c r="AN126" s="453">
        <f>1-SUM($J126:AM126)</f>
        <v>1</v>
      </c>
      <c r="AO126" s="344"/>
      <c r="AP126" s="344"/>
    </row>
    <row r="127" spans="3:42" ht="12.75">
      <c r="C127" s="344"/>
      <c r="D127" s="344"/>
      <c r="E127" s="344"/>
      <c r="F127" s="344"/>
      <c r="G127" s="344"/>
      <c r="H127" s="344">
        <f t="shared" si="33"/>
        <v>2029</v>
      </c>
      <c r="I127" s="452">
        <f t="shared" si="32"/>
        <v>1</v>
      </c>
      <c r="J127" s="344"/>
      <c r="K127" s="344"/>
      <c r="L127" s="344"/>
      <c r="M127" s="344"/>
      <c r="N127" s="344"/>
      <c r="O127" s="344"/>
      <c r="P127" s="344"/>
      <c r="Q127" s="344"/>
      <c r="R127" s="344"/>
      <c r="S127" s="344"/>
      <c r="T127" s="344"/>
      <c r="U127" s="453"/>
      <c r="V127" s="453"/>
      <c r="W127" s="453"/>
      <c r="X127" s="453"/>
      <c r="Y127" s="453"/>
      <c r="Z127" s="453"/>
      <c r="AA127" s="453"/>
      <c r="AB127" s="453"/>
      <c r="AC127" s="453"/>
      <c r="AD127" s="453"/>
      <c r="AE127" s="453"/>
      <c r="AF127" s="453"/>
      <c r="AG127" s="453"/>
      <c r="AH127" s="453"/>
      <c r="AI127" s="453"/>
      <c r="AJ127" s="453"/>
      <c r="AK127" s="453"/>
      <c r="AL127" s="453"/>
      <c r="AM127" s="453"/>
      <c r="AN127" s="344"/>
      <c r="AO127" s="453">
        <f>1-SUM($J127:AN127)</f>
        <v>1</v>
      </c>
      <c r="AP127" s="344"/>
    </row>
    <row r="128" spans="3:42" ht="12.75">
      <c r="C128" s="344"/>
      <c r="D128" s="344"/>
      <c r="E128" s="344"/>
      <c r="F128" s="344"/>
      <c r="G128" s="344"/>
      <c r="H128" s="344"/>
      <c r="I128" s="344"/>
      <c r="J128" s="344"/>
      <c r="K128" s="344"/>
      <c r="L128" s="344"/>
      <c r="M128" s="344"/>
      <c r="N128" s="344"/>
      <c r="O128" s="344"/>
      <c r="P128" s="344"/>
      <c r="Q128" s="344"/>
      <c r="R128" s="344"/>
      <c r="S128" s="344"/>
      <c r="T128" s="344"/>
      <c r="U128" s="344"/>
      <c r="V128" s="453"/>
      <c r="W128" s="453"/>
      <c r="X128" s="453"/>
      <c r="Y128" s="453"/>
      <c r="Z128" s="453"/>
      <c r="AA128" s="453"/>
      <c r="AB128" s="453"/>
      <c r="AC128" s="453"/>
      <c r="AD128" s="453"/>
      <c r="AE128" s="453"/>
      <c r="AF128" s="453"/>
      <c r="AG128" s="453"/>
      <c r="AH128" s="453"/>
      <c r="AI128" s="453"/>
      <c r="AJ128" s="453"/>
      <c r="AK128" s="453"/>
      <c r="AL128" s="453"/>
      <c r="AM128" s="453"/>
      <c r="AN128" s="344"/>
      <c r="AO128" s="344"/>
      <c r="AP128" s="344"/>
    </row>
    <row r="129" spans="3:42" ht="12.75">
      <c r="C129" s="344"/>
      <c r="D129" s="344"/>
      <c r="E129" s="344"/>
      <c r="F129" s="344"/>
      <c r="G129" s="344"/>
      <c r="H129" s="344"/>
      <c r="I129" s="344"/>
      <c r="J129" s="344"/>
      <c r="K129" s="344"/>
      <c r="L129" s="344"/>
      <c r="M129" s="344"/>
      <c r="N129" s="344"/>
      <c r="O129" s="344"/>
      <c r="P129" s="344"/>
      <c r="Q129" s="344"/>
      <c r="R129" s="344"/>
      <c r="S129" s="344"/>
      <c r="T129" s="344"/>
      <c r="U129" s="344"/>
      <c r="V129" s="344"/>
      <c r="W129" s="453"/>
      <c r="X129" s="453"/>
      <c r="Y129" s="453"/>
      <c r="Z129" s="453"/>
      <c r="AA129" s="453"/>
      <c r="AB129" s="453"/>
      <c r="AC129" s="453"/>
      <c r="AD129" s="453"/>
      <c r="AE129" s="453"/>
      <c r="AF129" s="453"/>
      <c r="AG129" s="453"/>
      <c r="AH129" s="453"/>
      <c r="AI129" s="453"/>
      <c r="AJ129" s="453"/>
      <c r="AK129" s="453"/>
      <c r="AL129" s="453"/>
      <c r="AM129" s="453"/>
      <c r="AN129" s="344"/>
      <c r="AO129" s="344"/>
      <c r="AP129" s="344"/>
    </row>
    <row r="130" spans="3:42" ht="12.75">
      <c r="C130" s="344"/>
      <c r="D130" s="344"/>
      <c r="E130" s="344"/>
      <c r="F130" s="344"/>
      <c r="G130" s="344"/>
      <c r="H130" s="451">
        <f>$J$7</f>
        <v>1998</v>
      </c>
      <c r="I130" s="456">
        <f aca="true" t="shared" si="34" ref="I130:I161">SUM(J130:AO130)</f>
        <v>1131</v>
      </c>
      <c r="J130" s="454">
        <f aca="true" t="shared" si="35" ref="J130:AM130">$J$90*J96</f>
        <v>161.6199</v>
      </c>
      <c r="K130" s="454">
        <f t="shared" si="35"/>
        <v>276.9819</v>
      </c>
      <c r="L130" s="454">
        <f t="shared" si="35"/>
        <v>197.8119</v>
      </c>
      <c r="M130" s="454">
        <f t="shared" si="35"/>
        <v>141.2619</v>
      </c>
      <c r="N130" s="454">
        <f t="shared" si="35"/>
        <v>100.9983</v>
      </c>
      <c r="O130" s="454">
        <f t="shared" si="35"/>
        <v>100.8852</v>
      </c>
      <c r="P130" s="454">
        <f t="shared" si="35"/>
        <v>100.9983</v>
      </c>
      <c r="Q130" s="454">
        <f t="shared" si="35"/>
        <v>50.4426</v>
      </c>
      <c r="R130" s="454">
        <f t="shared" si="35"/>
        <v>0</v>
      </c>
      <c r="S130" s="454">
        <f t="shared" si="35"/>
        <v>0</v>
      </c>
      <c r="T130" s="454">
        <f t="shared" si="35"/>
        <v>0</v>
      </c>
      <c r="U130" s="454">
        <f t="shared" si="35"/>
        <v>0</v>
      </c>
      <c r="V130" s="454">
        <f t="shared" si="35"/>
        <v>0</v>
      </c>
      <c r="W130" s="454">
        <f t="shared" si="35"/>
        <v>0</v>
      </c>
      <c r="X130" s="454">
        <f t="shared" si="35"/>
        <v>0</v>
      </c>
      <c r="Y130" s="454">
        <f t="shared" si="35"/>
        <v>0</v>
      </c>
      <c r="Z130" s="454">
        <f t="shared" si="35"/>
        <v>0</v>
      </c>
      <c r="AA130" s="454">
        <f t="shared" si="35"/>
        <v>0</v>
      </c>
      <c r="AB130" s="454">
        <f t="shared" si="35"/>
        <v>0</v>
      </c>
      <c r="AC130" s="454">
        <f t="shared" si="35"/>
        <v>0</v>
      </c>
      <c r="AD130" s="454">
        <f t="shared" si="35"/>
        <v>0</v>
      </c>
      <c r="AE130" s="454">
        <f t="shared" si="35"/>
        <v>0</v>
      </c>
      <c r="AF130" s="454">
        <f t="shared" si="35"/>
        <v>0</v>
      </c>
      <c r="AG130" s="454">
        <f t="shared" si="35"/>
        <v>0</v>
      </c>
      <c r="AH130" s="454">
        <f t="shared" si="35"/>
        <v>0</v>
      </c>
      <c r="AI130" s="454">
        <f t="shared" si="35"/>
        <v>0</v>
      </c>
      <c r="AJ130" s="454">
        <f t="shared" si="35"/>
        <v>0</v>
      </c>
      <c r="AK130" s="454">
        <f t="shared" si="35"/>
        <v>0</v>
      </c>
      <c r="AL130" s="454">
        <f t="shared" si="35"/>
        <v>0</v>
      </c>
      <c r="AM130" s="454">
        <f t="shared" si="35"/>
        <v>0</v>
      </c>
      <c r="AN130" s="344"/>
      <c r="AO130" s="344"/>
      <c r="AP130" s="344"/>
    </row>
    <row r="131" spans="3:42" ht="12.75">
      <c r="C131" s="344"/>
      <c r="D131" s="344" t="s">
        <v>459</v>
      </c>
      <c r="E131" s="344"/>
      <c r="F131" s="344"/>
      <c r="G131" s="344"/>
      <c r="H131" s="344">
        <f aca="true" t="shared" si="36" ref="H131:H161">H130+1</f>
        <v>1999</v>
      </c>
      <c r="I131" s="456">
        <f t="shared" si="34"/>
        <v>8544.139284210527</v>
      </c>
      <c r="J131" s="454"/>
      <c r="K131" s="454">
        <f aca="true" t="shared" si="37" ref="K131:AM131">$K$90*K97</f>
        <v>1220.9575037136842</v>
      </c>
      <c r="L131" s="454">
        <f t="shared" si="37"/>
        <v>2092.459710703158</v>
      </c>
      <c r="M131" s="454">
        <f t="shared" si="37"/>
        <v>1494.3699608084212</v>
      </c>
      <c r="N131" s="454">
        <f t="shared" si="37"/>
        <v>1067.1629965978948</v>
      </c>
      <c r="O131" s="454">
        <f t="shared" si="37"/>
        <v>762.9916380800001</v>
      </c>
      <c r="P131" s="454">
        <f t="shared" si="37"/>
        <v>762.1372241515791</v>
      </c>
      <c r="Q131" s="454">
        <f t="shared" si="37"/>
        <v>762.9916380800001</v>
      </c>
      <c r="R131" s="454">
        <f t="shared" si="37"/>
        <v>381.06861207578953</v>
      </c>
      <c r="S131" s="454">
        <f t="shared" si="37"/>
        <v>0</v>
      </c>
      <c r="T131" s="454">
        <f t="shared" si="37"/>
        <v>0</v>
      </c>
      <c r="U131" s="454">
        <f t="shared" si="37"/>
        <v>0</v>
      </c>
      <c r="V131" s="454">
        <f t="shared" si="37"/>
        <v>0</v>
      </c>
      <c r="W131" s="454">
        <f t="shared" si="37"/>
        <v>0</v>
      </c>
      <c r="X131" s="454">
        <f t="shared" si="37"/>
        <v>0</v>
      </c>
      <c r="Y131" s="454">
        <f t="shared" si="37"/>
        <v>0</v>
      </c>
      <c r="Z131" s="454">
        <f t="shared" si="37"/>
        <v>0</v>
      </c>
      <c r="AA131" s="454">
        <f t="shared" si="37"/>
        <v>0</v>
      </c>
      <c r="AB131" s="454">
        <f t="shared" si="37"/>
        <v>0</v>
      </c>
      <c r="AC131" s="454">
        <f t="shared" si="37"/>
        <v>0</v>
      </c>
      <c r="AD131" s="454">
        <f t="shared" si="37"/>
        <v>0</v>
      </c>
      <c r="AE131" s="454">
        <f t="shared" si="37"/>
        <v>0</v>
      </c>
      <c r="AF131" s="454">
        <f t="shared" si="37"/>
        <v>0</v>
      </c>
      <c r="AG131" s="454">
        <f t="shared" si="37"/>
        <v>0</v>
      </c>
      <c r="AH131" s="454">
        <f t="shared" si="37"/>
        <v>0</v>
      </c>
      <c r="AI131" s="454">
        <f t="shared" si="37"/>
        <v>0</v>
      </c>
      <c r="AJ131" s="454">
        <f t="shared" si="37"/>
        <v>0</v>
      </c>
      <c r="AK131" s="454">
        <f t="shared" si="37"/>
        <v>0</v>
      </c>
      <c r="AL131" s="454">
        <f t="shared" si="37"/>
        <v>0</v>
      </c>
      <c r="AM131" s="454">
        <f t="shared" si="37"/>
        <v>0</v>
      </c>
      <c r="AN131" s="344"/>
      <c r="AO131" s="344"/>
      <c r="AP131" s="344"/>
    </row>
    <row r="132" spans="3:42" ht="12.75">
      <c r="C132" s="344"/>
      <c r="D132" s="344"/>
      <c r="E132" s="344"/>
      <c r="F132" s="344"/>
      <c r="G132" s="344"/>
      <c r="H132" s="344">
        <f t="shared" si="36"/>
        <v>2000</v>
      </c>
      <c r="I132" s="456">
        <f t="shared" si="34"/>
        <v>15961.91</v>
      </c>
      <c r="J132" s="454"/>
      <c r="K132" s="454"/>
      <c r="L132" s="454">
        <f aca="true" t="shared" si="38" ref="L132:AM132">$L$90*L98</f>
        <v>2280.956939</v>
      </c>
      <c r="M132" s="454">
        <f t="shared" si="38"/>
        <v>3909.071759</v>
      </c>
      <c r="N132" s="454">
        <f t="shared" si="38"/>
        <v>2791.738059</v>
      </c>
      <c r="O132" s="454">
        <f t="shared" si="38"/>
        <v>1993.642559</v>
      </c>
      <c r="P132" s="454">
        <f t="shared" si="38"/>
        <v>1425.398563</v>
      </c>
      <c r="Q132" s="454">
        <f t="shared" si="38"/>
        <v>1423.802372</v>
      </c>
      <c r="R132" s="454">
        <f t="shared" si="38"/>
        <v>1425.398563</v>
      </c>
      <c r="S132" s="454">
        <f t="shared" si="38"/>
        <v>711.901186</v>
      </c>
      <c r="T132" s="454">
        <f t="shared" si="38"/>
        <v>0</v>
      </c>
      <c r="U132" s="454">
        <f t="shared" si="38"/>
        <v>0</v>
      </c>
      <c r="V132" s="454">
        <f t="shared" si="38"/>
        <v>0</v>
      </c>
      <c r="W132" s="454">
        <f t="shared" si="38"/>
        <v>0</v>
      </c>
      <c r="X132" s="454">
        <f t="shared" si="38"/>
        <v>0</v>
      </c>
      <c r="Y132" s="454">
        <f t="shared" si="38"/>
        <v>0</v>
      </c>
      <c r="Z132" s="454">
        <f t="shared" si="38"/>
        <v>0</v>
      </c>
      <c r="AA132" s="454">
        <f t="shared" si="38"/>
        <v>0</v>
      </c>
      <c r="AB132" s="454">
        <f t="shared" si="38"/>
        <v>0</v>
      </c>
      <c r="AC132" s="454">
        <f t="shared" si="38"/>
        <v>0</v>
      </c>
      <c r="AD132" s="454">
        <f t="shared" si="38"/>
        <v>0</v>
      </c>
      <c r="AE132" s="454">
        <f t="shared" si="38"/>
        <v>0</v>
      </c>
      <c r="AF132" s="454">
        <f t="shared" si="38"/>
        <v>0</v>
      </c>
      <c r="AG132" s="454">
        <f t="shared" si="38"/>
        <v>0</v>
      </c>
      <c r="AH132" s="454">
        <f t="shared" si="38"/>
        <v>0</v>
      </c>
      <c r="AI132" s="454">
        <f t="shared" si="38"/>
        <v>0</v>
      </c>
      <c r="AJ132" s="454">
        <f t="shared" si="38"/>
        <v>0</v>
      </c>
      <c r="AK132" s="454">
        <f t="shared" si="38"/>
        <v>0</v>
      </c>
      <c r="AL132" s="454">
        <f t="shared" si="38"/>
        <v>0</v>
      </c>
      <c r="AM132" s="454">
        <f t="shared" si="38"/>
        <v>0</v>
      </c>
      <c r="AN132" s="344"/>
      <c r="AO132" s="344"/>
      <c r="AP132" s="344"/>
    </row>
    <row r="133" spans="3:42" ht="12.75">
      <c r="C133" s="344"/>
      <c r="D133" s="344"/>
      <c r="E133" s="344"/>
      <c r="F133" s="344"/>
      <c r="G133" s="344"/>
      <c r="H133" s="344">
        <f t="shared" si="36"/>
        <v>2001</v>
      </c>
      <c r="I133" s="456">
        <f t="shared" si="34"/>
        <v>15728.903400000001</v>
      </c>
      <c r="J133" s="454"/>
      <c r="K133" s="454"/>
      <c r="L133" s="454"/>
      <c r="M133" s="454">
        <f aca="true" t="shared" si="39" ref="M133:AM133">$M$90*M99</f>
        <v>2247.6602958599997</v>
      </c>
      <c r="N133" s="454">
        <f t="shared" si="39"/>
        <v>3852.00844266</v>
      </c>
      <c r="O133" s="454">
        <f t="shared" si="39"/>
        <v>2750.98520466</v>
      </c>
      <c r="P133" s="454">
        <f t="shared" si="39"/>
        <v>1964.54003466</v>
      </c>
      <c r="Q133" s="454">
        <f t="shared" si="39"/>
        <v>1404.59107362</v>
      </c>
      <c r="R133" s="454">
        <f t="shared" si="39"/>
        <v>1403.01818328</v>
      </c>
      <c r="S133" s="454">
        <f t="shared" si="39"/>
        <v>1404.59107362</v>
      </c>
      <c r="T133" s="454">
        <f t="shared" si="39"/>
        <v>701.50909164</v>
      </c>
      <c r="U133" s="454">
        <f t="shared" si="39"/>
        <v>0</v>
      </c>
      <c r="V133" s="454">
        <f t="shared" si="39"/>
        <v>0</v>
      </c>
      <c r="W133" s="454">
        <f t="shared" si="39"/>
        <v>0</v>
      </c>
      <c r="X133" s="454">
        <f t="shared" si="39"/>
        <v>0</v>
      </c>
      <c r="Y133" s="454">
        <f t="shared" si="39"/>
        <v>0</v>
      </c>
      <c r="Z133" s="454">
        <f t="shared" si="39"/>
        <v>0</v>
      </c>
      <c r="AA133" s="454">
        <f t="shared" si="39"/>
        <v>0</v>
      </c>
      <c r="AB133" s="454">
        <f t="shared" si="39"/>
        <v>0</v>
      </c>
      <c r="AC133" s="454">
        <f t="shared" si="39"/>
        <v>0</v>
      </c>
      <c r="AD133" s="454">
        <f t="shared" si="39"/>
        <v>0</v>
      </c>
      <c r="AE133" s="454">
        <f t="shared" si="39"/>
        <v>0</v>
      </c>
      <c r="AF133" s="454">
        <f t="shared" si="39"/>
        <v>0</v>
      </c>
      <c r="AG133" s="454">
        <f t="shared" si="39"/>
        <v>0</v>
      </c>
      <c r="AH133" s="454">
        <f t="shared" si="39"/>
        <v>0</v>
      </c>
      <c r="AI133" s="454">
        <f t="shared" si="39"/>
        <v>0</v>
      </c>
      <c r="AJ133" s="454">
        <f t="shared" si="39"/>
        <v>0</v>
      </c>
      <c r="AK133" s="454">
        <f t="shared" si="39"/>
        <v>0</v>
      </c>
      <c r="AL133" s="454">
        <f t="shared" si="39"/>
        <v>0</v>
      </c>
      <c r="AM133" s="454">
        <f t="shared" si="39"/>
        <v>0</v>
      </c>
      <c r="AN133" s="344"/>
      <c r="AO133" s="344"/>
      <c r="AP133" s="344"/>
    </row>
    <row r="134" spans="3:42" ht="12.75">
      <c r="C134" s="344"/>
      <c r="D134" s="344"/>
      <c r="E134" s="344"/>
      <c r="F134" s="344"/>
      <c r="G134" s="344"/>
      <c r="H134" s="344">
        <f t="shared" si="36"/>
        <v>2002</v>
      </c>
      <c r="I134" s="456">
        <f t="shared" si="34"/>
        <v>17456.313825</v>
      </c>
      <c r="J134" s="454"/>
      <c r="K134" s="454"/>
      <c r="L134" s="454"/>
      <c r="M134" s="454"/>
      <c r="N134" s="454">
        <f aca="true" t="shared" si="40" ref="N134:AM134">$N$90*N100</f>
        <v>2494.5072455925</v>
      </c>
      <c r="O134" s="454">
        <f t="shared" si="40"/>
        <v>4275.0512557425</v>
      </c>
      <c r="P134" s="454">
        <f t="shared" si="40"/>
        <v>3053.1092879925004</v>
      </c>
      <c r="Q134" s="454">
        <f t="shared" si="40"/>
        <v>2180.2935967425</v>
      </c>
      <c r="R134" s="454">
        <f t="shared" si="40"/>
        <v>1558.8488245725002</v>
      </c>
      <c r="S134" s="454">
        <f t="shared" si="40"/>
        <v>1557.1031931900002</v>
      </c>
      <c r="T134" s="454">
        <f t="shared" si="40"/>
        <v>1558.8488245725002</v>
      </c>
      <c r="U134" s="454">
        <f t="shared" si="40"/>
        <v>778.5515965950001</v>
      </c>
      <c r="V134" s="454">
        <f t="shared" si="40"/>
        <v>0</v>
      </c>
      <c r="W134" s="454">
        <f t="shared" si="40"/>
        <v>0</v>
      </c>
      <c r="X134" s="454">
        <f t="shared" si="40"/>
        <v>0</v>
      </c>
      <c r="Y134" s="454">
        <f t="shared" si="40"/>
        <v>0</v>
      </c>
      <c r="Z134" s="454">
        <f t="shared" si="40"/>
        <v>0</v>
      </c>
      <c r="AA134" s="454">
        <f t="shared" si="40"/>
        <v>0</v>
      </c>
      <c r="AB134" s="454">
        <f t="shared" si="40"/>
        <v>0</v>
      </c>
      <c r="AC134" s="454">
        <f t="shared" si="40"/>
        <v>0</v>
      </c>
      <c r="AD134" s="454">
        <f t="shared" si="40"/>
        <v>0</v>
      </c>
      <c r="AE134" s="454">
        <f t="shared" si="40"/>
        <v>0</v>
      </c>
      <c r="AF134" s="454">
        <f t="shared" si="40"/>
        <v>0</v>
      </c>
      <c r="AG134" s="454">
        <f t="shared" si="40"/>
        <v>0</v>
      </c>
      <c r="AH134" s="454">
        <f t="shared" si="40"/>
        <v>0</v>
      </c>
      <c r="AI134" s="454">
        <f t="shared" si="40"/>
        <v>0</v>
      </c>
      <c r="AJ134" s="454">
        <f t="shared" si="40"/>
        <v>0</v>
      </c>
      <c r="AK134" s="454">
        <f t="shared" si="40"/>
        <v>0</v>
      </c>
      <c r="AL134" s="454">
        <f t="shared" si="40"/>
        <v>0</v>
      </c>
      <c r="AM134" s="454">
        <f t="shared" si="40"/>
        <v>0</v>
      </c>
      <c r="AN134" s="344"/>
      <c r="AO134" s="344"/>
      <c r="AP134" s="344"/>
    </row>
    <row r="135" spans="3:42" ht="12.75">
      <c r="C135" s="344"/>
      <c r="D135" s="344"/>
      <c r="E135" s="344"/>
      <c r="F135" s="344"/>
      <c r="G135" s="344"/>
      <c r="H135" s="344">
        <f t="shared" si="36"/>
        <v>2003</v>
      </c>
      <c r="I135" s="456">
        <f t="shared" si="34"/>
        <v>13089.667460299997</v>
      </c>
      <c r="J135" s="454"/>
      <c r="K135" s="454"/>
      <c r="L135" s="454"/>
      <c r="M135" s="454"/>
      <c r="N135" s="454"/>
      <c r="O135" s="454">
        <f aca="true" t="shared" si="41" ref="O135:AM135">$O$90*O101</f>
        <v>1870.5134800768699</v>
      </c>
      <c r="P135" s="454">
        <f t="shared" si="41"/>
        <v>3205.65956102747</v>
      </c>
      <c r="Q135" s="454">
        <f t="shared" si="41"/>
        <v>2289.38283880647</v>
      </c>
      <c r="R135" s="454">
        <f t="shared" si="41"/>
        <v>1634.8994657914698</v>
      </c>
      <c r="S135" s="454">
        <f t="shared" si="41"/>
        <v>1168.90730420479</v>
      </c>
      <c r="T135" s="454">
        <f t="shared" si="41"/>
        <v>1167.59833745876</v>
      </c>
      <c r="U135" s="454">
        <f t="shared" si="41"/>
        <v>1168.90730420479</v>
      </c>
      <c r="V135" s="454">
        <f t="shared" si="41"/>
        <v>583.79916872938</v>
      </c>
      <c r="W135" s="454">
        <f t="shared" si="41"/>
        <v>0</v>
      </c>
      <c r="X135" s="454">
        <f t="shared" si="41"/>
        <v>0</v>
      </c>
      <c r="Y135" s="454">
        <f t="shared" si="41"/>
        <v>0</v>
      </c>
      <c r="Z135" s="454">
        <f t="shared" si="41"/>
        <v>0</v>
      </c>
      <c r="AA135" s="454">
        <f t="shared" si="41"/>
        <v>0</v>
      </c>
      <c r="AB135" s="454">
        <f t="shared" si="41"/>
        <v>0</v>
      </c>
      <c r="AC135" s="454">
        <f t="shared" si="41"/>
        <v>0</v>
      </c>
      <c r="AD135" s="454">
        <f t="shared" si="41"/>
        <v>0</v>
      </c>
      <c r="AE135" s="454">
        <f t="shared" si="41"/>
        <v>0</v>
      </c>
      <c r="AF135" s="454">
        <f t="shared" si="41"/>
        <v>0</v>
      </c>
      <c r="AG135" s="454">
        <f t="shared" si="41"/>
        <v>0</v>
      </c>
      <c r="AH135" s="454">
        <f t="shared" si="41"/>
        <v>0</v>
      </c>
      <c r="AI135" s="454">
        <f t="shared" si="41"/>
        <v>0</v>
      </c>
      <c r="AJ135" s="454">
        <f t="shared" si="41"/>
        <v>0</v>
      </c>
      <c r="AK135" s="454">
        <f t="shared" si="41"/>
        <v>0</v>
      </c>
      <c r="AL135" s="454">
        <f t="shared" si="41"/>
        <v>0</v>
      </c>
      <c r="AM135" s="454">
        <f t="shared" si="41"/>
        <v>0</v>
      </c>
      <c r="AN135" s="344"/>
      <c r="AO135" s="344"/>
      <c r="AP135" s="344"/>
    </row>
    <row r="136" spans="3:42" ht="12.75">
      <c r="C136" s="344"/>
      <c r="D136" s="344"/>
      <c r="E136" s="344"/>
      <c r="F136" s="344"/>
      <c r="G136" s="344"/>
      <c r="H136" s="344">
        <f t="shared" si="36"/>
        <v>2004</v>
      </c>
      <c r="I136" s="456">
        <f t="shared" si="34"/>
        <v>9274.1925944</v>
      </c>
      <c r="J136" s="454"/>
      <c r="K136" s="454"/>
      <c r="L136" s="454"/>
      <c r="M136" s="454"/>
      <c r="N136" s="454"/>
      <c r="O136" s="454"/>
      <c r="P136" s="454">
        <f aca="true" t="shared" si="42" ref="P136:AM136">$P$90*P102</f>
        <v>1325.28212173976</v>
      </c>
      <c r="Q136" s="454">
        <f t="shared" si="42"/>
        <v>2271.24976636856</v>
      </c>
      <c r="R136" s="454">
        <f t="shared" si="42"/>
        <v>1622.05628476056</v>
      </c>
      <c r="S136" s="454">
        <f t="shared" si="42"/>
        <v>1158.3466550405599</v>
      </c>
      <c r="T136" s="454">
        <f t="shared" si="42"/>
        <v>828.18539867992</v>
      </c>
      <c r="U136" s="454">
        <f t="shared" si="42"/>
        <v>827.25797942048</v>
      </c>
      <c r="V136" s="454">
        <f t="shared" si="42"/>
        <v>828.18539867992</v>
      </c>
      <c r="W136" s="454">
        <f t="shared" si="42"/>
        <v>413.62898971024</v>
      </c>
      <c r="X136" s="454">
        <f t="shared" si="42"/>
        <v>0</v>
      </c>
      <c r="Y136" s="454">
        <f t="shared" si="42"/>
        <v>0</v>
      </c>
      <c r="Z136" s="454">
        <f t="shared" si="42"/>
        <v>0</v>
      </c>
      <c r="AA136" s="454">
        <f t="shared" si="42"/>
        <v>0</v>
      </c>
      <c r="AB136" s="454">
        <f t="shared" si="42"/>
        <v>0</v>
      </c>
      <c r="AC136" s="454">
        <f t="shared" si="42"/>
        <v>0</v>
      </c>
      <c r="AD136" s="454">
        <f t="shared" si="42"/>
        <v>0</v>
      </c>
      <c r="AE136" s="454">
        <f t="shared" si="42"/>
        <v>0</v>
      </c>
      <c r="AF136" s="454">
        <f t="shared" si="42"/>
        <v>0</v>
      </c>
      <c r="AG136" s="454">
        <f t="shared" si="42"/>
        <v>0</v>
      </c>
      <c r="AH136" s="454">
        <f t="shared" si="42"/>
        <v>0</v>
      </c>
      <c r="AI136" s="454">
        <f t="shared" si="42"/>
        <v>0</v>
      </c>
      <c r="AJ136" s="454">
        <f t="shared" si="42"/>
        <v>0</v>
      </c>
      <c r="AK136" s="454">
        <f t="shared" si="42"/>
        <v>0</v>
      </c>
      <c r="AL136" s="454">
        <f t="shared" si="42"/>
        <v>0</v>
      </c>
      <c r="AM136" s="454">
        <f t="shared" si="42"/>
        <v>0</v>
      </c>
      <c r="AN136" s="344"/>
      <c r="AO136" s="344"/>
      <c r="AP136" s="344"/>
    </row>
    <row r="137" spans="3:42" ht="12.75">
      <c r="C137" s="344"/>
      <c r="D137" s="344"/>
      <c r="E137" s="344"/>
      <c r="F137" s="344"/>
      <c r="G137" s="344"/>
      <c r="H137" s="344">
        <f t="shared" si="36"/>
        <v>2005</v>
      </c>
      <c r="I137" s="456">
        <f t="shared" si="34"/>
        <v>9552.418372232</v>
      </c>
      <c r="J137" s="454"/>
      <c r="K137" s="454"/>
      <c r="L137" s="454"/>
      <c r="M137" s="454"/>
      <c r="N137" s="454"/>
      <c r="O137" s="454"/>
      <c r="P137" s="454"/>
      <c r="Q137" s="454">
        <f aca="true" t="shared" si="43" ref="Q137:AM137">$Q$90*Q103</f>
        <v>1365.0405853919526</v>
      </c>
      <c r="R137" s="454">
        <f t="shared" si="43"/>
        <v>2339.3872593596166</v>
      </c>
      <c r="S137" s="454">
        <f t="shared" si="43"/>
        <v>1670.7179733033768</v>
      </c>
      <c r="T137" s="454">
        <f t="shared" si="43"/>
        <v>1193.0970546917767</v>
      </c>
      <c r="U137" s="454">
        <f t="shared" si="43"/>
        <v>853.0309606403176</v>
      </c>
      <c r="V137" s="454">
        <f t="shared" si="43"/>
        <v>852.0757188030943</v>
      </c>
      <c r="W137" s="454">
        <f t="shared" si="43"/>
        <v>853.0309606403176</v>
      </c>
      <c r="X137" s="454">
        <f t="shared" si="43"/>
        <v>426.03785940154717</v>
      </c>
      <c r="Y137" s="454">
        <f t="shared" si="43"/>
        <v>0</v>
      </c>
      <c r="Z137" s="454">
        <f t="shared" si="43"/>
        <v>0</v>
      </c>
      <c r="AA137" s="454">
        <f t="shared" si="43"/>
        <v>0</v>
      </c>
      <c r="AB137" s="454">
        <f t="shared" si="43"/>
        <v>0</v>
      </c>
      <c r="AC137" s="454">
        <f t="shared" si="43"/>
        <v>0</v>
      </c>
      <c r="AD137" s="454">
        <f t="shared" si="43"/>
        <v>0</v>
      </c>
      <c r="AE137" s="454">
        <f t="shared" si="43"/>
        <v>0</v>
      </c>
      <c r="AF137" s="454">
        <f t="shared" si="43"/>
        <v>0</v>
      </c>
      <c r="AG137" s="454">
        <f t="shared" si="43"/>
        <v>0</v>
      </c>
      <c r="AH137" s="454">
        <f t="shared" si="43"/>
        <v>0</v>
      </c>
      <c r="AI137" s="454">
        <f t="shared" si="43"/>
        <v>0</v>
      </c>
      <c r="AJ137" s="454">
        <f t="shared" si="43"/>
        <v>0</v>
      </c>
      <c r="AK137" s="454">
        <f t="shared" si="43"/>
        <v>0</v>
      </c>
      <c r="AL137" s="454">
        <f t="shared" si="43"/>
        <v>0</v>
      </c>
      <c r="AM137" s="454">
        <f t="shared" si="43"/>
        <v>0</v>
      </c>
      <c r="AN137" s="344"/>
      <c r="AO137" s="344"/>
      <c r="AP137" s="344"/>
    </row>
    <row r="138" spans="3:42" ht="12.75">
      <c r="C138" s="344"/>
      <c r="D138" s="344"/>
      <c r="E138" s="344"/>
      <c r="F138" s="344"/>
      <c r="G138" s="344"/>
      <c r="H138" s="344">
        <f t="shared" si="36"/>
        <v>2006</v>
      </c>
      <c r="I138" s="456">
        <f t="shared" si="34"/>
        <v>9838.990923398962</v>
      </c>
      <c r="J138" s="454"/>
      <c r="K138" s="454"/>
      <c r="L138" s="454"/>
      <c r="M138" s="454"/>
      <c r="N138" s="454"/>
      <c r="O138" s="454"/>
      <c r="P138" s="454"/>
      <c r="Q138" s="454"/>
      <c r="R138" s="454">
        <f aca="true" t="shared" si="44" ref="R138:AM138">$R$90*R104</f>
        <v>1405.9918029537114</v>
      </c>
      <c r="S138" s="454">
        <f t="shared" si="44"/>
        <v>2409.568877140405</v>
      </c>
      <c r="T138" s="454">
        <f t="shared" si="44"/>
        <v>1720.839512502478</v>
      </c>
      <c r="U138" s="454">
        <f t="shared" si="44"/>
        <v>1228.88996633253</v>
      </c>
      <c r="V138" s="454">
        <f t="shared" si="44"/>
        <v>878.6218894595272</v>
      </c>
      <c r="W138" s="454">
        <f t="shared" si="44"/>
        <v>877.6379903671873</v>
      </c>
      <c r="X138" s="454">
        <f t="shared" si="44"/>
        <v>878.6218894595272</v>
      </c>
      <c r="Y138" s="454">
        <f t="shared" si="44"/>
        <v>438.81899518359364</v>
      </c>
      <c r="Z138" s="454">
        <f t="shared" si="44"/>
        <v>0</v>
      </c>
      <c r="AA138" s="454">
        <f t="shared" si="44"/>
        <v>0</v>
      </c>
      <c r="AB138" s="454">
        <f t="shared" si="44"/>
        <v>0</v>
      </c>
      <c r="AC138" s="454">
        <f t="shared" si="44"/>
        <v>0</v>
      </c>
      <c r="AD138" s="454">
        <f t="shared" si="44"/>
        <v>0</v>
      </c>
      <c r="AE138" s="454">
        <f t="shared" si="44"/>
        <v>0</v>
      </c>
      <c r="AF138" s="454">
        <f t="shared" si="44"/>
        <v>0</v>
      </c>
      <c r="AG138" s="454">
        <f t="shared" si="44"/>
        <v>0</v>
      </c>
      <c r="AH138" s="454">
        <f t="shared" si="44"/>
        <v>0</v>
      </c>
      <c r="AI138" s="454">
        <f t="shared" si="44"/>
        <v>0</v>
      </c>
      <c r="AJ138" s="454">
        <f t="shared" si="44"/>
        <v>0</v>
      </c>
      <c r="AK138" s="454">
        <f t="shared" si="44"/>
        <v>0</v>
      </c>
      <c r="AL138" s="454">
        <f t="shared" si="44"/>
        <v>0</v>
      </c>
      <c r="AM138" s="454">
        <f t="shared" si="44"/>
        <v>0</v>
      </c>
      <c r="AN138" s="344"/>
      <c r="AO138" s="344"/>
      <c r="AP138" s="344"/>
    </row>
    <row r="139" spans="3:42" ht="12.75">
      <c r="C139" s="344"/>
      <c r="D139" s="344"/>
      <c r="E139" s="344"/>
      <c r="F139" s="344"/>
      <c r="G139" s="344"/>
      <c r="H139" s="344">
        <f t="shared" si="36"/>
        <v>2007</v>
      </c>
      <c r="I139" s="456">
        <f t="shared" si="34"/>
        <v>10134.160651100927</v>
      </c>
      <c r="J139" s="454"/>
      <c r="K139" s="454"/>
      <c r="L139" s="454"/>
      <c r="M139" s="454"/>
      <c r="N139" s="454"/>
      <c r="O139" s="454"/>
      <c r="P139" s="454"/>
      <c r="Q139" s="454"/>
      <c r="R139" s="454"/>
      <c r="S139" s="454">
        <f aca="true" t="shared" si="45" ref="S139:AH139">$S$90*S105</f>
        <v>1448.1715570423223</v>
      </c>
      <c r="T139" s="454">
        <f t="shared" si="45"/>
        <v>2481.855943454617</v>
      </c>
      <c r="U139" s="454">
        <f t="shared" si="45"/>
        <v>1772.464697877552</v>
      </c>
      <c r="V139" s="454">
        <f t="shared" si="45"/>
        <v>1265.7566653225058</v>
      </c>
      <c r="W139" s="454">
        <f t="shared" si="45"/>
        <v>904.9805461433128</v>
      </c>
      <c r="X139" s="454">
        <f t="shared" si="45"/>
        <v>903.9671300782027</v>
      </c>
      <c r="Y139" s="454">
        <f t="shared" si="45"/>
        <v>904.9805461433128</v>
      </c>
      <c r="Z139" s="454">
        <f t="shared" si="45"/>
        <v>451.98356503910134</v>
      </c>
      <c r="AA139" s="454">
        <f t="shared" si="45"/>
        <v>0</v>
      </c>
      <c r="AB139" s="454">
        <f t="shared" si="45"/>
        <v>0</v>
      </c>
      <c r="AC139" s="454">
        <f t="shared" si="45"/>
        <v>0</v>
      </c>
      <c r="AD139" s="454">
        <f t="shared" si="45"/>
        <v>0</v>
      </c>
      <c r="AE139" s="454">
        <f t="shared" si="45"/>
        <v>0</v>
      </c>
      <c r="AF139" s="454">
        <f t="shared" si="45"/>
        <v>0</v>
      </c>
      <c r="AG139" s="454">
        <f t="shared" si="45"/>
        <v>0</v>
      </c>
      <c r="AH139" s="454">
        <f t="shared" si="45"/>
        <v>0</v>
      </c>
      <c r="AI139" s="454">
        <f>$S$90*AI105</f>
        <v>0</v>
      </c>
      <c r="AJ139" s="454">
        <f>$S$90*AJ105</f>
        <v>0</v>
      </c>
      <c r="AK139" s="454">
        <f>$S$90*AK105</f>
        <v>0</v>
      </c>
      <c r="AL139" s="454">
        <f>$S$90*AL105</f>
        <v>0</v>
      </c>
      <c r="AM139" s="454">
        <f>$S$90*AM105</f>
        <v>0</v>
      </c>
      <c r="AN139" s="344"/>
      <c r="AO139" s="344"/>
      <c r="AP139" s="344"/>
    </row>
    <row r="140" spans="3:42" ht="12.75">
      <c r="C140" s="344"/>
      <c r="D140" s="344"/>
      <c r="E140" s="344"/>
      <c r="F140" s="344"/>
      <c r="G140" s="344"/>
      <c r="H140" s="344">
        <f t="shared" si="36"/>
        <v>2008</v>
      </c>
      <c r="I140" s="456">
        <f t="shared" si="34"/>
        <v>10438.185470633956</v>
      </c>
      <c r="J140" s="454"/>
      <c r="K140" s="454"/>
      <c r="L140" s="454"/>
      <c r="M140" s="454"/>
      <c r="N140" s="454"/>
      <c r="O140" s="454"/>
      <c r="P140" s="454"/>
      <c r="Q140" s="454"/>
      <c r="R140" s="454"/>
      <c r="S140" s="454"/>
      <c r="T140" s="454">
        <f aca="true" t="shared" si="46" ref="T140:AI140">$T$90*T106</f>
        <v>1491.6167037535924</v>
      </c>
      <c r="U140" s="454">
        <f t="shared" si="46"/>
        <v>2556.311621758256</v>
      </c>
      <c r="V140" s="454">
        <f t="shared" si="46"/>
        <v>1825.638638813879</v>
      </c>
      <c r="W140" s="454">
        <f t="shared" si="46"/>
        <v>1303.729365282181</v>
      </c>
      <c r="X140" s="454">
        <f t="shared" si="46"/>
        <v>932.1299625276123</v>
      </c>
      <c r="Y140" s="454">
        <f t="shared" si="46"/>
        <v>931.086143980549</v>
      </c>
      <c r="Z140" s="454">
        <f t="shared" si="46"/>
        <v>932.1299625276123</v>
      </c>
      <c r="AA140" s="454">
        <f t="shared" si="46"/>
        <v>465.5430719902745</v>
      </c>
      <c r="AB140" s="454">
        <f t="shared" si="46"/>
        <v>0</v>
      </c>
      <c r="AC140" s="454">
        <f t="shared" si="46"/>
        <v>0</v>
      </c>
      <c r="AD140" s="454">
        <f t="shared" si="46"/>
        <v>0</v>
      </c>
      <c r="AE140" s="454">
        <f t="shared" si="46"/>
        <v>0</v>
      </c>
      <c r="AF140" s="454">
        <f t="shared" si="46"/>
        <v>0</v>
      </c>
      <c r="AG140" s="454">
        <f t="shared" si="46"/>
        <v>0</v>
      </c>
      <c r="AH140" s="454">
        <f t="shared" si="46"/>
        <v>0</v>
      </c>
      <c r="AI140" s="454">
        <f t="shared" si="46"/>
        <v>0</v>
      </c>
      <c r="AJ140" s="454">
        <f>$T$90*AJ106</f>
        <v>0</v>
      </c>
      <c r="AK140" s="454">
        <f>$T$90*AK106</f>
        <v>0</v>
      </c>
      <c r="AL140" s="454">
        <f>$T$90*AL106</f>
        <v>0</v>
      </c>
      <c r="AM140" s="454">
        <f>$T$90*AM106</f>
        <v>0</v>
      </c>
      <c r="AN140" s="344"/>
      <c r="AO140" s="344"/>
      <c r="AP140" s="344"/>
    </row>
    <row r="141" spans="3:42" ht="12.75">
      <c r="C141" s="344"/>
      <c r="D141" s="344"/>
      <c r="E141" s="344"/>
      <c r="F141" s="344"/>
      <c r="G141" s="344"/>
      <c r="H141" s="344">
        <f t="shared" si="36"/>
        <v>2009</v>
      </c>
      <c r="I141" s="456">
        <f t="shared" si="34"/>
        <v>10751.331034752975</v>
      </c>
      <c r="J141" s="454"/>
      <c r="K141" s="454"/>
      <c r="L141" s="454"/>
      <c r="M141" s="454"/>
      <c r="N141" s="454"/>
      <c r="O141" s="454"/>
      <c r="P141" s="454"/>
      <c r="Q141" s="454"/>
      <c r="R141" s="454"/>
      <c r="S141" s="454"/>
      <c r="T141" s="454"/>
      <c r="U141" s="454">
        <f aca="true" t="shared" si="47" ref="U141:AJ141">$U$90*U107</f>
        <v>1536.3652048662002</v>
      </c>
      <c r="V141" s="454">
        <f t="shared" si="47"/>
        <v>2633.0009704110034</v>
      </c>
      <c r="W141" s="454">
        <f t="shared" si="47"/>
        <v>1880.4077979782953</v>
      </c>
      <c r="X141" s="454">
        <f t="shared" si="47"/>
        <v>1342.8412462406466</v>
      </c>
      <c r="Y141" s="454">
        <f t="shared" si="47"/>
        <v>960.0938614034408</v>
      </c>
      <c r="Z141" s="454">
        <f t="shared" si="47"/>
        <v>959.0187282999653</v>
      </c>
      <c r="AA141" s="454">
        <f t="shared" si="47"/>
        <v>960.0938614034408</v>
      </c>
      <c r="AB141" s="454">
        <f t="shared" si="47"/>
        <v>479.5093641499827</v>
      </c>
      <c r="AC141" s="454">
        <f t="shared" si="47"/>
        <v>0</v>
      </c>
      <c r="AD141" s="454">
        <f t="shared" si="47"/>
        <v>0</v>
      </c>
      <c r="AE141" s="454">
        <f t="shared" si="47"/>
        <v>0</v>
      </c>
      <c r="AF141" s="454">
        <f t="shared" si="47"/>
        <v>0</v>
      </c>
      <c r="AG141" s="454">
        <f t="shared" si="47"/>
        <v>0</v>
      </c>
      <c r="AH141" s="454">
        <f t="shared" si="47"/>
        <v>0</v>
      </c>
      <c r="AI141" s="454">
        <f t="shared" si="47"/>
        <v>0</v>
      </c>
      <c r="AJ141" s="454">
        <f t="shared" si="47"/>
        <v>0</v>
      </c>
      <c r="AK141" s="454">
        <f>$U$90*AK107</f>
        <v>0</v>
      </c>
      <c r="AL141" s="454">
        <f>$U$90*AL107</f>
        <v>0</v>
      </c>
      <c r="AM141" s="454">
        <f>$U$90*AM107</f>
        <v>0</v>
      </c>
      <c r="AN141" s="344"/>
      <c r="AO141" s="344"/>
      <c r="AP141" s="344"/>
    </row>
    <row r="142" spans="3:42" ht="12.75">
      <c r="C142" s="344"/>
      <c r="D142" s="344"/>
      <c r="E142" s="344"/>
      <c r="F142" s="344"/>
      <c r="G142" s="344"/>
      <c r="H142" s="344">
        <f t="shared" si="36"/>
        <v>2010</v>
      </c>
      <c r="I142" s="456">
        <f t="shared" si="34"/>
        <v>11073.870965795566</v>
      </c>
      <c r="J142" s="454"/>
      <c r="K142" s="454"/>
      <c r="L142" s="454"/>
      <c r="M142" s="454"/>
      <c r="N142" s="454"/>
      <c r="O142" s="454"/>
      <c r="P142" s="454"/>
      <c r="Q142" s="454"/>
      <c r="R142" s="454"/>
      <c r="S142" s="454"/>
      <c r="T142" s="454"/>
      <c r="U142" s="454"/>
      <c r="V142" s="454">
        <f aca="true" t="shared" si="48" ref="V142:AK142">$V$90*V108</f>
        <v>1582.4561610121862</v>
      </c>
      <c r="W142" s="454">
        <f t="shared" si="48"/>
        <v>2711.990999523334</v>
      </c>
      <c r="X142" s="454">
        <f t="shared" si="48"/>
        <v>1936.8200319176442</v>
      </c>
      <c r="Y142" s="454">
        <f t="shared" si="48"/>
        <v>1383.126483627866</v>
      </c>
      <c r="Z142" s="454">
        <f t="shared" si="48"/>
        <v>988.896677245544</v>
      </c>
      <c r="AA142" s="454">
        <f t="shared" si="48"/>
        <v>987.7892901489644</v>
      </c>
      <c r="AB142" s="454">
        <f t="shared" si="48"/>
        <v>988.896677245544</v>
      </c>
      <c r="AC142" s="454">
        <f t="shared" si="48"/>
        <v>493.8946450744822</v>
      </c>
      <c r="AD142" s="454">
        <f t="shared" si="48"/>
        <v>0</v>
      </c>
      <c r="AE142" s="454">
        <f t="shared" si="48"/>
        <v>0</v>
      </c>
      <c r="AF142" s="454">
        <f t="shared" si="48"/>
        <v>0</v>
      </c>
      <c r="AG142" s="454">
        <f t="shared" si="48"/>
        <v>0</v>
      </c>
      <c r="AH142" s="454">
        <f t="shared" si="48"/>
        <v>0</v>
      </c>
      <c r="AI142" s="454">
        <f t="shared" si="48"/>
        <v>0</v>
      </c>
      <c r="AJ142" s="454">
        <f t="shared" si="48"/>
        <v>0</v>
      </c>
      <c r="AK142" s="454">
        <f t="shared" si="48"/>
        <v>0</v>
      </c>
      <c r="AL142" s="454">
        <f>$V$90*AL108</f>
        <v>0</v>
      </c>
      <c r="AM142" s="454">
        <f>$V$90*AM108</f>
        <v>0</v>
      </c>
      <c r="AN142" s="344"/>
      <c r="AO142" s="344"/>
      <c r="AP142" s="344"/>
    </row>
    <row r="143" spans="3:42" ht="12.75">
      <c r="C143" s="344"/>
      <c r="D143" s="344"/>
      <c r="E143" s="344"/>
      <c r="F143" s="344"/>
      <c r="G143" s="344"/>
      <c r="H143" s="344">
        <f t="shared" si="36"/>
        <v>2011</v>
      </c>
      <c r="I143" s="456">
        <f t="shared" si="34"/>
        <v>11406.08709476943</v>
      </c>
      <c r="J143" s="454"/>
      <c r="K143" s="454"/>
      <c r="L143" s="454"/>
      <c r="M143" s="454"/>
      <c r="N143" s="454"/>
      <c r="O143" s="454"/>
      <c r="P143" s="454"/>
      <c r="Q143" s="454"/>
      <c r="R143" s="454"/>
      <c r="S143" s="454"/>
      <c r="T143" s="454"/>
      <c r="U143" s="454"/>
      <c r="V143" s="454"/>
      <c r="W143" s="454">
        <f aca="true" t="shared" si="49" ref="W143:AL143">$W$90*W109</f>
        <v>1629.9298458425515</v>
      </c>
      <c r="X143" s="454">
        <f t="shared" si="49"/>
        <v>2793.3507295090335</v>
      </c>
      <c r="Y143" s="454">
        <f t="shared" si="49"/>
        <v>1994.924632875173</v>
      </c>
      <c r="Z143" s="454">
        <f t="shared" si="49"/>
        <v>1424.6202781367017</v>
      </c>
      <c r="AA143" s="454">
        <f t="shared" si="49"/>
        <v>1018.56357756291</v>
      </c>
      <c r="AB143" s="454">
        <f t="shared" si="49"/>
        <v>1017.4229688534331</v>
      </c>
      <c r="AC143" s="454">
        <f t="shared" si="49"/>
        <v>1018.56357756291</v>
      </c>
      <c r="AD143" s="454">
        <f t="shared" si="49"/>
        <v>508.71148442671654</v>
      </c>
      <c r="AE143" s="454">
        <f t="shared" si="49"/>
        <v>0</v>
      </c>
      <c r="AF143" s="454">
        <f t="shared" si="49"/>
        <v>0</v>
      </c>
      <c r="AG143" s="454">
        <f t="shared" si="49"/>
        <v>0</v>
      </c>
      <c r="AH143" s="454">
        <f t="shared" si="49"/>
        <v>0</v>
      </c>
      <c r="AI143" s="454">
        <f t="shared" si="49"/>
        <v>0</v>
      </c>
      <c r="AJ143" s="454">
        <f t="shared" si="49"/>
        <v>0</v>
      </c>
      <c r="AK143" s="454">
        <f t="shared" si="49"/>
        <v>0</v>
      </c>
      <c r="AL143" s="454">
        <f t="shared" si="49"/>
        <v>0</v>
      </c>
      <c r="AM143" s="454">
        <f>$W$90*AM109</f>
        <v>0</v>
      </c>
      <c r="AN143" s="344"/>
      <c r="AO143" s="344"/>
      <c r="AP143" s="344"/>
    </row>
    <row r="144" spans="3:42" ht="12.75">
      <c r="C144" s="344"/>
      <c r="D144" s="344"/>
      <c r="E144" s="344"/>
      <c r="F144" s="344"/>
      <c r="G144" s="344"/>
      <c r="H144" s="344">
        <f t="shared" si="36"/>
        <v>2012</v>
      </c>
      <c r="I144" s="456">
        <f t="shared" si="34"/>
        <v>11748.269707612513</v>
      </c>
      <c r="J144" s="454"/>
      <c r="K144" s="454"/>
      <c r="L144" s="454"/>
      <c r="M144" s="454"/>
      <c r="N144" s="454"/>
      <c r="O144" s="454"/>
      <c r="P144" s="454"/>
      <c r="Q144" s="454"/>
      <c r="R144" s="454"/>
      <c r="S144" s="454"/>
      <c r="T144" s="454"/>
      <c r="U144" s="454"/>
      <c r="V144" s="454"/>
      <c r="W144" s="454"/>
      <c r="X144" s="454">
        <f aca="true" t="shared" si="50" ref="X144:AM144">$X$90*X110</f>
        <v>1678.827741217828</v>
      </c>
      <c r="Y144" s="454">
        <f t="shared" si="50"/>
        <v>2877.151251394304</v>
      </c>
      <c r="Z144" s="454">
        <f t="shared" si="50"/>
        <v>2054.7723718614284</v>
      </c>
      <c r="AA144" s="454">
        <f t="shared" si="50"/>
        <v>1467.3588864808025</v>
      </c>
      <c r="AB144" s="454">
        <f t="shared" si="50"/>
        <v>1049.1204848897974</v>
      </c>
      <c r="AC144" s="454">
        <f t="shared" si="50"/>
        <v>1047.945657919036</v>
      </c>
      <c r="AD144" s="454">
        <f t="shared" si="50"/>
        <v>1049.1204848897974</v>
      </c>
      <c r="AE144" s="454">
        <f t="shared" si="50"/>
        <v>523.972828959518</v>
      </c>
      <c r="AF144" s="454">
        <f t="shared" si="50"/>
        <v>0</v>
      </c>
      <c r="AG144" s="454">
        <f t="shared" si="50"/>
        <v>0</v>
      </c>
      <c r="AH144" s="454">
        <f t="shared" si="50"/>
        <v>0</v>
      </c>
      <c r="AI144" s="454">
        <f t="shared" si="50"/>
        <v>0</v>
      </c>
      <c r="AJ144" s="454">
        <f t="shared" si="50"/>
        <v>0</v>
      </c>
      <c r="AK144" s="454">
        <f t="shared" si="50"/>
        <v>0</v>
      </c>
      <c r="AL144" s="454">
        <f t="shared" si="50"/>
        <v>0</v>
      </c>
      <c r="AM144" s="454">
        <f t="shared" si="50"/>
        <v>0</v>
      </c>
      <c r="AN144" s="344"/>
      <c r="AO144" s="344"/>
      <c r="AP144" s="344"/>
    </row>
    <row r="145" spans="3:42" ht="12.75">
      <c r="C145" s="344"/>
      <c r="D145" s="344"/>
      <c r="E145" s="344"/>
      <c r="F145" s="344"/>
      <c r="G145" s="344"/>
      <c r="H145" s="344">
        <f t="shared" si="36"/>
        <v>2013</v>
      </c>
      <c r="I145" s="456">
        <f t="shared" si="34"/>
        <v>12100.71779884089</v>
      </c>
      <c r="J145" s="454"/>
      <c r="K145" s="454"/>
      <c r="L145" s="454"/>
      <c r="M145" s="454"/>
      <c r="N145" s="454"/>
      <c r="O145" s="454"/>
      <c r="P145" s="454"/>
      <c r="Q145" s="454"/>
      <c r="R145" s="454"/>
      <c r="S145" s="454"/>
      <c r="T145" s="454"/>
      <c r="U145" s="454"/>
      <c r="V145" s="454"/>
      <c r="W145" s="454"/>
      <c r="X145" s="454"/>
      <c r="Y145" s="454">
        <f aca="true" t="shared" si="51" ref="Y145:AM145">$Y$90*Y111</f>
        <v>1729.192573454363</v>
      </c>
      <c r="Z145" s="454">
        <f t="shared" si="51"/>
        <v>2963.4657889361333</v>
      </c>
      <c r="AA145" s="454">
        <f t="shared" si="51"/>
        <v>2116.4155430172714</v>
      </c>
      <c r="AB145" s="454">
        <f t="shared" si="51"/>
        <v>1511.3796530752268</v>
      </c>
      <c r="AC145" s="454">
        <f t="shared" si="51"/>
        <v>1080.5940994364912</v>
      </c>
      <c r="AD145" s="454">
        <f t="shared" si="51"/>
        <v>1079.3840276566073</v>
      </c>
      <c r="AE145" s="454">
        <f t="shared" si="51"/>
        <v>1080.5940994364912</v>
      </c>
      <c r="AF145" s="454">
        <f t="shared" si="51"/>
        <v>539.6920138283036</v>
      </c>
      <c r="AG145" s="454">
        <f t="shared" si="51"/>
        <v>0</v>
      </c>
      <c r="AH145" s="454">
        <f t="shared" si="51"/>
        <v>0</v>
      </c>
      <c r="AI145" s="454">
        <f t="shared" si="51"/>
        <v>0</v>
      </c>
      <c r="AJ145" s="454">
        <f t="shared" si="51"/>
        <v>0</v>
      </c>
      <c r="AK145" s="454">
        <f t="shared" si="51"/>
        <v>0</v>
      </c>
      <c r="AL145" s="454">
        <f t="shared" si="51"/>
        <v>0</v>
      </c>
      <c r="AM145" s="454">
        <f t="shared" si="51"/>
        <v>0</v>
      </c>
      <c r="AN145" s="344"/>
      <c r="AO145" s="344"/>
      <c r="AP145" s="344"/>
    </row>
    <row r="146" spans="3:42" ht="12.75">
      <c r="C146" s="344"/>
      <c r="D146" s="344"/>
      <c r="E146" s="344"/>
      <c r="F146" s="344"/>
      <c r="G146" s="344"/>
      <c r="H146" s="344">
        <f t="shared" si="36"/>
        <v>2014</v>
      </c>
      <c r="I146" s="456">
        <f t="shared" si="34"/>
        <v>12463.739332806115</v>
      </c>
      <c r="J146" s="454"/>
      <c r="K146" s="454"/>
      <c r="L146" s="454"/>
      <c r="M146" s="454"/>
      <c r="N146" s="454"/>
      <c r="O146" s="454"/>
      <c r="P146" s="454"/>
      <c r="Q146" s="454"/>
      <c r="R146" s="454"/>
      <c r="S146" s="454"/>
      <c r="T146" s="454"/>
      <c r="U146" s="454"/>
      <c r="V146" s="454"/>
      <c r="W146" s="454"/>
      <c r="X146" s="454"/>
      <c r="Y146" s="454"/>
      <c r="Z146" s="454">
        <f aca="true" t="shared" si="52" ref="Z146:AM146">$Z$90*Z112</f>
        <v>1781.068350657994</v>
      </c>
      <c r="AA146" s="454">
        <f t="shared" si="52"/>
        <v>3052.3697626042176</v>
      </c>
      <c r="AB146" s="454">
        <f t="shared" si="52"/>
        <v>2179.9080093077896</v>
      </c>
      <c r="AC146" s="454">
        <f t="shared" si="52"/>
        <v>1556.7210426674837</v>
      </c>
      <c r="AD146" s="454">
        <f t="shared" si="52"/>
        <v>1113.0119224195862</v>
      </c>
      <c r="AE146" s="454">
        <f t="shared" si="52"/>
        <v>1111.7655484863055</v>
      </c>
      <c r="AF146" s="454">
        <f t="shared" si="52"/>
        <v>1113.0119224195862</v>
      </c>
      <c r="AG146" s="454">
        <f t="shared" si="52"/>
        <v>555.8827742431528</v>
      </c>
      <c r="AH146" s="454">
        <f t="shared" si="52"/>
        <v>0</v>
      </c>
      <c r="AI146" s="454">
        <f t="shared" si="52"/>
        <v>0</v>
      </c>
      <c r="AJ146" s="454">
        <f t="shared" si="52"/>
        <v>0</v>
      </c>
      <c r="AK146" s="454">
        <f t="shared" si="52"/>
        <v>0</v>
      </c>
      <c r="AL146" s="454">
        <f t="shared" si="52"/>
        <v>0</v>
      </c>
      <c r="AM146" s="454">
        <f t="shared" si="52"/>
        <v>0</v>
      </c>
      <c r="AN146" s="344"/>
      <c r="AO146" s="344"/>
      <c r="AP146" s="344"/>
    </row>
    <row r="147" spans="3:42" ht="12.75">
      <c r="C147" s="344"/>
      <c r="D147" s="344"/>
      <c r="E147" s="344"/>
      <c r="F147" s="344"/>
      <c r="G147" s="344"/>
      <c r="H147" s="344">
        <f t="shared" si="36"/>
        <v>2015</v>
      </c>
      <c r="I147" s="456">
        <f t="shared" si="34"/>
        <v>12837.651512790297</v>
      </c>
      <c r="J147" s="454"/>
      <c r="K147" s="454"/>
      <c r="L147" s="454"/>
      <c r="M147" s="454"/>
      <c r="N147" s="454"/>
      <c r="O147" s="454"/>
      <c r="P147" s="454"/>
      <c r="Q147" s="454"/>
      <c r="R147" s="454"/>
      <c r="S147" s="454"/>
      <c r="T147" s="454"/>
      <c r="U147" s="454"/>
      <c r="V147" s="454"/>
      <c r="W147" s="454"/>
      <c r="X147" s="454"/>
      <c r="Y147" s="454"/>
      <c r="Z147" s="454"/>
      <c r="AA147" s="454">
        <f aca="true" t="shared" si="53" ref="AA147:AM147">$AA$90*AA113</f>
        <v>1834.5004011777335</v>
      </c>
      <c r="AB147" s="454">
        <f t="shared" si="53"/>
        <v>3143.9408554823435</v>
      </c>
      <c r="AC147" s="454">
        <f t="shared" si="53"/>
        <v>2245.305249587023</v>
      </c>
      <c r="AD147" s="454">
        <f t="shared" si="53"/>
        <v>1603.422673947508</v>
      </c>
      <c r="AE147" s="454">
        <f t="shared" si="53"/>
        <v>1146.4022800921734</v>
      </c>
      <c r="AF147" s="454">
        <f t="shared" si="53"/>
        <v>1145.1185149408946</v>
      </c>
      <c r="AG147" s="454">
        <f t="shared" si="53"/>
        <v>1146.4022800921734</v>
      </c>
      <c r="AH147" s="454">
        <f t="shared" si="53"/>
        <v>572.5592574704473</v>
      </c>
      <c r="AI147" s="454">
        <f t="shared" si="53"/>
        <v>0</v>
      </c>
      <c r="AJ147" s="454">
        <f t="shared" si="53"/>
        <v>0</v>
      </c>
      <c r="AK147" s="454">
        <f t="shared" si="53"/>
        <v>0</v>
      </c>
      <c r="AL147" s="454">
        <f t="shared" si="53"/>
        <v>0</v>
      </c>
      <c r="AM147" s="454">
        <f t="shared" si="53"/>
        <v>0</v>
      </c>
      <c r="AN147" s="344"/>
      <c r="AO147" s="344"/>
      <c r="AP147" s="344"/>
    </row>
    <row r="148" spans="3:42" ht="12.75">
      <c r="C148" s="344"/>
      <c r="D148" s="344"/>
      <c r="E148" s="344"/>
      <c r="F148" s="344"/>
      <c r="G148" s="344"/>
      <c r="H148" s="344">
        <f t="shared" si="36"/>
        <v>2016</v>
      </c>
      <c r="I148" s="456">
        <f t="shared" si="34"/>
        <v>13222.781058174005</v>
      </c>
      <c r="J148" s="454"/>
      <c r="K148" s="454"/>
      <c r="L148" s="454"/>
      <c r="M148" s="454"/>
      <c r="N148" s="454"/>
      <c r="O148" s="454"/>
      <c r="P148" s="454"/>
      <c r="Q148" s="454"/>
      <c r="R148" s="454"/>
      <c r="S148" s="454"/>
      <c r="T148" s="454"/>
      <c r="U148" s="454"/>
      <c r="V148" s="454"/>
      <c r="W148" s="454"/>
      <c r="X148" s="454"/>
      <c r="Y148" s="454"/>
      <c r="Z148" s="454"/>
      <c r="AA148" s="454"/>
      <c r="AB148" s="454">
        <f aca="true" t="shared" si="54" ref="AB148:AM148">$AB$90*AB114</f>
        <v>1889.5354132130653</v>
      </c>
      <c r="AC148" s="454">
        <f t="shared" si="54"/>
        <v>3238.259081146814</v>
      </c>
      <c r="AD148" s="454">
        <f t="shared" si="54"/>
        <v>2312.6644070746333</v>
      </c>
      <c r="AE148" s="454">
        <f t="shared" si="54"/>
        <v>1651.525354165933</v>
      </c>
      <c r="AF148" s="454">
        <f t="shared" si="54"/>
        <v>1180.7943484949387</v>
      </c>
      <c r="AG148" s="454">
        <f t="shared" si="54"/>
        <v>1179.4720703891212</v>
      </c>
      <c r="AH148" s="454">
        <f t="shared" si="54"/>
        <v>1180.7943484949387</v>
      </c>
      <c r="AI148" s="454">
        <f t="shared" si="54"/>
        <v>589.7360351945588</v>
      </c>
      <c r="AJ148" s="454">
        <f t="shared" si="54"/>
        <v>0</v>
      </c>
      <c r="AK148" s="454">
        <f t="shared" si="54"/>
        <v>0</v>
      </c>
      <c r="AL148" s="454">
        <f t="shared" si="54"/>
        <v>0</v>
      </c>
      <c r="AM148" s="454">
        <f t="shared" si="54"/>
        <v>0</v>
      </c>
      <c r="AN148" s="344"/>
      <c r="AO148" s="344"/>
      <c r="AP148" s="344"/>
    </row>
    <row r="149" spans="3:42" ht="12.75">
      <c r="C149" s="344"/>
      <c r="D149" s="344"/>
      <c r="E149" s="344"/>
      <c r="F149" s="344"/>
      <c r="G149" s="344"/>
      <c r="H149" s="344">
        <f t="shared" si="36"/>
        <v>2017</v>
      </c>
      <c r="I149" s="456">
        <f t="shared" si="34"/>
        <v>13619.464489919224</v>
      </c>
      <c r="J149" s="454"/>
      <c r="K149" s="454"/>
      <c r="L149" s="454"/>
      <c r="M149" s="454"/>
      <c r="N149" s="454"/>
      <c r="O149" s="454"/>
      <c r="P149" s="454"/>
      <c r="Q149" s="454"/>
      <c r="R149" s="454"/>
      <c r="S149" s="454"/>
      <c r="T149" s="454"/>
      <c r="U149" s="454"/>
      <c r="V149" s="454"/>
      <c r="W149" s="454"/>
      <c r="X149" s="454"/>
      <c r="Y149" s="454"/>
      <c r="Z149" s="454"/>
      <c r="AA149" s="454"/>
      <c r="AB149" s="454"/>
      <c r="AC149" s="454">
        <f aca="true" t="shared" si="55" ref="AC149:AM149">$AC$90*AC115</f>
        <v>1946.2214756094575</v>
      </c>
      <c r="AD149" s="454">
        <f t="shared" si="55"/>
        <v>3335.4068535812185</v>
      </c>
      <c r="AE149" s="454">
        <f t="shared" si="55"/>
        <v>2382.044339286873</v>
      </c>
      <c r="AF149" s="454">
        <f t="shared" si="55"/>
        <v>1701.0711147909112</v>
      </c>
      <c r="AG149" s="454">
        <f t="shared" si="55"/>
        <v>1216.218178949787</v>
      </c>
      <c r="AH149" s="454">
        <f t="shared" si="55"/>
        <v>1214.856232500795</v>
      </c>
      <c r="AI149" s="454">
        <f t="shared" si="55"/>
        <v>1823.6462952001832</v>
      </c>
      <c r="AJ149" s="454">
        <f t="shared" si="55"/>
        <v>0</v>
      </c>
      <c r="AK149" s="454">
        <f t="shared" si="55"/>
        <v>0</v>
      </c>
      <c r="AL149" s="454">
        <f t="shared" si="55"/>
        <v>0</v>
      </c>
      <c r="AM149" s="454">
        <f t="shared" si="55"/>
        <v>0</v>
      </c>
      <c r="AN149" s="344"/>
      <c r="AO149" s="344"/>
      <c r="AP149" s="344"/>
    </row>
    <row r="150" spans="3:42" ht="12.75">
      <c r="C150" s="344"/>
      <c r="D150" s="344"/>
      <c r="E150" s="344"/>
      <c r="F150" s="344"/>
      <c r="G150" s="344"/>
      <c r="H150" s="344">
        <f t="shared" si="36"/>
        <v>2018</v>
      </c>
      <c r="I150" s="456">
        <f t="shared" si="34"/>
        <v>14028.048424616802</v>
      </c>
      <c r="J150" s="454"/>
      <c r="K150" s="454"/>
      <c r="L150" s="454"/>
      <c r="M150" s="454"/>
      <c r="N150" s="454"/>
      <c r="O150" s="454"/>
      <c r="P150" s="454"/>
      <c r="Q150" s="454"/>
      <c r="R150" s="454"/>
      <c r="S150" s="454"/>
      <c r="T150" s="454"/>
      <c r="U150" s="454"/>
      <c r="V150" s="454"/>
      <c r="W150" s="454"/>
      <c r="X150" s="454"/>
      <c r="Y150" s="454"/>
      <c r="Z150" s="454"/>
      <c r="AA150" s="454"/>
      <c r="AB150" s="454"/>
      <c r="AC150" s="454"/>
      <c r="AD150" s="454">
        <f aca="true" t="shared" si="56" ref="AD150:AM150">$AD$90*AD116</f>
        <v>2004.608119877741</v>
      </c>
      <c r="AE150" s="454">
        <f t="shared" si="56"/>
        <v>3435.4690591886547</v>
      </c>
      <c r="AF150" s="454">
        <f t="shared" si="56"/>
        <v>2453.5056694654786</v>
      </c>
      <c r="AG150" s="454">
        <f t="shared" si="56"/>
        <v>1752.1032482346384</v>
      </c>
      <c r="AH150" s="454">
        <f t="shared" si="56"/>
        <v>1252.7047243182803</v>
      </c>
      <c r="AI150" s="454">
        <f t="shared" si="56"/>
        <v>3129.657603532008</v>
      </c>
      <c r="AJ150" s="454">
        <f t="shared" si="56"/>
        <v>0</v>
      </c>
      <c r="AK150" s="454">
        <f t="shared" si="56"/>
        <v>0</v>
      </c>
      <c r="AL150" s="454">
        <f t="shared" si="56"/>
        <v>0</v>
      </c>
      <c r="AM150" s="454">
        <f t="shared" si="56"/>
        <v>0</v>
      </c>
      <c r="AN150" s="344"/>
      <c r="AO150" s="344"/>
      <c r="AP150" s="344"/>
    </row>
    <row r="151" spans="3:42" ht="12.75">
      <c r="C151" s="344"/>
      <c r="D151" s="344"/>
      <c r="E151" s="344"/>
      <c r="F151" s="344"/>
      <c r="G151" s="344"/>
      <c r="H151" s="344">
        <f t="shared" si="36"/>
        <v>2019</v>
      </c>
      <c r="I151" s="456">
        <f t="shared" si="34"/>
        <v>14448.889877355308</v>
      </c>
      <c r="J151" s="454"/>
      <c r="K151" s="454"/>
      <c r="L151" s="454"/>
      <c r="M151" s="454"/>
      <c r="N151" s="454"/>
      <c r="O151" s="454"/>
      <c r="P151" s="454"/>
      <c r="Q151" s="454"/>
      <c r="R151" s="454"/>
      <c r="S151" s="454"/>
      <c r="T151" s="454"/>
      <c r="U151" s="454"/>
      <c r="V151" s="454"/>
      <c r="W151" s="454"/>
      <c r="X151" s="454"/>
      <c r="Y151" s="454"/>
      <c r="Z151" s="454"/>
      <c r="AA151" s="454"/>
      <c r="AB151" s="454"/>
      <c r="AC151" s="454"/>
      <c r="AD151" s="454"/>
      <c r="AE151" s="454">
        <f aca="true" t="shared" si="57" ref="AE151:AM151">$AE$90*AE117</f>
        <v>2064.7463634740734</v>
      </c>
      <c r="AF151" s="454">
        <f t="shared" si="57"/>
        <v>3538.5331309643148</v>
      </c>
      <c r="AG151" s="454">
        <f t="shared" si="57"/>
        <v>2527.110839549443</v>
      </c>
      <c r="AH151" s="454">
        <f t="shared" si="57"/>
        <v>1804.6663456816777</v>
      </c>
      <c r="AI151" s="454">
        <f t="shared" si="57"/>
        <v>4513.833197685798</v>
      </c>
      <c r="AJ151" s="454">
        <f t="shared" si="57"/>
        <v>0</v>
      </c>
      <c r="AK151" s="454">
        <f t="shared" si="57"/>
        <v>0</v>
      </c>
      <c r="AL151" s="454">
        <f t="shared" si="57"/>
        <v>0</v>
      </c>
      <c r="AM151" s="454">
        <f t="shared" si="57"/>
        <v>0</v>
      </c>
      <c r="AN151" s="344"/>
      <c r="AO151" s="344"/>
      <c r="AP151" s="344"/>
    </row>
    <row r="152" spans="3:42" ht="12.75">
      <c r="C152" s="344"/>
      <c r="D152" s="344"/>
      <c r="E152" s="344"/>
      <c r="F152" s="344"/>
      <c r="G152" s="344"/>
      <c r="H152" s="344">
        <f t="shared" si="36"/>
        <v>2020</v>
      </c>
      <c r="I152" s="456">
        <f t="shared" si="34"/>
        <v>11161.767430256972</v>
      </c>
      <c r="J152" s="454"/>
      <c r="K152" s="454"/>
      <c r="L152" s="454"/>
      <c r="M152" s="454"/>
      <c r="N152" s="454"/>
      <c r="O152" s="454"/>
      <c r="P152" s="454"/>
      <c r="Q152" s="454"/>
      <c r="R152" s="454"/>
      <c r="S152" s="454"/>
      <c r="T152" s="454"/>
      <c r="U152" s="454"/>
      <c r="V152" s="454"/>
      <c r="W152" s="454"/>
      <c r="X152" s="454"/>
      <c r="Y152" s="454"/>
      <c r="Z152" s="454"/>
      <c r="AA152" s="454"/>
      <c r="AB152" s="454"/>
      <c r="AC152" s="454"/>
      <c r="AD152" s="454"/>
      <c r="AE152" s="454"/>
      <c r="AF152" s="454">
        <f aca="true" t="shared" si="58" ref="AF152:AM152">$AF$90*AF118</f>
        <v>1595.0165657837213</v>
      </c>
      <c r="AG152" s="454">
        <f t="shared" si="58"/>
        <v>2733.5168436699328</v>
      </c>
      <c r="AH152" s="454">
        <f t="shared" si="58"/>
        <v>1952.1931235519444</v>
      </c>
      <c r="AI152" s="454">
        <f t="shared" si="58"/>
        <v>4881.040897251374</v>
      </c>
      <c r="AJ152" s="454">
        <f t="shared" si="58"/>
        <v>0</v>
      </c>
      <c r="AK152" s="454">
        <f t="shared" si="58"/>
        <v>0</v>
      </c>
      <c r="AL152" s="454">
        <f t="shared" si="58"/>
        <v>0</v>
      </c>
      <c r="AM152" s="454">
        <f t="shared" si="58"/>
        <v>0</v>
      </c>
      <c r="AN152" s="344"/>
      <c r="AO152" s="344"/>
      <c r="AP152" s="344"/>
    </row>
    <row r="153" spans="3:42" ht="12.75">
      <c r="C153" s="344"/>
      <c r="D153" s="344"/>
      <c r="E153" s="344"/>
      <c r="F153" s="344"/>
      <c r="G153" s="344"/>
      <c r="H153" s="344">
        <f t="shared" si="36"/>
        <v>2021</v>
      </c>
      <c r="I153" s="456">
        <f t="shared" si="34"/>
        <v>7664.413635443121</v>
      </c>
      <c r="J153" s="454"/>
      <c r="K153" s="454"/>
      <c r="L153" s="454"/>
      <c r="M153" s="454"/>
      <c r="N153" s="454"/>
      <c r="O153" s="454"/>
      <c r="P153" s="454"/>
      <c r="Q153" s="454"/>
      <c r="R153" s="454"/>
      <c r="S153" s="454"/>
      <c r="T153" s="454"/>
      <c r="U153" s="454"/>
      <c r="V153" s="454"/>
      <c r="W153" s="454"/>
      <c r="X153" s="454"/>
      <c r="Y153" s="454"/>
      <c r="Z153" s="454"/>
      <c r="AA153" s="454"/>
      <c r="AB153" s="454"/>
      <c r="AC153" s="454"/>
      <c r="AD153" s="454"/>
      <c r="AE153" s="454"/>
      <c r="AF153" s="454"/>
      <c r="AG153" s="454">
        <f aca="true" t="shared" si="59" ref="AG153:AM153">$AG$90*AG119</f>
        <v>1095.244708504822</v>
      </c>
      <c r="AH153" s="454">
        <f t="shared" si="59"/>
        <v>1877.0148993200207</v>
      </c>
      <c r="AI153" s="454">
        <f t="shared" si="59"/>
        <v>4692.154027618279</v>
      </c>
      <c r="AJ153" s="454">
        <f t="shared" si="59"/>
        <v>0</v>
      </c>
      <c r="AK153" s="454">
        <f t="shared" si="59"/>
        <v>0</v>
      </c>
      <c r="AL153" s="454">
        <f t="shared" si="59"/>
        <v>0</v>
      </c>
      <c r="AM153" s="454">
        <f t="shared" si="59"/>
        <v>0</v>
      </c>
      <c r="AN153" s="344"/>
      <c r="AO153" s="344"/>
      <c r="AP153" s="344"/>
    </row>
    <row r="154" spans="3:42" ht="12.75">
      <c r="C154" s="344"/>
      <c r="D154" s="344"/>
      <c r="E154" s="344"/>
      <c r="F154" s="344"/>
      <c r="G154" s="344"/>
      <c r="H154" s="344">
        <f t="shared" si="36"/>
        <v>2022</v>
      </c>
      <c r="I154" s="456">
        <f t="shared" si="34"/>
        <v>3947.173022253208</v>
      </c>
      <c r="J154" s="454"/>
      <c r="K154" s="454"/>
      <c r="L154" s="454"/>
      <c r="M154" s="454"/>
      <c r="N154" s="454"/>
      <c r="O154" s="454"/>
      <c r="P154" s="454"/>
      <c r="Q154" s="454"/>
      <c r="R154" s="454"/>
      <c r="S154" s="454"/>
      <c r="T154" s="454"/>
      <c r="U154" s="454"/>
      <c r="V154" s="454"/>
      <c r="W154" s="454"/>
      <c r="X154" s="454"/>
      <c r="Y154" s="454"/>
      <c r="Z154" s="454"/>
      <c r="AA154" s="454"/>
      <c r="AB154" s="454"/>
      <c r="AC154" s="454"/>
      <c r="AD154" s="454"/>
      <c r="AE154" s="454"/>
      <c r="AF154" s="454"/>
      <c r="AG154" s="454"/>
      <c r="AH154" s="454">
        <f aca="true" t="shared" si="60" ref="AH154:AM154">$AH$90*AH120</f>
        <v>564.0510248799834</v>
      </c>
      <c r="AI154" s="454">
        <f t="shared" si="60"/>
        <v>3383.1219973732245</v>
      </c>
      <c r="AJ154" s="454">
        <f t="shared" si="60"/>
        <v>0</v>
      </c>
      <c r="AK154" s="454">
        <f t="shared" si="60"/>
        <v>0</v>
      </c>
      <c r="AL154" s="454">
        <f t="shared" si="60"/>
        <v>0</v>
      </c>
      <c r="AM154" s="454">
        <f t="shared" si="60"/>
        <v>0</v>
      </c>
      <c r="AN154" s="344"/>
      <c r="AO154" s="344"/>
      <c r="AP154" s="344"/>
    </row>
    <row r="155" spans="3:42" ht="12.75">
      <c r="C155" s="344"/>
      <c r="D155" s="344"/>
      <c r="E155" s="344"/>
      <c r="F155" s="344"/>
      <c r="G155" s="344"/>
      <c r="H155" s="344">
        <f t="shared" si="36"/>
        <v>2023</v>
      </c>
      <c r="I155" s="456">
        <f t="shared" si="34"/>
        <v>1626.2352851683215</v>
      </c>
      <c r="J155" s="454"/>
      <c r="K155" s="454"/>
      <c r="L155" s="454"/>
      <c r="M155" s="454"/>
      <c r="N155" s="454"/>
      <c r="O155" s="454"/>
      <c r="P155" s="454"/>
      <c r="Q155" s="454"/>
      <c r="R155" s="454"/>
      <c r="S155" s="454"/>
      <c r="T155" s="454"/>
      <c r="U155" s="454"/>
      <c r="V155" s="454"/>
      <c r="W155" s="454"/>
      <c r="X155" s="454"/>
      <c r="Y155" s="454"/>
      <c r="Z155" s="454"/>
      <c r="AA155" s="454"/>
      <c r="AB155" s="454"/>
      <c r="AC155" s="454"/>
      <c r="AD155" s="454"/>
      <c r="AE155" s="454"/>
      <c r="AF155" s="454"/>
      <c r="AG155" s="454"/>
      <c r="AH155" s="454"/>
      <c r="AI155" s="454">
        <f>$AI$90*AI121</f>
        <v>1626.2352851683215</v>
      </c>
      <c r="AJ155" s="454">
        <f>$AI$90*AJ121</f>
        <v>0</v>
      </c>
      <c r="AK155" s="454">
        <f>$AI$90*AK121</f>
        <v>0</v>
      </c>
      <c r="AL155" s="454">
        <f>$AI$90*AL121</f>
        <v>0</v>
      </c>
      <c r="AM155" s="454">
        <f>$AI$90*AM121</f>
        <v>0</v>
      </c>
      <c r="AN155" s="344"/>
      <c r="AO155" s="344"/>
      <c r="AP155" s="344"/>
    </row>
    <row r="156" spans="3:42" ht="12.75">
      <c r="C156" s="344"/>
      <c r="D156" s="344"/>
      <c r="E156" s="344"/>
      <c r="F156" s="344"/>
      <c r="G156" s="344"/>
      <c r="H156" s="344">
        <f t="shared" si="36"/>
        <v>2024</v>
      </c>
      <c r="I156" s="456">
        <f t="shared" si="34"/>
        <v>0</v>
      </c>
      <c r="J156" s="454"/>
      <c r="K156" s="454"/>
      <c r="L156" s="454"/>
      <c r="M156" s="454"/>
      <c r="N156" s="454"/>
      <c r="O156" s="454"/>
      <c r="P156" s="454"/>
      <c r="Q156" s="454"/>
      <c r="R156" s="454"/>
      <c r="S156" s="454"/>
      <c r="T156" s="454"/>
      <c r="U156" s="454"/>
      <c r="V156" s="454"/>
      <c r="W156" s="454"/>
      <c r="X156" s="454"/>
      <c r="Y156" s="454"/>
      <c r="Z156" s="454"/>
      <c r="AA156" s="454"/>
      <c r="AB156" s="454"/>
      <c r="AC156" s="454"/>
      <c r="AD156" s="454"/>
      <c r="AE156" s="454"/>
      <c r="AF156" s="454"/>
      <c r="AG156" s="454"/>
      <c r="AH156" s="454"/>
      <c r="AI156" s="454"/>
      <c r="AJ156" s="454">
        <f>$AJ$90*AJ122</f>
        <v>0</v>
      </c>
      <c r="AK156" s="454">
        <f>$AJ$90*AK122</f>
        <v>0</v>
      </c>
      <c r="AL156" s="454">
        <f>$AJ$90*AL122</f>
        <v>0</v>
      </c>
      <c r="AM156" s="454">
        <f>$AJ$90*AM122</f>
        <v>0</v>
      </c>
      <c r="AN156" s="344"/>
      <c r="AO156" s="344"/>
      <c r="AP156" s="344"/>
    </row>
    <row r="157" spans="3:42" ht="12.75">
      <c r="C157" s="344"/>
      <c r="D157" s="344"/>
      <c r="E157" s="344"/>
      <c r="F157" s="344"/>
      <c r="G157" s="344"/>
      <c r="H157" s="344">
        <f t="shared" si="36"/>
        <v>2025</v>
      </c>
      <c r="I157" s="456">
        <f t="shared" si="34"/>
        <v>0</v>
      </c>
      <c r="J157" s="454"/>
      <c r="K157" s="454"/>
      <c r="L157" s="454"/>
      <c r="M157" s="454"/>
      <c r="N157" s="454"/>
      <c r="O157" s="454"/>
      <c r="P157" s="454"/>
      <c r="Q157" s="454"/>
      <c r="R157" s="454"/>
      <c r="S157" s="454"/>
      <c r="T157" s="454"/>
      <c r="U157" s="454"/>
      <c r="V157" s="454"/>
      <c r="W157" s="454"/>
      <c r="X157" s="454"/>
      <c r="Y157" s="454"/>
      <c r="Z157" s="454"/>
      <c r="AA157" s="454"/>
      <c r="AB157" s="454"/>
      <c r="AC157" s="454"/>
      <c r="AD157" s="454"/>
      <c r="AE157" s="454"/>
      <c r="AF157" s="454"/>
      <c r="AG157" s="454"/>
      <c r="AH157" s="454"/>
      <c r="AI157" s="454"/>
      <c r="AJ157" s="454"/>
      <c r="AK157" s="454">
        <f>$AK$90*AK123</f>
        <v>0</v>
      </c>
      <c r="AL157" s="454">
        <f>$AK$90*AL123</f>
        <v>0</v>
      </c>
      <c r="AM157" s="454">
        <f>$AK$90*AM123</f>
        <v>0</v>
      </c>
      <c r="AN157" s="344"/>
      <c r="AO157" s="344"/>
      <c r="AP157" s="344"/>
    </row>
    <row r="158" spans="3:42" ht="12.75">
      <c r="C158" s="344"/>
      <c r="D158" s="344"/>
      <c r="E158" s="344"/>
      <c r="F158" s="344"/>
      <c r="G158" s="344"/>
      <c r="H158" s="344">
        <f t="shared" si="36"/>
        <v>2026</v>
      </c>
      <c r="I158" s="456">
        <f t="shared" si="34"/>
        <v>0</v>
      </c>
      <c r="J158" s="344"/>
      <c r="K158" s="344"/>
      <c r="L158" s="344"/>
      <c r="M158" s="344"/>
      <c r="N158" s="344"/>
      <c r="O158" s="344"/>
      <c r="P158" s="344"/>
      <c r="Q158" s="344"/>
      <c r="R158" s="344"/>
      <c r="S158" s="344"/>
      <c r="T158" s="344"/>
      <c r="U158" s="344"/>
      <c r="V158" s="344"/>
      <c r="W158" s="344"/>
      <c r="X158" s="344"/>
      <c r="Y158" s="344"/>
      <c r="Z158" s="344"/>
      <c r="AA158" s="344"/>
      <c r="AB158" s="344"/>
      <c r="AC158" s="344"/>
      <c r="AD158" s="344"/>
      <c r="AE158" s="344"/>
      <c r="AF158" s="344"/>
      <c r="AG158" s="344"/>
      <c r="AH158" s="344"/>
      <c r="AI158" s="344"/>
      <c r="AJ158" s="344"/>
      <c r="AK158" s="344"/>
      <c r="AL158" s="454">
        <f>$AL$90*AL124</f>
        <v>0</v>
      </c>
      <c r="AM158" s="454">
        <f>$AL$90*AM124</f>
        <v>0</v>
      </c>
      <c r="AN158" s="344"/>
      <c r="AO158" s="344"/>
      <c r="AP158" s="344"/>
    </row>
    <row r="159" spans="3:42" ht="12.75">
      <c r="C159" s="344"/>
      <c r="D159" s="344"/>
      <c r="E159" s="344"/>
      <c r="F159" s="344"/>
      <c r="G159" s="344"/>
      <c r="H159" s="344">
        <f t="shared" si="36"/>
        <v>2027</v>
      </c>
      <c r="I159" s="456">
        <f t="shared" si="34"/>
        <v>0</v>
      </c>
      <c r="J159" s="344"/>
      <c r="K159" s="344"/>
      <c r="L159" s="344"/>
      <c r="M159" s="344"/>
      <c r="N159" s="344"/>
      <c r="O159" s="344"/>
      <c r="P159" s="344"/>
      <c r="Q159" s="344"/>
      <c r="R159" s="344"/>
      <c r="S159" s="344"/>
      <c r="T159" s="344"/>
      <c r="U159" s="344"/>
      <c r="V159" s="344"/>
      <c r="W159" s="344"/>
      <c r="X159" s="344"/>
      <c r="Y159" s="344"/>
      <c r="Z159" s="344"/>
      <c r="AA159" s="344"/>
      <c r="AB159" s="344"/>
      <c r="AC159" s="344"/>
      <c r="AD159" s="344"/>
      <c r="AE159" s="344"/>
      <c r="AF159" s="344"/>
      <c r="AG159" s="344"/>
      <c r="AH159" s="344"/>
      <c r="AI159" s="344"/>
      <c r="AJ159" s="344"/>
      <c r="AK159" s="344"/>
      <c r="AL159" s="344"/>
      <c r="AM159" s="454">
        <f>$AM$90*AM125</f>
        <v>0</v>
      </c>
      <c r="AN159" s="344"/>
      <c r="AO159" s="344"/>
      <c r="AP159" s="344"/>
    </row>
    <row r="160" spans="3:42" ht="12.75">
      <c r="C160" s="344"/>
      <c r="D160" s="344"/>
      <c r="E160" s="344"/>
      <c r="F160" s="344"/>
      <c r="G160" s="344"/>
      <c r="H160" s="344">
        <f t="shared" si="36"/>
        <v>2028</v>
      </c>
      <c r="I160" s="456">
        <f t="shared" si="34"/>
        <v>0</v>
      </c>
      <c r="J160" s="344"/>
      <c r="K160" s="344"/>
      <c r="L160" s="344"/>
      <c r="M160" s="344"/>
      <c r="N160" s="344"/>
      <c r="O160" s="344"/>
      <c r="P160" s="344"/>
      <c r="Q160" s="344"/>
      <c r="R160" s="344"/>
      <c r="S160" s="344"/>
      <c r="T160" s="344"/>
      <c r="U160" s="344"/>
      <c r="V160" s="344"/>
      <c r="W160" s="344"/>
      <c r="X160" s="344"/>
      <c r="Y160" s="344"/>
      <c r="Z160" s="344"/>
      <c r="AA160" s="344"/>
      <c r="AB160" s="344"/>
      <c r="AC160" s="344"/>
      <c r="AD160" s="344"/>
      <c r="AE160" s="344"/>
      <c r="AF160" s="344"/>
      <c r="AG160" s="344"/>
      <c r="AH160" s="344"/>
      <c r="AI160" s="344"/>
      <c r="AJ160" s="344"/>
      <c r="AK160" s="344"/>
      <c r="AL160" s="344"/>
      <c r="AM160" s="454"/>
      <c r="AN160" s="344">
        <f>AN90*AN126</f>
        <v>0</v>
      </c>
      <c r="AO160" s="344"/>
      <c r="AP160" s="344"/>
    </row>
    <row r="161" spans="3:42" ht="12.75">
      <c r="C161" s="344"/>
      <c r="D161" s="344"/>
      <c r="E161" s="344"/>
      <c r="F161" s="344"/>
      <c r="G161" s="344"/>
      <c r="H161" s="344">
        <f t="shared" si="36"/>
        <v>2029</v>
      </c>
      <c r="I161" s="456">
        <f t="shared" si="34"/>
        <v>0</v>
      </c>
      <c r="J161" s="344"/>
      <c r="K161" s="344"/>
      <c r="L161" s="344"/>
      <c r="M161" s="344"/>
      <c r="N161" s="344"/>
      <c r="O161" s="344"/>
      <c r="P161" s="344"/>
      <c r="Q161" s="344"/>
      <c r="R161" s="344"/>
      <c r="S161" s="344"/>
      <c r="T161" s="344"/>
      <c r="U161" s="344"/>
      <c r="V161" s="344"/>
      <c r="W161" s="344"/>
      <c r="X161" s="344"/>
      <c r="Y161" s="344"/>
      <c r="Z161" s="344"/>
      <c r="AA161" s="344"/>
      <c r="AB161" s="344"/>
      <c r="AC161" s="344"/>
      <c r="AD161" s="344"/>
      <c r="AE161" s="344"/>
      <c r="AF161" s="344"/>
      <c r="AG161" s="344"/>
      <c r="AH161" s="344"/>
      <c r="AI161" s="344"/>
      <c r="AJ161" s="344"/>
      <c r="AK161" s="344"/>
      <c r="AL161" s="344"/>
      <c r="AM161" s="454"/>
      <c r="AN161" s="344"/>
      <c r="AO161" s="344">
        <f>AO90*AO127</f>
        <v>0</v>
      </c>
      <c r="AP161" s="344"/>
    </row>
    <row r="162" spans="3:42" ht="12.75">
      <c r="C162" s="344"/>
      <c r="D162" s="344"/>
      <c r="E162" s="344"/>
      <c r="F162" s="344"/>
      <c r="G162" s="344"/>
      <c r="H162" s="344"/>
      <c r="I162" s="344"/>
      <c r="J162" s="344"/>
      <c r="K162" s="344"/>
      <c r="L162" s="344"/>
      <c r="M162" s="344"/>
      <c r="N162" s="344"/>
      <c r="O162" s="344"/>
      <c r="P162" s="344"/>
      <c r="Q162" s="344"/>
      <c r="R162" s="344"/>
      <c r="S162" s="344"/>
      <c r="T162" s="344"/>
      <c r="U162" s="344"/>
      <c r="V162" s="344"/>
      <c r="W162" s="344"/>
      <c r="X162" s="344"/>
      <c r="Y162" s="344"/>
      <c r="Z162" s="344"/>
      <c r="AA162" s="344"/>
      <c r="AB162" s="344"/>
      <c r="AC162" s="344"/>
      <c r="AD162" s="344"/>
      <c r="AE162" s="344"/>
      <c r="AF162" s="344"/>
      <c r="AG162" s="344"/>
      <c r="AH162" s="344"/>
      <c r="AI162" s="344"/>
      <c r="AJ162" s="344"/>
      <c r="AK162" s="344"/>
      <c r="AL162" s="344"/>
      <c r="AM162" s="344"/>
      <c r="AN162" s="344"/>
      <c r="AO162" s="344"/>
      <c r="AP162" s="344"/>
    </row>
    <row r="163" spans="3:42" ht="12.75">
      <c r="C163" s="344"/>
      <c r="D163" s="344"/>
      <c r="E163" s="344"/>
      <c r="F163" s="344"/>
      <c r="G163" s="344"/>
      <c r="H163" s="344" t="s">
        <v>466</v>
      </c>
      <c r="I163" s="456">
        <f>SUM(I130:I162)</f>
        <v>283250.32265183114</v>
      </c>
      <c r="J163" s="456">
        <f aca="true" t="shared" si="61" ref="J163:AO163">SUM(J130:J161)</f>
        <v>161.6199</v>
      </c>
      <c r="K163" s="456">
        <f t="shared" si="61"/>
        <v>1497.9394037136842</v>
      </c>
      <c r="L163" s="456">
        <f t="shared" si="61"/>
        <v>4571.228549703159</v>
      </c>
      <c r="M163" s="456">
        <f t="shared" si="61"/>
        <v>7792.36391566842</v>
      </c>
      <c r="N163" s="456">
        <f t="shared" si="61"/>
        <v>10306.415043850395</v>
      </c>
      <c r="O163" s="456">
        <f t="shared" si="61"/>
        <v>11754.069337559371</v>
      </c>
      <c r="P163" s="456">
        <f t="shared" si="61"/>
        <v>11837.125092571308</v>
      </c>
      <c r="Q163" s="456">
        <f t="shared" si="61"/>
        <v>11747.794471009483</v>
      </c>
      <c r="R163" s="456">
        <f t="shared" si="61"/>
        <v>11770.668995793647</v>
      </c>
      <c r="S163" s="456">
        <f t="shared" si="61"/>
        <v>11529.307819541455</v>
      </c>
      <c r="T163" s="456">
        <f t="shared" si="61"/>
        <v>11143.550866753645</v>
      </c>
      <c r="U163" s="456">
        <f t="shared" si="61"/>
        <v>10721.779331695127</v>
      </c>
      <c r="V163" s="456">
        <f t="shared" si="61"/>
        <v>10449.534611231495</v>
      </c>
      <c r="W163" s="456">
        <f t="shared" si="61"/>
        <v>10575.33649548742</v>
      </c>
      <c r="X163" s="456">
        <f t="shared" si="61"/>
        <v>10892.596590352043</v>
      </c>
      <c r="Y163" s="456">
        <f t="shared" si="61"/>
        <v>11219.374488062604</v>
      </c>
      <c r="Z163" s="456">
        <f t="shared" si="61"/>
        <v>11555.95572270448</v>
      </c>
      <c r="AA163" s="456">
        <f t="shared" si="61"/>
        <v>11902.634394385614</v>
      </c>
      <c r="AB163" s="456">
        <f t="shared" si="61"/>
        <v>12259.713426217182</v>
      </c>
      <c r="AC163" s="456">
        <f t="shared" si="61"/>
        <v>12627.5048290037</v>
      </c>
      <c r="AD163" s="456">
        <f t="shared" si="61"/>
        <v>13006.329973873808</v>
      </c>
      <c r="AE163" s="456">
        <f t="shared" si="61"/>
        <v>13396.519873090023</v>
      </c>
      <c r="AF163" s="456">
        <f t="shared" si="61"/>
        <v>13266.743280688148</v>
      </c>
      <c r="AG163" s="456">
        <f t="shared" si="61"/>
        <v>12205.950943633072</v>
      </c>
      <c r="AH163" s="456">
        <f t="shared" si="61"/>
        <v>10418.839956218088</v>
      </c>
      <c r="AI163" s="456">
        <f t="shared" si="61"/>
        <v>24639.42533902375</v>
      </c>
      <c r="AJ163" s="456">
        <f t="shared" si="61"/>
        <v>0</v>
      </c>
      <c r="AK163" s="456">
        <f t="shared" si="61"/>
        <v>0</v>
      </c>
      <c r="AL163" s="456">
        <f t="shared" si="61"/>
        <v>0</v>
      </c>
      <c r="AM163" s="456">
        <f t="shared" si="61"/>
        <v>0</v>
      </c>
      <c r="AN163" s="456">
        <f t="shared" si="61"/>
        <v>0</v>
      </c>
      <c r="AO163" s="456">
        <f t="shared" si="61"/>
        <v>0</v>
      </c>
      <c r="AP163" s="344"/>
    </row>
    <row r="164" spans="3:42" ht="12.75">
      <c r="C164" s="344"/>
      <c r="D164" s="344"/>
      <c r="E164" s="344"/>
      <c r="F164" s="344"/>
      <c r="G164" s="344"/>
      <c r="H164" s="344"/>
      <c r="I164" s="456"/>
      <c r="J164" s="344"/>
      <c r="K164" s="344"/>
      <c r="L164" s="344"/>
      <c r="M164" s="344"/>
      <c r="N164" s="344"/>
      <c r="O164" s="344"/>
      <c r="P164" s="344"/>
      <c r="Q164" s="344"/>
      <c r="R164" s="344"/>
      <c r="S164" s="344"/>
      <c r="T164" s="344"/>
      <c r="U164" s="344"/>
      <c r="V164" s="344"/>
      <c r="W164" s="344"/>
      <c r="X164" s="344"/>
      <c r="Y164" s="344"/>
      <c r="Z164" s="344"/>
      <c r="AA164" s="344"/>
      <c r="AB164" s="344"/>
      <c r="AC164" s="344"/>
      <c r="AD164" s="344"/>
      <c r="AE164" s="344"/>
      <c r="AF164" s="344"/>
      <c r="AG164" s="344"/>
      <c r="AH164" s="344"/>
      <c r="AI164" s="344"/>
      <c r="AJ164" s="344"/>
      <c r="AK164" s="344"/>
      <c r="AL164" s="344"/>
      <c r="AM164" s="344"/>
      <c r="AN164" s="344"/>
      <c r="AO164" s="344"/>
      <c r="AP164" s="344"/>
    </row>
    <row r="165" spans="3:42" ht="12.75">
      <c r="C165" s="344"/>
      <c r="D165" s="344"/>
      <c r="E165" s="344"/>
      <c r="F165" s="344"/>
      <c r="G165" s="344"/>
      <c r="H165" s="344"/>
      <c r="I165" s="344"/>
      <c r="J165" s="344"/>
      <c r="K165" s="344"/>
      <c r="L165" s="344"/>
      <c r="M165" s="344"/>
      <c r="N165" s="344"/>
      <c r="O165" s="344"/>
      <c r="P165" s="344"/>
      <c r="Q165" s="344"/>
      <c r="R165" s="344"/>
      <c r="S165" s="344"/>
      <c r="T165" s="344"/>
      <c r="U165" s="344"/>
      <c r="V165" s="344"/>
      <c r="W165" s="344"/>
      <c r="X165" s="344"/>
      <c r="Y165" s="344"/>
      <c r="Z165" s="344"/>
      <c r="AA165" s="344"/>
      <c r="AB165" s="344"/>
      <c r="AC165" s="344"/>
      <c r="AD165" s="344"/>
      <c r="AE165" s="344"/>
      <c r="AF165" s="344"/>
      <c r="AG165" s="344"/>
      <c r="AH165" s="344"/>
      <c r="AI165" s="344"/>
      <c r="AJ165" s="344"/>
      <c r="AK165" s="344"/>
      <c r="AL165" s="344"/>
      <c r="AM165" s="344"/>
      <c r="AN165" s="344"/>
      <c r="AO165" s="344"/>
      <c r="AP165" s="344"/>
    </row>
    <row r="166" spans="3:42" ht="12.75">
      <c r="C166" s="344"/>
      <c r="D166" s="344"/>
      <c r="E166" s="344"/>
      <c r="F166" s="344"/>
      <c r="G166" s="344"/>
      <c r="H166" s="344"/>
      <c r="I166" s="344"/>
      <c r="J166" s="344"/>
      <c r="K166" s="344"/>
      <c r="L166" s="344"/>
      <c r="M166" s="344"/>
      <c r="N166" s="344"/>
      <c r="O166" s="344"/>
      <c r="P166" s="344"/>
      <c r="Q166" s="344"/>
      <c r="R166" s="344"/>
      <c r="S166" s="344"/>
      <c r="T166" s="344"/>
      <c r="U166" s="344"/>
      <c r="V166" s="344"/>
      <c r="W166" s="344"/>
      <c r="X166" s="344"/>
      <c r="Y166" s="344"/>
      <c r="Z166" s="344"/>
      <c r="AA166" s="344"/>
      <c r="AB166" s="344"/>
      <c r="AC166" s="344"/>
      <c r="AD166" s="344"/>
      <c r="AE166" s="344"/>
      <c r="AF166" s="344"/>
      <c r="AG166" s="344"/>
      <c r="AH166" s="344"/>
      <c r="AI166" s="344"/>
      <c r="AJ166" s="344"/>
      <c r="AK166" s="344"/>
      <c r="AL166" s="344"/>
      <c r="AM166" s="344"/>
      <c r="AN166" s="344"/>
      <c r="AO166" s="344"/>
      <c r="AP166" s="344"/>
    </row>
    <row r="167" spans="3:42" ht="12.75">
      <c r="C167" s="344"/>
      <c r="D167" s="344"/>
      <c r="E167" s="344"/>
      <c r="F167" s="344"/>
      <c r="G167" s="344"/>
      <c r="H167" s="344"/>
      <c r="I167" s="344"/>
      <c r="J167" s="344"/>
      <c r="K167" s="344"/>
      <c r="L167" s="344"/>
      <c r="M167" s="344"/>
      <c r="N167" s="344"/>
      <c r="O167" s="344"/>
      <c r="P167" s="344"/>
      <c r="Q167" s="344"/>
      <c r="R167" s="344"/>
      <c r="S167" s="344"/>
      <c r="T167" s="344"/>
      <c r="U167" s="344"/>
      <c r="V167" s="344"/>
      <c r="W167" s="344"/>
      <c r="X167" s="344"/>
      <c r="Y167" s="344"/>
      <c r="Z167" s="344"/>
      <c r="AA167" s="344"/>
      <c r="AB167" s="344"/>
      <c r="AC167" s="344"/>
      <c r="AD167" s="344"/>
      <c r="AE167" s="344"/>
      <c r="AF167" s="344"/>
      <c r="AG167" s="344"/>
      <c r="AH167" s="344"/>
      <c r="AI167" s="344"/>
      <c r="AJ167" s="344"/>
      <c r="AK167" s="344"/>
      <c r="AL167" s="344"/>
      <c r="AM167" s="344"/>
      <c r="AN167" s="344"/>
      <c r="AO167" s="344"/>
      <c r="AP167" s="344"/>
    </row>
    <row r="168" spans="3:42" ht="12.75">
      <c r="C168" s="344"/>
      <c r="D168" s="344"/>
      <c r="E168" s="344"/>
      <c r="F168" s="344"/>
      <c r="G168" s="344"/>
      <c r="H168" s="344"/>
      <c r="I168" s="344"/>
      <c r="J168" s="344"/>
      <c r="K168" s="344"/>
      <c r="L168" s="344"/>
      <c r="M168" s="344"/>
      <c r="N168" s="344"/>
      <c r="O168" s="344"/>
      <c r="P168" s="344"/>
      <c r="Q168" s="344"/>
      <c r="R168" s="344"/>
      <c r="S168" s="344"/>
      <c r="T168" s="344"/>
      <c r="U168" s="344"/>
      <c r="V168" s="344"/>
      <c r="W168" s="344"/>
      <c r="X168" s="344"/>
      <c r="Y168" s="344"/>
      <c r="Z168" s="344"/>
      <c r="AA168" s="344"/>
      <c r="AB168" s="344"/>
      <c r="AC168" s="344"/>
      <c r="AD168" s="344"/>
      <c r="AE168" s="344"/>
      <c r="AF168" s="344"/>
      <c r="AG168" s="344"/>
      <c r="AH168" s="344"/>
      <c r="AI168" s="344"/>
      <c r="AJ168" s="344"/>
      <c r="AK168" s="344"/>
      <c r="AL168" s="344"/>
      <c r="AM168" s="344"/>
      <c r="AN168" s="344"/>
      <c r="AO168" s="344"/>
      <c r="AP168" s="344"/>
    </row>
    <row r="169" spans="3:42" ht="12.75">
      <c r="C169" s="344"/>
      <c r="D169" s="344"/>
      <c r="E169" s="344"/>
      <c r="F169" s="344"/>
      <c r="G169" s="344"/>
      <c r="H169" s="344"/>
      <c r="I169" s="344"/>
      <c r="J169" s="451">
        <f>$J$7</f>
        <v>1998</v>
      </c>
      <c r="K169" s="449">
        <f aca="true" t="shared" si="62" ref="K169:AO169">J169+1</f>
        <v>1999</v>
      </c>
      <c r="L169" s="449">
        <f t="shared" si="62"/>
        <v>2000</v>
      </c>
      <c r="M169" s="449">
        <f t="shared" si="62"/>
        <v>2001</v>
      </c>
      <c r="N169" s="449">
        <f t="shared" si="62"/>
        <v>2002</v>
      </c>
      <c r="O169" s="449">
        <f t="shared" si="62"/>
        <v>2003</v>
      </c>
      <c r="P169" s="449">
        <f t="shared" si="62"/>
        <v>2004</v>
      </c>
      <c r="Q169" s="449">
        <f t="shared" si="62"/>
        <v>2005</v>
      </c>
      <c r="R169" s="449">
        <f t="shared" si="62"/>
        <v>2006</v>
      </c>
      <c r="S169" s="449">
        <f t="shared" si="62"/>
        <v>2007</v>
      </c>
      <c r="T169" s="449">
        <f t="shared" si="62"/>
        <v>2008</v>
      </c>
      <c r="U169" s="449">
        <f t="shared" si="62"/>
        <v>2009</v>
      </c>
      <c r="V169" s="449">
        <f t="shared" si="62"/>
        <v>2010</v>
      </c>
      <c r="W169" s="449">
        <f t="shared" si="62"/>
        <v>2011</v>
      </c>
      <c r="X169" s="449">
        <f t="shared" si="62"/>
        <v>2012</v>
      </c>
      <c r="Y169" s="449">
        <f t="shared" si="62"/>
        <v>2013</v>
      </c>
      <c r="Z169" s="449">
        <f t="shared" si="62"/>
        <v>2014</v>
      </c>
      <c r="AA169" s="449">
        <f t="shared" si="62"/>
        <v>2015</v>
      </c>
      <c r="AB169" s="449">
        <f t="shared" si="62"/>
        <v>2016</v>
      </c>
      <c r="AC169" s="449">
        <f t="shared" si="62"/>
        <v>2017</v>
      </c>
      <c r="AD169" s="449">
        <f t="shared" si="62"/>
        <v>2018</v>
      </c>
      <c r="AE169" s="449">
        <f t="shared" si="62"/>
        <v>2019</v>
      </c>
      <c r="AF169" s="449">
        <f t="shared" si="62"/>
        <v>2020</v>
      </c>
      <c r="AG169" s="449">
        <f t="shared" si="62"/>
        <v>2021</v>
      </c>
      <c r="AH169" s="449">
        <f t="shared" si="62"/>
        <v>2022</v>
      </c>
      <c r="AI169" s="449">
        <f t="shared" si="62"/>
        <v>2023</v>
      </c>
      <c r="AJ169" s="449">
        <f t="shared" si="62"/>
        <v>2024</v>
      </c>
      <c r="AK169" s="449">
        <f t="shared" si="62"/>
        <v>2025</v>
      </c>
      <c r="AL169" s="449">
        <f t="shared" si="62"/>
        <v>2026</v>
      </c>
      <c r="AM169" s="449">
        <f t="shared" si="62"/>
        <v>2027</v>
      </c>
      <c r="AN169" s="449">
        <f t="shared" si="62"/>
        <v>2028</v>
      </c>
      <c r="AO169" s="449">
        <f t="shared" si="62"/>
        <v>2029</v>
      </c>
      <c r="AP169" s="344"/>
    </row>
    <row r="170" spans="3:42" ht="12.75">
      <c r="C170" s="460" t="s">
        <v>477</v>
      </c>
      <c r="D170" s="344"/>
      <c r="E170" s="344"/>
      <c r="F170" s="344"/>
      <c r="G170" s="344"/>
      <c r="H170" s="344"/>
      <c r="I170" s="344"/>
      <c r="J170" s="344"/>
      <c r="K170" s="344"/>
      <c r="L170" s="344"/>
      <c r="M170" s="344"/>
      <c r="N170" s="344"/>
      <c r="O170" s="344"/>
      <c r="P170" s="344"/>
      <c r="Q170" s="344"/>
      <c r="R170" s="344"/>
      <c r="S170" s="344"/>
      <c r="T170" s="344"/>
      <c r="U170" s="344"/>
      <c r="V170" s="344"/>
      <c r="W170" s="344"/>
      <c r="X170" s="344"/>
      <c r="Y170" s="344"/>
      <c r="Z170" s="344"/>
      <c r="AA170" s="344"/>
      <c r="AB170" s="344"/>
      <c r="AC170" s="344"/>
      <c r="AD170" s="344"/>
      <c r="AE170" s="344"/>
      <c r="AF170" s="344"/>
      <c r="AG170" s="344"/>
      <c r="AH170" s="344"/>
      <c r="AI170" s="344"/>
      <c r="AJ170" s="344"/>
      <c r="AK170" s="344"/>
      <c r="AL170" s="344"/>
      <c r="AM170" s="344"/>
      <c r="AN170" s="344"/>
      <c r="AO170" s="344"/>
      <c r="AP170" s="344"/>
    </row>
    <row r="171" spans="3:42" ht="12.75">
      <c r="C171" s="452">
        <v>1</v>
      </c>
      <c r="D171" s="344" t="s">
        <v>467</v>
      </c>
      <c r="E171" s="344"/>
      <c r="F171" s="344"/>
      <c r="G171" s="344"/>
      <c r="H171" s="658"/>
      <c r="I171" s="461">
        <f>SUM(J171:AO171)</f>
        <v>328892.1518931055</v>
      </c>
      <c r="J171" s="450">
        <f aca="true" t="shared" si="63" ref="J171:AO171">J79</f>
        <v>0</v>
      </c>
      <c r="K171" s="450">
        <f t="shared" si="63"/>
        <v>282.1224375</v>
      </c>
      <c r="L171" s="450">
        <f t="shared" si="63"/>
        <v>609.9257503499999</v>
      </c>
      <c r="M171" s="450">
        <f t="shared" si="63"/>
        <v>6193.376636450077</v>
      </c>
      <c r="N171" s="450">
        <f t="shared" si="63"/>
        <v>14155.985493072163</v>
      </c>
      <c r="O171" s="450">
        <f t="shared" si="63"/>
        <v>16144.50174033212</v>
      </c>
      <c r="P171" s="450">
        <f t="shared" si="63"/>
        <v>15273.201965384676</v>
      </c>
      <c r="Q171" s="450">
        <f t="shared" si="63"/>
        <v>14436.04542511899</v>
      </c>
      <c r="R171" s="450">
        <f t="shared" si="63"/>
        <v>13671.692830453174</v>
      </c>
      <c r="S171" s="450">
        <f t="shared" si="63"/>
        <v>12994.430105021183</v>
      </c>
      <c r="T171" s="450">
        <f t="shared" si="63"/>
        <v>12387.864000093936</v>
      </c>
      <c r="U171" s="450">
        <f t="shared" si="63"/>
        <v>12252.107661080332</v>
      </c>
      <c r="V171" s="450">
        <f t="shared" si="63"/>
        <v>12430.486742719053</v>
      </c>
      <c r="W171" s="450">
        <f t="shared" si="63"/>
        <v>12664.710191602668</v>
      </c>
      <c r="X171" s="450">
        <f t="shared" si="63"/>
        <v>12904.974745587895</v>
      </c>
      <c r="Y171" s="450">
        <f t="shared" si="63"/>
        <v>13154.08483348244</v>
      </c>
      <c r="Z171" s="450">
        <f t="shared" si="63"/>
        <v>13409.03062672406</v>
      </c>
      <c r="AA171" s="450">
        <f t="shared" si="63"/>
        <v>13673.262391052693</v>
      </c>
      <c r="AB171" s="450">
        <f t="shared" si="63"/>
        <v>13943.783511021422</v>
      </c>
      <c r="AC171" s="450">
        <f t="shared" si="63"/>
        <v>14224.057861878971</v>
      </c>
      <c r="AD171" s="450">
        <f t="shared" si="63"/>
        <v>14511.102845972488</v>
      </c>
      <c r="AE171" s="450">
        <f t="shared" si="63"/>
        <v>14640.55273472857</v>
      </c>
      <c r="AF171" s="450">
        <f t="shared" si="63"/>
        <v>14676.563972137857</v>
      </c>
      <c r="AG171" s="450">
        <f t="shared" si="63"/>
        <v>11429.190267795004</v>
      </c>
      <c r="AH171" s="450">
        <f t="shared" si="63"/>
        <v>6369.254485976758</v>
      </c>
      <c r="AI171" s="450">
        <f t="shared" si="63"/>
        <v>42459.842637568974</v>
      </c>
      <c r="AJ171" s="450">
        <f t="shared" si="63"/>
        <v>0</v>
      </c>
      <c r="AK171" s="450">
        <f t="shared" si="63"/>
        <v>0</v>
      </c>
      <c r="AL171" s="450">
        <f t="shared" si="63"/>
        <v>0</v>
      </c>
      <c r="AM171" s="450">
        <f t="shared" si="63"/>
        <v>0</v>
      </c>
      <c r="AN171" s="450">
        <f t="shared" si="63"/>
        <v>0</v>
      </c>
      <c r="AO171" s="450">
        <f t="shared" si="63"/>
        <v>0</v>
      </c>
      <c r="AP171" s="344"/>
    </row>
    <row r="172" spans="3:42" ht="12.75">
      <c r="C172" s="452">
        <v>1</v>
      </c>
      <c r="D172" s="344" t="s">
        <v>468</v>
      </c>
      <c r="E172" s="344"/>
      <c r="F172" s="344"/>
      <c r="G172" s="344"/>
      <c r="H172" s="344"/>
      <c r="I172" s="461">
        <f>SUM(J172:AO172)</f>
        <v>70468.72272860189</v>
      </c>
      <c r="J172" s="462">
        <f>J179/Inputs!$G$7</f>
        <v>6410.817876182553</v>
      </c>
      <c r="K172" s="462">
        <f>K179/Inputs!$G$7</f>
        <v>6400.657344686566</v>
      </c>
      <c r="L172" s="462">
        <f>L179/Inputs!$G$7</f>
        <v>6391.1227716250705</v>
      </c>
      <c r="M172" s="462">
        <f>M179/Inputs!$G$7</f>
        <v>6382.294821744786</v>
      </c>
      <c r="N172" s="462">
        <f>N179/Inputs!$G$7</f>
        <v>6374.1315493774155</v>
      </c>
      <c r="O172" s="462">
        <f>O179/Inputs!$G$7</f>
        <v>6366.600688624276</v>
      </c>
      <c r="P172" s="462">
        <f>P179/Inputs!$G$7</f>
        <v>6360.970289303698</v>
      </c>
      <c r="Q172" s="462">
        <f>Q179/Inputs!$G$7</f>
        <v>6360.970289303698</v>
      </c>
      <c r="R172" s="462">
        <f>R179/Inputs!$G$7</f>
        <v>4273.250128622301</v>
      </c>
      <c r="S172" s="462">
        <f>S179/Inputs!$G$7</f>
        <v>3921.893206161087</v>
      </c>
      <c r="T172" s="462">
        <f>T179/Inputs!$G$7</f>
        <v>3681.2652801678023</v>
      </c>
      <c r="U172" s="462">
        <f>U179/Inputs!$G$7</f>
        <v>3681.2652801678023</v>
      </c>
      <c r="V172" s="462">
        <f>V179/Inputs!$G$7</f>
        <v>1530.3137481436704</v>
      </c>
      <c r="W172" s="462">
        <f>W179/Inputs!$G$7</f>
        <v>1530.3137481436704</v>
      </c>
      <c r="X172" s="462">
        <f>X179/Inputs!$G$7</f>
        <v>802.8557063474984</v>
      </c>
      <c r="Y172" s="462">
        <f>Y179/Inputs!$G$7</f>
        <v>0</v>
      </c>
      <c r="Z172" s="462">
        <f>Z179/Inputs!$G$7</f>
        <v>0</v>
      </c>
      <c r="AA172" s="462">
        <f>AA179/Inputs!$G$7</f>
        <v>0</v>
      </c>
      <c r="AB172" s="462">
        <f>AB179/Inputs!$G$7</f>
        <v>0</v>
      </c>
      <c r="AC172" s="462">
        <f>AC179/Inputs!$G$7</f>
        <v>0</v>
      </c>
      <c r="AD172" s="462">
        <f>AD179/Inputs!$G$7</f>
        <v>0</v>
      </c>
      <c r="AE172" s="462">
        <f>AE179/Inputs!$G$7</f>
        <v>0</v>
      </c>
      <c r="AF172" s="462">
        <f>AF179/Inputs!$G$7</f>
        <v>0</v>
      </c>
      <c r="AG172" s="462">
        <f>AG179/Inputs!$G$7</f>
        <v>0</v>
      </c>
      <c r="AH172" s="462">
        <f>AH179/Inputs!$G$7</f>
        <v>0</v>
      </c>
      <c r="AI172" s="462">
        <f>AI179/Inputs!$G$7</f>
        <v>0</v>
      </c>
      <c r="AJ172" s="462">
        <f>AJ179/Inputs!$G$7</f>
        <v>0</v>
      </c>
      <c r="AK172" s="462">
        <f>AK179/Inputs!$G$7</f>
        <v>0</v>
      </c>
      <c r="AL172" s="462">
        <f>AL179/Inputs!$G$7</f>
        <v>0</v>
      </c>
      <c r="AM172" s="462">
        <f>AM179/Inputs!$G$7</f>
        <v>0</v>
      </c>
      <c r="AN172" s="462">
        <f>AN179/Inputs!$G$7</f>
        <v>0</v>
      </c>
      <c r="AO172" s="462">
        <f>AO179/Inputs!$G$7</f>
        <v>0</v>
      </c>
      <c r="AP172" s="344"/>
    </row>
    <row r="173" spans="3:42" ht="12.75">
      <c r="C173" s="344"/>
      <c r="D173" s="344" t="s">
        <v>469</v>
      </c>
      <c r="E173" s="344"/>
      <c r="F173" s="344"/>
      <c r="G173" s="344"/>
      <c r="H173" s="344"/>
      <c r="I173" s="461">
        <f>SUM(J173:AO173)</f>
        <v>283250.32265183114</v>
      </c>
      <c r="J173" s="450">
        <f>J163</f>
        <v>161.6199</v>
      </c>
      <c r="K173" s="450">
        <f>K163</f>
        <v>1497.9394037136842</v>
      </c>
      <c r="L173" s="450">
        <f aca="true" t="shared" si="64" ref="L173:AO173">L163</f>
        <v>4571.228549703159</v>
      </c>
      <c r="M173" s="450">
        <f t="shared" si="64"/>
        <v>7792.36391566842</v>
      </c>
      <c r="N173" s="450">
        <f t="shared" si="64"/>
        <v>10306.415043850395</v>
      </c>
      <c r="O173" s="450">
        <f t="shared" si="64"/>
        <v>11754.069337559371</v>
      </c>
      <c r="P173" s="450">
        <f t="shared" si="64"/>
        <v>11837.125092571308</v>
      </c>
      <c r="Q173" s="450">
        <f t="shared" si="64"/>
        <v>11747.794471009483</v>
      </c>
      <c r="R173" s="450">
        <f t="shared" si="64"/>
        <v>11770.668995793647</v>
      </c>
      <c r="S173" s="450">
        <f t="shared" si="64"/>
        <v>11529.307819541455</v>
      </c>
      <c r="T173" s="450">
        <f t="shared" si="64"/>
        <v>11143.550866753645</v>
      </c>
      <c r="U173" s="450">
        <f t="shared" si="64"/>
        <v>10721.779331695127</v>
      </c>
      <c r="V173" s="450">
        <f t="shared" si="64"/>
        <v>10449.534611231495</v>
      </c>
      <c r="W173" s="450">
        <f t="shared" si="64"/>
        <v>10575.33649548742</v>
      </c>
      <c r="X173" s="450">
        <f t="shared" si="64"/>
        <v>10892.596590352043</v>
      </c>
      <c r="Y173" s="450">
        <f t="shared" si="64"/>
        <v>11219.374488062604</v>
      </c>
      <c r="Z173" s="450">
        <f t="shared" si="64"/>
        <v>11555.95572270448</v>
      </c>
      <c r="AA173" s="450">
        <f t="shared" si="64"/>
        <v>11902.634394385614</v>
      </c>
      <c r="AB173" s="450">
        <f t="shared" si="64"/>
        <v>12259.713426217182</v>
      </c>
      <c r="AC173" s="450">
        <f t="shared" si="64"/>
        <v>12627.5048290037</v>
      </c>
      <c r="AD173" s="450">
        <f t="shared" si="64"/>
        <v>13006.329973873808</v>
      </c>
      <c r="AE173" s="450">
        <f t="shared" si="64"/>
        <v>13396.519873090023</v>
      </c>
      <c r="AF173" s="450">
        <f t="shared" si="64"/>
        <v>13266.743280688148</v>
      </c>
      <c r="AG173" s="450">
        <f t="shared" si="64"/>
        <v>12205.950943633072</v>
      </c>
      <c r="AH173" s="450">
        <f t="shared" si="64"/>
        <v>10418.839956218088</v>
      </c>
      <c r="AI173" s="450">
        <f t="shared" si="64"/>
        <v>24639.42533902375</v>
      </c>
      <c r="AJ173" s="450">
        <f t="shared" si="64"/>
        <v>0</v>
      </c>
      <c r="AK173" s="450">
        <f t="shared" si="64"/>
        <v>0</v>
      </c>
      <c r="AL173" s="450">
        <f t="shared" si="64"/>
        <v>0</v>
      </c>
      <c r="AM173" s="450">
        <f t="shared" si="64"/>
        <v>0</v>
      </c>
      <c r="AN173" s="450">
        <f t="shared" si="64"/>
        <v>0</v>
      </c>
      <c r="AO173" s="450">
        <f t="shared" si="64"/>
        <v>0</v>
      </c>
      <c r="AP173" s="344"/>
    </row>
    <row r="174" spans="3:42" ht="12.75">
      <c r="C174" s="344"/>
      <c r="D174" s="344" t="s">
        <v>470</v>
      </c>
      <c r="E174" s="344"/>
      <c r="F174" s="344"/>
      <c r="G174" s="344"/>
      <c r="H174" s="344"/>
      <c r="I174" s="463">
        <f>SUM(J174:AO174)</f>
        <v>18183.746066061776</v>
      </c>
      <c r="J174" s="464">
        <f>J180</f>
        <v>6282.237433938224</v>
      </c>
      <c r="K174" s="464">
        <f aca="true" t="shared" si="65" ref="K174:AO174">K180</f>
        <v>3800</v>
      </c>
      <c r="L174" s="464">
        <f t="shared" si="65"/>
        <v>1462.8632672715573</v>
      </c>
      <c r="M174" s="464">
        <f t="shared" si="65"/>
        <v>1065.0380172715572</v>
      </c>
      <c r="N174" s="464">
        <f t="shared" si="65"/>
        <v>1064.6700172715573</v>
      </c>
      <c r="O174" s="464">
        <f t="shared" si="65"/>
        <v>1064.6700172715573</v>
      </c>
      <c r="P174" s="464">
        <f t="shared" si="65"/>
        <v>1064.6700172715573</v>
      </c>
      <c r="Q174" s="464">
        <f t="shared" si="65"/>
        <v>1064.6700172715573</v>
      </c>
      <c r="R174" s="464">
        <f t="shared" si="65"/>
        <v>1064.6700172715573</v>
      </c>
      <c r="S174" s="464">
        <f t="shared" si="65"/>
        <v>10.871517271557273</v>
      </c>
      <c r="T174" s="464">
        <f t="shared" si="65"/>
        <v>10.871517271557273</v>
      </c>
      <c r="U174" s="464">
        <f t="shared" si="65"/>
        <v>10.871517271557273</v>
      </c>
      <c r="V174" s="464">
        <f t="shared" si="65"/>
        <v>10.871517271557273</v>
      </c>
      <c r="W174" s="464">
        <f t="shared" si="65"/>
        <v>10.871517271557273</v>
      </c>
      <c r="X174" s="464">
        <f t="shared" si="65"/>
        <v>10.871517271557273</v>
      </c>
      <c r="Y174" s="464">
        <f t="shared" si="65"/>
        <v>10.871517271557273</v>
      </c>
      <c r="Z174" s="464">
        <f t="shared" si="65"/>
        <v>10.871517271557273</v>
      </c>
      <c r="AA174" s="464">
        <f t="shared" si="65"/>
        <v>10.871517271557273</v>
      </c>
      <c r="AB174" s="464">
        <f t="shared" si="65"/>
        <v>10.871517271557273</v>
      </c>
      <c r="AC174" s="464">
        <f t="shared" si="65"/>
        <v>10.871517271557273</v>
      </c>
      <c r="AD174" s="464">
        <f t="shared" si="65"/>
        <v>10.871517271557273</v>
      </c>
      <c r="AE174" s="464">
        <f t="shared" si="65"/>
        <v>10.871517271557273</v>
      </c>
      <c r="AF174" s="464">
        <f t="shared" si="65"/>
        <v>10.871517271557273</v>
      </c>
      <c r="AG174" s="464">
        <f t="shared" si="65"/>
        <v>10.871517271557273</v>
      </c>
      <c r="AH174" s="464">
        <f t="shared" si="65"/>
        <v>5.438557271557271</v>
      </c>
      <c r="AI174" s="464">
        <f t="shared" si="65"/>
        <v>81.74594487774448</v>
      </c>
      <c r="AJ174" s="464">
        <f t="shared" si="65"/>
        <v>0</v>
      </c>
      <c r="AK174" s="464">
        <f t="shared" si="65"/>
        <v>0</v>
      </c>
      <c r="AL174" s="464">
        <f t="shared" si="65"/>
        <v>0</v>
      </c>
      <c r="AM174" s="464">
        <f t="shared" si="65"/>
        <v>0</v>
      </c>
      <c r="AN174" s="464">
        <f t="shared" si="65"/>
        <v>0</v>
      </c>
      <c r="AO174" s="464">
        <f t="shared" si="65"/>
        <v>0</v>
      </c>
      <c r="AP174" s="344"/>
    </row>
    <row r="175" spans="3:42" ht="12.75">
      <c r="C175" s="344"/>
      <c r="D175" s="344"/>
      <c r="E175" s="344"/>
      <c r="F175" s="344"/>
      <c r="G175" s="344"/>
      <c r="H175" s="344"/>
      <c r="I175" s="450">
        <f aca="true" t="shared" si="66" ref="I175:AN175">SUM(I171:I174)</f>
        <v>700794.9433396002</v>
      </c>
      <c r="J175" s="450">
        <f t="shared" si="66"/>
        <v>12854.675210120777</v>
      </c>
      <c r="K175" s="450">
        <f t="shared" si="66"/>
        <v>11980.71918590025</v>
      </c>
      <c r="L175" s="450">
        <f t="shared" si="66"/>
        <v>13035.140338949786</v>
      </c>
      <c r="M175" s="450">
        <f t="shared" si="66"/>
        <v>21433.07339113484</v>
      </c>
      <c r="N175" s="450">
        <f t="shared" si="66"/>
        <v>31901.20210357153</v>
      </c>
      <c r="O175" s="450">
        <f t="shared" si="66"/>
        <v>35329.84178378732</v>
      </c>
      <c r="P175" s="450">
        <f t="shared" si="66"/>
        <v>34535.96736453124</v>
      </c>
      <c r="Q175" s="450">
        <f t="shared" si="66"/>
        <v>33609.48020270373</v>
      </c>
      <c r="R175" s="450">
        <f t="shared" si="66"/>
        <v>30780.281972140678</v>
      </c>
      <c r="S175" s="450">
        <f t="shared" si="66"/>
        <v>28456.502647995283</v>
      </c>
      <c r="T175" s="450">
        <f t="shared" si="66"/>
        <v>27223.55166428694</v>
      </c>
      <c r="U175" s="450">
        <f t="shared" si="66"/>
        <v>26666.02379021482</v>
      </c>
      <c r="V175" s="450">
        <f t="shared" si="66"/>
        <v>24421.206619365774</v>
      </c>
      <c r="W175" s="450">
        <f t="shared" si="66"/>
        <v>24781.231952505314</v>
      </c>
      <c r="X175" s="450">
        <f t="shared" si="66"/>
        <v>24611.298559558993</v>
      </c>
      <c r="Y175" s="450">
        <f t="shared" si="66"/>
        <v>24384.3308388166</v>
      </c>
      <c r="Z175" s="450">
        <f t="shared" si="66"/>
        <v>24975.857866700095</v>
      </c>
      <c r="AA175" s="450">
        <f t="shared" si="66"/>
        <v>25586.768302709865</v>
      </c>
      <c r="AB175" s="450">
        <f t="shared" si="66"/>
        <v>26214.36845451016</v>
      </c>
      <c r="AC175" s="450">
        <f t="shared" si="66"/>
        <v>26862.434208154227</v>
      </c>
      <c r="AD175" s="450">
        <f t="shared" si="66"/>
        <v>27528.304337117854</v>
      </c>
      <c r="AE175" s="450">
        <f t="shared" si="66"/>
        <v>28047.944125090147</v>
      </c>
      <c r="AF175" s="450">
        <f t="shared" si="66"/>
        <v>27954.178770097562</v>
      </c>
      <c r="AG175" s="450">
        <f t="shared" si="66"/>
        <v>23646.012728699632</v>
      </c>
      <c r="AH175" s="450">
        <f t="shared" si="66"/>
        <v>16793.532999466403</v>
      </c>
      <c r="AI175" s="450">
        <f t="shared" si="66"/>
        <v>67181.01392147047</v>
      </c>
      <c r="AJ175" s="450">
        <f t="shared" si="66"/>
        <v>0</v>
      </c>
      <c r="AK175" s="450">
        <f t="shared" si="66"/>
        <v>0</v>
      </c>
      <c r="AL175" s="450">
        <f t="shared" si="66"/>
        <v>0</v>
      </c>
      <c r="AM175" s="450">
        <f t="shared" si="66"/>
        <v>0</v>
      </c>
      <c r="AN175" s="450">
        <f t="shared" si="66"/>
        <v>0</v>
      </c>
      <c r="AO175" s="450">
        <f>SUM(AO171:AO174)</f>
        <v>0</v>
      </c>
      <c r="AP175" s="344"/>
    </row>
    <row r="176" spans="3:42" ht="12.75">
      <c r="C176" s="344"/>
      <c r="D176" s="344" t="s">
        <v>471</v>
      </c>
      <c r="E176" s="344"/>
      <c r="F176" s="344"/>
      <c r="G176" s="344"/>
      <c r="H176" s="344"/>
      <c r="I176" s="463">
        <f>SUM(J176:AO176)</f>
        <v>209911.24690361088</v>
      </c>
      <c r="J176" s="464">
        <v>0</v>
      </c>
      <c r="K176" s="464">
        <v>8301.858002684296</v>
      </c>
      <c r="L176" s="464">
        <v>9216.030192081509</v>
      </c>
      <c r="M176" s="464">
        <v>9488.945366403752</v>
      </c>
      <c r="N176" s="464">
        <v>9054.540725702958</v>
      </c>
      <c r="O176" s="464">
        <v>9273.406688204015</v>
      </c>
      <c r="P176" s="464">
        <v>0</v>
      </c>
      <c r="Q176" s="464">
        <v>8493.081148601172</v>
      </c>
      <c r="R176" s="464">
        <v>9190.441510312548</v>
      </c>
      <c r="S176" s="464">
        <v>7000.156146493054</v>
      </c>
      <c r="T176" s="464">
        <v>3145.093977053714</v>
      </c>
      <c r="U176" s="464">
        <v>8660.299060740957</v>
      </c>
      <c r="V176" s="464">
        <v>5641.664323328831</v>
      </c>
      <c r="W176" s="464">
        <v>6350.166250318807</v>
      </c>
      <c r="X176" s="464">
        <v>7233.307581575733</v>
      </c>
      <c r="Y176" s="464">
        <v>6202.5240038094</v>
      </c>
      <c r="Z176" s="464">
        <v>10523.962609219503</v>
      </c>
      <c r="AA176" s="464">
        <v>10696.485075273853</v>
      </c>
      <c r="AB176" s="464">
        <v>11128.400269738926</v>
      </c>
      <c r="AC176" s="464">
        <v>11466.932497231988</v>
      </c>
      <c r="AD176" s="464">
        <v>11556.159503348987</v>
      </c>
      <c r="AE176" s="464">
        <v>11624.078526355512</v>
      </c>
      <c r="AF176" s="464">
        <v>11654.489344538908</v>
      </c>
      <c r="AG176" s="464">
        <v>12335.041312008892</v>
      </c>
      <c r="AH176" s="464">
        <v>11674.182788583537</v>
      </c>
      <c r="AI176" s="464">
        <v>0</v>
      </c>
      <c r="AJ176" s="464">
        <v>0</v>
      </c>
      <c r="AK176" s="464">
        <v>0</v>
      </c>
      <c r="AL176" s="464">
        <v>0</v>
      </c>
      <c r="AM176" s="464">
        <v>0</v>
      </c>
      <c r="AN176" s="464">
        <v>0</v>
      </c>
      <c r="AO176" s="464">
        <v>0</v>
      </c>
      <c r="AP176" s="344"/>
    </row>
    <row r="177" spans="3:42" ht="12.75">
      <c r="C177" s="344"/>
      <c r="D177" s="344"/>
      <c r="E177" s="344"/>
      <c r="F177" s="344"/>
      <c r="G177" s="344"/>
      <c r="H177" s="344"/>
      <c r="I177" s="461">
        <f>SUM(J177:AO177)</f>
        <v>910706.1902432111</v>
      </c>
      <c r="J177" s="450">
        <f aca="true" t="shared" si="67" ref="J177:AO177">J175+J176</f>
        <v>12854.675210120777</v>
      </c>
      <c r="K177" s="450">
        <f t="shared" si="67"/>
        <v>20282.577188584546</v>
      </c>
      <c r="L177" s="450">
        <f t="shared" si="67"/>
        <v>22251.170531031297</v>
      </c>
      <c r="M177" s="450">
        <f t="shared" si="67"/>
        <v>30922.018757538593</v>
      </c>
      <c r="N177" s="450">
        <f t="shared" si="67"/>
        <v>40955.74282927449</v>
      </c>
      <c r="O177" s="450">
        <f t="shared" si="67"/>
        <v>44603.248471991334</v>
      </c>
      <c r="P177" s="450">
        <f t="shared" si="67"/>
        <v>34535.96736453124</v>
      </c>
      <c r="Q177" s="450">
        <f t="shared" si="67"/>
        <v>42102.5613513049</v>
      </c>
      <c r="R177" s="450">
        <f t="shared" si="67"/>
        <v>39970.72348245323</v>
      </c>
      <c r="S177" s="450">
        <f t="shared" si="67"/>
        <v>35456.658794488336</v>
      </c>
      <c r="T177" s="450">
        <f t="shared" si="67"/>
        <v>30368.645641340656</v>
      </c>
      <c r="U177" s="450">
        <f t="shared" si="67"/>
        <v>35326.322850955774</v>
      </c>
      <c r="V177" s="450">
        <f t="shared" si="67"/>
        <v>30062.870942694604</v>
      </c>
      <c r="W177" s="450">
        <f t="shared" si="67"/>
        <v>31131.398202824123</v>
      </c>
      <c r="X177" s="450">
        <f t="shared" si="67"/>
        <v>31844.606141134725</v>
      </c>
      <c r="Y177" s="450">
        <f t="shared" si="67"/>
        <v>30586.854842626002</v>
      </c>
      <c r="Z177" s="450">
        <f t="shared" si="67"/>
        <v>35499.820475919594</v>
      </c>
      <c r="AA177" s="450">
        <f t="shared" si="67"/>
        <v>36283.25337798372</v>
      </c>
      <c r="AB177" s="450">
        <f t="shared" si="67"/>
        <v>37342.76872424909</v>
      </c>
      <c r="AC177" s="450">
        <f t="shared" si="67"/>
        <v>38329.366705386215</v>
      </c>
      <c r="AD177" s="450">
        <f t="shared" si="67"/>
        <v>39084.46384046684</v>
      </c>
      <c r="AE177" s="450">
        <f t="shared" si="67"/>
        <v>39672.02265144566</v>
      </c>
      <c r="AF177" s="450">
        <f t="shared" si="67"/>
        <v>39608.66811463647</v>
      </c>
      <c r="AG177" s="450">
        <f t="shared" si="67"/>
        <v>35981.05404070852</v>
      </c>
      <c r="AH177" s="450">
        <f t="shared" si="67"/>
        <v>28467.71578804994</v>
      </c>
      <c r="AI177" s="450">
        <f t="shared" si="67"/>
        <v>67181.01392147047</v>
      </c>
      <c r="AJ177" s="450">
        <f t="shared" si="67"/>
        <v>0</v>
      </c>
      <c r="AK177" s="450">
        <f t="shared" si="67"/>
        <v>0</v>
      </c>
      <c r="AL177" s="450">
        <f t="shared" si="67"/>
        <v>0</v>
      </c>
      <c r="AM177" s="450">
        <f t="shared" si="67"/>
        <v>0</v>
      </c>
      <c r="AN177" s="450">
        <f t="shared" si="67"/>
        <v>0</v>
      </c>
      <c r="AO177" s="450">
        <f t="shared" si="67"/>
        <v>0</v>
      </c>
      <c r="AP177" s="344"/>
    </row>
    <row r="179" spans="4:35" ht="12.75">
      <c r="D179" s="312" t="s">
        <v>476</v>
      </c>
      <c r="J179" s="333">
        <v>3045.1384911867126</v>
      </c>
      <c r="K179" s="333">
        <v>3040.3122387261187</v>
      </c>
      <c r="L179" s="333">
        <v>3035.7833165219085</v>
      </c>
      <c r="M179" s="333">
        <v>3031.590040328773</v>
      </c>
      <c r="N179" s="333">
        <v>3027.7124859542723</v>
      </c>
      <c r="O179" s="333">
        <v>3024.135327096531</v>
      </c>
      <c r="P179" s="333">
        <v>3021.460887419257</v>
      </c>
      <c r="Q179" s="333">
        <v>3021.460887419257</v>
      </c>
      <c r="R179" s="333">
        <v>2029.793811095593</v>
      </c>
      <c r="S179" s="333">
        <v>1862.8992729265162</v>
      </c>
      <c r="T179" s="333">
        <v>1748.601008079706</v>
      </c>
      <c r="U179" s="333">
        <v>1748.601008079706</v>
      </c>
      <c r="V179" s="333">
        <v>726.8990303682434</v>
      </c>
      <c r="W179" s="333">
        <v>726.8990303682434</v>
      </c>
      <c r="X179" s="333">
        <v>381.3564605150617</v>
      </c>
      <c r="Y179" s="333">
        <v>0</v>
      </c>
      <c r="Z179" s="333">
        <v>0</v>
      </c>
      <c r="AA179" s="333">
        <v>0</v>
      </c>
      <c r="AB179" s="333">
        <v>0</v>
      </c>
      <c r="AC179" s="333">
        <v>0</v>
      </c>
      <c r="AD179" s="333">
        <v>0</v>
      </c>
      <c r="AE179" s="333">
        <v>0</v>
      </c>
      <c r="AF179" s="333">
        <v>0</v>
      </c>
      <c r="AG179" s="333">
        <v>0</v>
      </c>
      <c r="AH179" s="333">
        <v>0</v>
      </c>
      <c r="AI179" s="333">
        <v>0</v>
      </c>
    </row>
    <row r="180" spans="4:35" ht="12.75">
      <c r="D180" s="344" t="s">
        <v>470</v>
      </c>
      <c r="J180" s="465">
        <v>6282.237433938224</v>
      </c>
      <c r="K180" s="312">
        <v>3800</v>
      </c>
      <c r="L180" s="333">
        <v>1462.8632672715573</v>
      </c>
      <c r="M180" s="333">
        <v>1065.0380172715572</v>
      </c>
      <c r="N180" s="333">
        <v>1064.6700172715573</v>
      </c>
      <c r="O180" s="333">
        <v>1064.6700172715573</v>
      </c>
      <c r="P180" s="333">
        <v>1064.6700172715573</v>
      </c>
      <c r="Q180" s="333">
        <v>1064.6700172715573</v>
      </c>
      <c r="R180" s="333">
        <v>1064.6700172715573</v>
      </c>
      <c r="S180" s="333">
        <v>10.871517271557273</v>
      </c>
      <c r="T180" s="333">
        <v>10.871517271557273</v>
      </c>
      <c r="U180" s="333">
        <v>10.871517271557273</v>
      </c>
      <c r="V180" s="333">
        <v>10.871517271557273</v>
      </c>
      <c r="W180" s="333">
        <v>10.871517271557273</v>
      </c>
      <c r="X180" s="333">
        <v>10.871517271557273</v>
      </c>
      <c r="Y180" s="333">
        <v>10.871517271557273</v>
      </c>
      <c r="Z180" s="333">
        <v>10.871517271557273</v>
      </c>
      <c r="AA180" s="333">
        <v>10.871517271557273</v>
      </c>
      <c r="AB180" s="333">
        <v>10.871517271557273</v>
      </c>
      <c r="AC180" s="333">
        <v>10.871517271557273</v>
      </c>
      <c r="AD180" s="333">
        <v>10.871517271557273</v>
      </c>
      <c r="AE180" s="333">
        <v>10.871517271557273</v>
      </c>
      <c r="AF180" s="333">
        <v>10.871517271557273</v>
      </c>
      <c r="AG180" s="333">
        <v>10.871517271557273</v>
      </c>
      <c r="AH180" s="333">
        <v>5.438557271557271</v>
      </c>
      <c r="AI180" s="333">
        <v>81.74594487774448</v>
      </c>
    </row>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sheetData>
  <printOptions/>
  <pageMargins left="0.75" right="0.75" top="1" bottom="1" header="0.5" footer="0.5"/>
  <pageSetup horizontalDpi="600" verticalDpi="600" orientation="landscape" scale="65"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dimension ref="A1:AJ28"/>
  <sheetViews>
    <sheetView workbookViewId="0" topLeftCell="A1">
      <selection activeCell="A1" sqref="A1"/>
    </sheetView>
  </sheetViews>
  <sheetFormatPr defaultColWidth="9.140625" defaultRowHeight="12.75"/>
  <cols>
    <col min="2" max="2" width="33.421875" style="0" customWidth="1"/>
    <col min="3" max="3" width="15.28125" style="0" customWidth="1"/>
    <col min="4" max="4" width="7.00390625" style="0" customWidth="1"/>
    <col min="5" max="19" width="10.7109375" style="0" customWidth="1"/>
    <col min="20" max="20" width="12.421875" style="0" customWidth="1"/>
    <col min="21" max="36" width="10.7109375" style="0" customWidth="1"/>
  </cols>
  <sheetData>
    <row r="1" spans="17:29" ht="12.75">
      <c r="Q1" s="279"/>
      <c r="R1" s="279"/>
      <c r="U1" s="279"/>
      <c r="W1" s="279"/>
      <c r="Y1" s="279"/>
      <c r="AA1" s="279"/>
      <c r="AC1" s="279"/>
    </row>
    <row r="2" ht="12.75">
      <c r="Q2" s="279"/>
    </row>
    <row r="4" spans="1:36" ht="12.75">
      <c r="A4" s="307"/>
      <c r="C4" s="308"/>
      <c r="D4" s="309"/>
      <c r="E4" s="310">
        <v>1998</v>
      </c>
      <c r="F4" s="310">
        <f>E4+1</f>
        <v>1999</v>
      </c>
      <c r="G4" s="310">
        <f aca="true" t="shared" si="0" ref="G4:AJ4">F4+1</f>
        <v>2000</v>
      </c>
      <c r="H4" s="310">
        <f t="shared" si="0"/>
        <v>2001</v>
      </c>
      <c r="I4" s="310">
        <f t="shared" si="0"/>
        <v>2002</v>
      </c>
      <c r="J4" s="310">
        <f t="shared" si="0"/>
        <v>2003</v>
      </c>
      <c r="K4" s="310">
        <f t="shared" si="0"/>
        <v>2004</v>
      </c>
      <c r="L4" s="310">
        <f t="shared" si="0"/>
        <v>2005</v>
      </c>
      <c r="M4" s="310">
        <f t="shared" si="0"/>
        <v>2006</v>
      </c>
      <c r="N4" s="310">
        <f t="shared" si="0"/>
        <v>2007</v>
      </c>
      <c r="O4" s="310">
        <f t="shared" si="0"/>
        <v>2008</v>
      </c>
      <c r="P4" s="310">
        <f t="shared" si="0"/>
        <v>2009</v>
      </c>
      <c r="Q4" s="310">
        <f t="shared" si="0"/>
        <v>2010</v>
      </c>
      <c r="R4" s="310">
        <f t="shared" si="0"/>
        <v>2011</v>
      </c>
      <c r="S4" s="310">
        <f t="shared" si="0"/>
        <v>2012</v>
      </c>
      <c r="T4" s="310">
        <f t="shared" si="0"/>
        <v>2013</v>
      </c>
      <c r="U4" s="310">
        <f t="shared" si="0"/>
        <v>2014</v>
      </c>
      <c r="V4" s="310">
        <f t="shared" si="0"/>
        <v>2015</v>
      </c>
      <c r="W4" s="310">
        <f t="shared" si="0"/>
        <v>2016</v>
      </c>
      <c r="X4" s="310">
        <f t="shared" si="0"/>
        <v>2017</v>
      </c>
      <c r="Y4" s="310">
        <f t="shared" si="0"/>
        <v>2018</v>
      </c>
      <c r="Z4" s="310">
        <f t="shared" si="0"/>
        <v>2019</v>
      </c>
      <c r="AA4" s="310">
        <f t="shared" si="0"/>
        <v>2020</v>
      </c>
      <c r="AB4" s="310">
        <f t="shared" si="0"/>
        <v>2021</v>
      </c>
      <c r="AC4" s="310">
        <f t="shared" si="0"/>
        <v>2022</v>
      </c>
      <c r="AD4" s="310">
        <f t="shared" si="0"/>
        <v>2023</v>
      </c>
      <c r="AE4" s="310">
        <f t="shared" si="0"/>
        <v>2024</v>
      </c>
      <c r="AF4" s="310">
        <f t="shared" si="0"/>
        <v>2025</v>
      </c>
      <c r="AG4" s="310">
        <f t="shared" si="0"/>
        <v>2026</v>
      </c>
      <c r="AH4" s="310">
        <f t="shared" si="0"/>
        <v>2027</v>
      </c>
      <c r="AI4" s="310">
        <f t="shared" si="0"/>
        <v>2028</v>
      </c>
      <c r="AJ4" s="310">
        <f t="shared" si="0"/>
        <v>2029</v>
      </c>
    </row>
    <row r="5" spans="1:36" ht="12.75">
      <c r="A5" s="307"/>
      <c r="B5" s="36" t="s">
        <v>741</v>
      </c>
      <c r="C5" s="308"/>
      <c r="D5" s="309"/>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row>
    <row r="6" spans="2:36" ht="12.75">
      <c r="B6" s="313"/>
      <c r="C6" s="311" t="s">
        <v>326</v>
      </c>
      <c r="D6" s="314">
        <f>SUM(E6:AJ6)</f>
        <v>272860.83934727655</v>
      </c>
      <c r="E6" s="621">
        <v>0</v>
      </c>
      <c r="F6" s="680">
        <v>7696.297802306057</v>
      </c>
      <c r="G6" s="621">
        <f>$T$12*Inputs!J9*Inputs!J38/1000</f>
        <v>7678.1874802546945</v>
      </c>
      <c r="H6" s="621">
        <f>$T$12*Inputs!K9*Inputs!K38/1000</f>
        <v>7908.533104662335</v>
      </c>
      <c r="I6" s="621">
        <f>$T$12*Inputs!L9*Inputs!L38/1000</f>
        <v>8145.789097802206</v>
      </c>
      <c r="J6" s="621">
        <f>$T$12*Inputs!M9*Inputs!M38/1000</f>
        <v>8861.302680169925</v>
      </c>
      <c r="K6" s="621">
        <f>$T$12*Inputs!N9*Inputs!N38/1000</f>
        <v>8670.78467254627</v>
      </c>
      <c r="L6" s="621">
        <f>$T$12*Inputs!O9*Inputs!O38/1000</f>
        <v>9165.932113057464</v>
      </c>
      <c r="M6" s="621">
        <f>$T$12*Inputs!P9*Inputs!P38/1000</f>
        <v>9440.910076449189</v>
      </c>
      <c r="N6" s="621">
        <f>$T$12*Inputs!Q9*Inputs!Q38/1000</f>
        <v>9724.137378742666</v>
      </c>
      <c r="O6" s="621">
        <f>$T$12*Inputs!R9*Inputs!R38/1000</f>
        <v>9759.044538563792</v>
      </c>
      <c r="P6" s="621">
        <f>$T$12*Inputs!S9*Inputs!S38/1000</f>
        <v>9787.29440433332</v>
      </c>
      <c r="Q6" s="621">
        <f>$T$12*Inputs!T9*Inputs!T38/1000</f>
        <v>10080.913236463319</v>
      </c>
      <c r="R6" s="621">
        <f>$T$12*Inputs!U9*Inputs!U38/1000</f>
        <v>10383.340633557218</v>
      </c>
      <c r="S6" s="621">
        <f>$T$12*Inputs!V9*Inputs!V38/1000</f>
        <v>10983.89060533593</v>
      </c>
      <c r="T6" s="621">
        <f>$T$12*Inputs!W9*Inputs!W38/1000</f>
        <v>11313.407323496009</v>
      </c>
      <c r="U6" s="621">
        <f>$T$12*Inputs!X9*Inputs!X38/1000</f>
        <v>11652.80954320089</v>
      </c>
      <c r="V6" s="621">
        <f>$T$12*Inputs!Y9*Inputs!Y38/1000</f>
        <v>12002.393829496914</v>
      </c>
      <c r="W6" s="621">
        <f>$T$12*Inputs!Z9*Inputs!Z38/1000</f>
        <v>12037.137601108618</v>
      </c>
      <c r="X6" s="621">
        <f>$T$12*Inputs!AA9*Inputs!AA38/1000</f>
        <v>12733.339613713277</v>
      </c>
      <c r="Y6" s="621">
        <f>$T$12*Inputs!AB9*Inputs!AB38/1000</f>
        <v>13115.339802124676</v>
      </c>
      <c r="Z6" s="621">
        <f>$T$12*Inputs!AC9*Inputs!AC38/1000</f>
        <v>13508.799996188416</v>
      </c>
      <c r="AA6" s="621">
        <f>$T$12*Inputs!AD9*Inputs!AD38/1000</f>
        <v>13914.063996074066</v>
      </c>
      <c r="AB6" s="621">
        <f>$T$12*Inputs!AE9*Inputs!AE38/1000</f>
        <v>14331.48591595629</v>
      </c>
      <c r="AC6" s="621">
        <f>$T$12*Inputs!AF9*Inputs!AF38/1000</f>
        <v>14761.430493434978</v>
      </c>
      <c r="AD6" s="621">
        <f>$T$12*Inputs!AG9*Inputs!AG38/1000</f>
        <v>15204.273408238025</v>
      </c>
      <c r="AE6" s="315"/>
      <c r="AF6" s="315"/>
      <c r="AG6" s="315"/>
      <c r="AH6" s="315"/>
      <c r="AI6" s="316"/>
      <c r="AJ6" s="316"/>
    </row>
    <row r="7" spans="2:7" ht="12.75">
      <c r="B7" s="677" t="s">
        <v>684</v>
      </c>
      <c r="F7" s="53">
        <v>230.8889340691817</v>
      </c>
      <c r="G7" s="266">
        <f>(SUM(F6:F6)+SUM(F7:F7))*Inputs!$G$62+G6/2*Inputs!$G$62</f>
        <v>705.9768285901552</v>
      </c>
    </row>
    <row r="9" spans="4:23" ht="12.75">
      <c r="D9" s="280"/>
      <c r="E9" s="2">
        <v>1998</v>
      </c>
      <c r="F9" s="2">
        <v>1997</v>
      </c>
      <c r="G9" s="2">
        <f>F9-1</f>
        <v>1996</v>
      </c>
      <c r="H9" s="2">
        <f>G9-1</f>
        <v>1995</v>
      </c>
      <c r="I9" s="2">
        <f>H9-1</f>
        <v>1994</v>
      </c>
      <c r="J9" s="280"/>
      <c r="K9" s="2">
        <v>1998</v>
      </c>
      <c r="L9" s="2">
        <v>1997</v>
      </c>
      <c r="M9" s="2">
        <f>L9-1</f>
        <v>1996</v>
      </c>
      <c r="N9" s="2">
        <f>M9-1</f>
        <v>1995</v>
      </c>
      <c r="O9" s="2">
        <f>N9-1</f>
        <v>1994</v>
      </c>
      <c r="U9" s="280"/>
      <c r="W9" s="280"/>
    </row>
    <row r="10" spans="2:20" ht="12.75">
      <c r="B10" t="s">
        <v>122</v>
      </c>
      <c r="P10" s="318">
        <f>(K11+L11+M11+N11+O11)/5</f>
        <v>4019664.2096478203</v>
      </c>
      <c r="Q10" s="319"/>
      <c r="R10" s="319"/>
      <c r="S10" s="319" t="s">
        <v>313</v>
      </c>
      <c r="T10" s="325">
        <f>P10</f>
        <v>4019664.2096478203</v>
      </c>
    </row>
    <row r="11" spans="2:23" ht="15">
      <c r="B11" s="281" t="s">
        <v>310</v>
      </c>
      <c r="D11" s="53"/>
      <c r="E11" s="53">
        <v>4032741.83</v>
      </c>
      <c r="F11" s="53">
        <v>4150562.37</v>
      </c>
      <c r="G11" s="53">
        <v>3604953.76</v>
      </c>
      <c r="H11" s="53">
        <v>3181569.31</v>
      </c>
      <c r="I11" s="53">
        <v>3468679.96</v>
      </c>
      <c r="J11" s="53"/>
      <c r="K11" s="53">
        <f>E11*Inputs!J9</f>
        <v>4153724.0849</v>
      </c>
      <c r="L11" s="53">
        <f>F11*Inputs!K9</f>
        <v>4403331.618333</v>
      </c>
      <c r="M11" s="53">
        <f>G11*Inputs!L9</f>
        <v>3939230.30730352</v>
      </c>
      <c r="N11" s="53">
        <f>H11*Inputs!M9</f>
        <v>3580884.2880306207</v>
      </c>
      <c r="O11" s="53">
        <f>I11*Inputs!N9</f>
        <v>4021150.7496719602</v>
      </c>
      <c r="P11" s="320">
        <f>(K12+L12+M12+N12+O12)/5</f>
        <v>4592454.031506405</v>
      </c>
      <c r="Q11" s="225"/>
      <c r="R11" s="321"/>
      <c r="S11" s="321" t="s">
        <v>204</v>
      </c>
      <c r="T11" s="326">
        <f>(K14+L14+M14+N14+O14)/5</f>
        <v>2156891.4</v>
      </c>
      <c r="U11" s="53"/>
      <c r="W11" s="53"/>
    </row>
    <row r="12" spans="2:23" ht="15">
      <c r="B12" t="s">
        <v>327</v>
      </c>
      <c r="D12" s="53"/>
      <c r="E12" s="53">
        <v>4160718.82</v>
      </c>
      <c r="F12" s="53">
        <v>4603347.01</v>
      </c>
      <c r="G12" s="53">
        <v>4274158.18</v>
      </c>
      <c r="H12" s="53">
        <v>4208956.33</v>
      </c>
      <c r="I12" s="53">
        <v>3782827.16</v>
      </c>
      <c r="J12" s="53"/>
      <c r="K12" s="53">
        <f>E12*Inputs!J9</f>
        <v>4285540.3845999995</v>
      </c>
      <c r="L12" s="53">
        <f>F12*Inputs!K9</f>
        <v>4883690.842909</v>
      </c>
      <c r="M12" s="53">
        <f>G12*Inputs!L9</f>
        <v>4670488.04555686</v>
      </c>
      <c r="N12" s="53">
        <f>H12*Inputs!M9</f>
        <v>4737217.430320267</v>
      </c>
      <c r="O12" s="53">
        <f>I12*Inputs!N9</f>
        <v>4385333.454145897</v>
      </c>
      <c r="P12" s="322"/>
      <c r="Q12" s="569"/>
      <c r="R12" s="177"/>
      <c r="S12" s="177" t="s">
        <v>312</v>
      </c>
      <c r="T12" s="323">
        <f>T10/T11</f>
        <v>1.8636377379258968</v>
      </c>
      <c r="U12" s="53"/>
      <c r="W12" s="53"/>
    </row>
    <row r="13" spans="16:17" ht="12.75">
      <c r="P13" s="321"/>
      <c r="Q13" s="324"/>
    </row>
    <row r="14" spans="10:15" ht="12.75">
      <c r="J14" t="s">
        <v>185</v>
      </c>
      <c r="K14" s="53">
        <v>2195599.625</v>
      </c>
      <c r="L14" s="53">
        <v>2103133.75</v>
      </c>
      <c r="M14" s="53">
        <v>2086445.1</v>
      </c>
      <c r="N14" s="53">
        <v>2197709.1</v>
      </c>
      <c r="O14" s="53">
        <v>2201569.425</v>
      </c>
    </row>
    <row r="16" spans="6:7" ht="12.75">
      <c r="F16">
        <v>1999</v>
      </c>
      <c r="G16">
        <v>2000</v>
      </c>
    </row>
    <row r="17" spans="6:30" ht="12.7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row>
    <row r="18" spans="1:30" ht="12.75">
      <c r="A18" s="8" t="s">
        <v>293</v>
      </c>
      <c r="B18" t="s">
        <v>328</v>
      </c>
      <c r="C18" s="175">
        <f>SUM(F18:AD18)</f>
        <v>27087.389478540044</v>
      </c>
      <c r="F18" s="53">
        <f>IF(Inputs!$E$81="L",'Sales Tax'!F21,IF(Inputs!$E$81="M",'Sales Tax'!F24,IF(Inputs!$E$81="H",'Sales Tax'!F27)))</f>
        <v>758.4460485323766</v>
      </c>
      <c r="G18" s="53">
        <f>IF(Inputs!$E$81="L",'Sales Tax'!G21,IF(Inputs!$E$81="M",'Sales Tax'!G24,IF(Inputs!$E$81="H",'Sales Tax'!G27)))</f>
        <v>586.8482608687372</v>
      </c>
      <c r="H18" s="53">
        <f>IF(Inputs!$E$81="L",'Sales Tax'!H21,IF(Inputs!$E$81="M",'Sales Tax'!H24,IF(Inputs!$E$81="H",'Sales Tax'!H27)))</f>
        <v>610.3839844695564</v>
      </c>
      <c r="I18" s="53">
        <f>IF(Inputs!$E$81="L",'Sales Tax'!I21,IF(Inputs!$E$81="M",'Sales Tax'!I24,IF(Inputs!$E$81="H",'Sales Tax'!I27)))</f>
        <v>606.4824510501657</v>
      </c>
      <c r="J18" s="53">
        <f>IF(Inputs!$E$81="L",'Sales Tax'!J21,IF(Inputs!$E$81="M",'Sales Tax'!J24,IF(Inputs!$E$81="H",'Sales Tax'!J27)))</f>
        <v>538.9157322634418</v>
      </c>
      <c r="K18" s="53">
        <f>IF(Inputs!$E$81="L",'Sales Tax'!K21,IF(Inputs!$E$81="M",'Sales Tax'!K24,IF(Inputs!$E$81="H",'Sales Tax'!K27)))</f>
        <v>729.5208812305863</v>
      </c>
      <c r="L18" s="53">
        <f>IF(Inputs!$E$81="L",'Sales Tax'!L21,IF(Inputs!$E$81="M",'Sales Tax'!L24,IF(Inputs!$E$81="H",'Sales Tax'!L27)))</f>
        <v>666.6591892021765</v>
      </c>
      <c r="M18" s="53">
        <f>IF(Inputs!$E$81="L",'Sales Tax'!M21,IF(Inputs!$E$81="M",'Sales Tax'!M24,IF(Inputs!$E$81="H",'Sales Tax'!M27)))</f>
        <v>756.7815056292519</v>
      </c>
      <c r="N18" s="53">
        <f>IF(Inputs!$E$81="L",'Sales Tax'!N21,IF(Inputs!$E$81="M",'Sales Tax'!N24,IF(Inputs!$E$81="H",'Sales Tax'!N27)))</f>
        <v>765.7822604058354</v>
      </c>
      <c r="O18" s="53">
        <f>IF(Inputs!$E$81="L",'Sales Tax'!O21,IF(Inputs!$E$81="M",'Sales Tax'!O24,IF(Inputs!$E$81="H",'Sales Tax'!O27)))</f>
        <v>899.9279998915752</v>
      </c>
      <c r="P18" s="53">
        <f>IF(Inputs!$E$81="L",'Sales Tax'!P21,IF(Inputs!$E$81="M",'Sales Tax'!P24,IF(Inputs!$E$81="H",'Sales Tax'!P27)))</f>
        <v>952.3977805560694</v>
      </c>
      <c r="Q18" s="53">
        <f>IF(Inputs!$E$81="L",'Sales Tax'!Q21,IF(Inputs!$E$81="M",'Sales Tax'!Q24,IF(Inputs!$E$81="H",'Sales Tax'!Q27)))</f>
        <v>1024.3719552524756</v>
      </c>
      <c r="R18" s="53">
        <f>IF(Inputs!$E$81="L",'Sales Tax'!R21,IF(Inputs!$E$81="M",'Sales Tax'!R24,IF(Inputs!$E$81="H",'Sales Tax'!R27)))</f>
        <v>1099.0206301562782</v>
      </c>
      <c r="S18" s="53">
        <f>IF(Inputs!$E$81="L",'Sales Tax'!S21,IF(Inputs!$E$81="M",'Sales Tax'!S24,IF(Inputs!$E$81="H",'Sales Tax'!S27)))</f>
        <v>1146.128660652363</v>
      </c>
      <c r="T18" s="53">
        <f>IF(Inputs!$E$81="L",'Sales Tax'!T21,IF(Inputs!$E$81="M",'Sales Tax'!T24,IF(Inputs!$E$81="H",'Sales Tax'!T27)))</f>
        <v>1207.2650102516197</v>
      </c>
      <c r="U18" s="53">
        <f>IF(Inputs!$E$81="L",'Sales Tax'!U21,IF(Inputs!$E$81="M",'Sales Tax'!U24,IF(Inputs!$E$81="H",'Sales Tax'!U27)))</f>
        <v>1276.762449013085</v>
      </c>
      <c r="V18" s="53">
        <f>IF(Inputs!$E$81="L",'Sales Tax'!V21,IF(Inputs!$E$81="M",'Sales Tax'!V24,IF(Inputs!$E$81="H",'Sales Tax'!V27)))</f>
        <v>1329.6036274704384</v>
      </c>
      <c r="W18" s="53">
        <f>IF(Inputs!$E$81="L",'Sales Tax'!W21,IF(Inputs!$E$81="M",'Sales Tax'!W24,IF(Inputs!$E$81="H",'Sales Tax'!W27)))</f>
        <v>1432.5974229450271</v>
      </c>
      <c r="X18" s="53">
        <f>IF(Inputs!$E$81="L",'Sales Tax'!X21,IF(Inputs!$E$81="M",'Sales Tax'!X24,IF(Inputs!$E$81="H",'Sales Tax'!X27)))</f>
        <v>1429.5178320070536</v>
      </c>
      <c r="Y18" s="53">
        <f>IF(Inputs!$E$81="L",'Sales Tax'!Y21,IF(Inputs!$E$81="M",'Sales Tax'!Y24,IF(Inputs!$E$81="H",'Sales Tax'!Y27)))</f>
        <v>1484.6185129016371</v>
      </c>
      <c r="Z18" s="53">
        <f>IF(Inputs!$E$81="L",'Sales Tax'!Z21,IF(Inputs!$E$81="M",'Sales Tax'!Z24,IF(Inputs!$E$81="H",'Sales Tax'!Z27)))</f>
        <v>1446.3570425852438</v>
      </c>
      <c r="AA18" s="53">
        <f>IF(Inputs!$E$81="L",'Sales Tax'!AA21,IF(Inputs!$E$81="M",'Sales Tax'!AA24,IF(Inputs!$E$81="H",'Sales Tax'!AA27)))</f>
        <v>1502.524664906182</v>
      </c>
      <c r="AB18" s="53">
        <f>IF(Inputs!$E$81="L",'Sales Tax'!AB21,IF(Inputs!$E$81="M",'Sales Tax'!AB24,IF(Inputs!$E$81="H",'Sales Tax'!AB27)))</f>
        <v>1546.8477845047164</v>
      </c>
      <c r="AC18" s="53">
        <f>IF(Inputs!$E$81="L",'Sales Tax'!AC21,IF(Inputs!$E$81="M",'Sales Tax'!AC24,IF(Inputs!$E$81="H",'Sales Tax'!AC27)))</f>
        <v>1609.8658572155398</v>
      </c>
      <c r="AD18" s="53">
        <f>IF(Inputs!$E$81="L",'Sales Tax'!AD21,IF(Inputs!$E$81="M",'Sales Tax'!AD24,IF(Inputs!$E$81="H",'Sales Tax'!AD27)))</f>
        <v>1679.7619345786109</v>
      </c>
    </row>
    <row r="19" spans="2:30" ht="12.75">
      <c r="B19" s="677" t="s">
        <v>683</v>
      </c>
      <c r="C19" s="175">
        <f>SUM(F19:AD19)</f>
        <v>528.726855242399</v>
      </c>
      <c r="F19" s="53">
        <f>IF(Inputs!$E$81="L",'Sales Tax'!F22,IF(Inputs!$E$81="M",'Sales Tax'!F25,IF(Inputs!$E$81="H",'Sales Tax'!F28)))</f>
        <v>22.753381455971297</v>
      </c>
      <c r="G19" s="53">
        <f>IF(Inputs!$E$81="L",'Sales Tax'!G22,IF(Inputs!$E$81="M",'Sales Tax'!G25,IF(Inputs!$E$81="H",'Sales Tax'!G28)))</f>
        <v>64.47741362536298</v>
      </c>
      <c r="H19" s="53">
        <f>IF(Inputs!$E$81="L",'Sales Tax'!H22,IF(Inputs!$E$81="M",'Sales Tax'!H25,IF(Inputs!$E$81="H",'Sales Tax'!H28)))</f>
        <v>104.26302580303357</v>
      </c>
      <c r="I19" s="53">
        <f>IF(Inputs!$E$81="L",'Sales Tax'!I22,IF(Inputs!$E$81="M",'Sales Tax'!I25,IF(Inputs!$E$81="H",'Sales Tax'!I28)))</f>
        <v>147.02480041680724</v>
      </c>
      <c r="J19" s="53">
        <f>IF(Inputs!$E$81="L",'Sales Tax'!J22,IF(Inputs!$E$81="M",'Sales Tax'!J25,IF(Inputs!$E$81="H",'Sales Tax'!J28)))</f>
        <v>190.2082339412239</v>
      </c>
      <c r="K19" s="53">
        <f>IF(Inputs!$E$81="L",'Sales Tax'!K22,IF(Inputs!$E$81="M",'Sales Tax'!K25,IF(Inputs!$E$81="H",'Sales Tax'!K28)))</f>
        <v>0</v>
      </c>
      <c r="L19" s="53">
        <f>IF(Inputs!$E$81="L",'Sales Tax'!L22,IF(Inputs!$E$81="M",'Sales Tax'!L25,IF(Inputs!$E$81="H",'Sales Tax'!L28)))</f>
        <v>0</v>
      </c>
      <c r="M19" s="53">
        <f>IF(Inputs!$E$81="L",'Sales Tax'!M22,IF(Inputs!$E$81="M",'Sales Tax'!M25,IF(Inputs!$E$81="H",'Sales Tax'!M28)))</f>
        <v>0</v>
      </c>
      <c r="N19" s="53">
        <f>IF(Inputs!$E$81="L",'Sales Tax'!N22,IF(Inputs!$E$81="M",'Sales Tax'!N25,IF(Inputs!$E$81="H",'Sales Tax'!N28)))</f>
        <v>0</v>
      </c>
      <c r="O19" s="53">
        <f>IF(Inputs!$E$81="L",'Sales Tax'!O22,IF(Inputs!$E$81="M",'Sales Tax'!O25,IF(Inputs!$E$81="H",'Sales Tax'!O28)))</f>
        <v>0</v>
      </c>
      <c r="P19" s="53">
        <f>IF(Inputs!$E$81="L",'Sales Tax'!P22,IF(Inputs!$E$81="M",'Sales Tax'!P25,IF(Inputs!$E$81="H",'Sales Tax'!P28)))</f>
        <v>0</v>
      </c>
      <c r="Q19" s="53">
        <f>IF(Inputs!$E$81="L",'Sales Tax'!Q22,IF(Inputs!$E$81="M",'Sales Tax'!Q25,IF(Inputs!$E$81="H",'Sales Tax'!Q28)))</f>
        <v>0</v>
      </c>
      <c r="R19" s="53">
        <f>IF(Inputs!$E$81="L",'Sales Tax'!R22,IF(Inputs!$E$81="M",'Sales Tax'!R25,IF(Inputs!$E$81="H",'Sales Tax'!R28)))</f>
        <v>0</v>
      </c>
      <c r="S19" s="53">
        <f>IF(Inputs!$E$81="L",'Sales Tax'!S22,IF(Inputs!$E$81="M",'Sales Tax'!S25,IF(Inputs!$E$81="H",'Sales Tax'!S28)))</f>
        <v>0</v>
      </c>
      <c r="T19" s="53">
        <f>IF(Inputs!$E$81="L",'Sales Tax'!T22,IF(Inputs!$E$81="M",'Sales Tax'!T25,IF(Inputs!$E$81="H",'Sales Tax'!T28)))</f>
        <v>0</v>
      </c>
      <c r="U19" s="53">
        <f>IF(Inputs!$E$81="L",'Sales Tax'!U22,IF(Inputs!$E$81="M",'Sales Tax'!U25,IF(Inputs!$E$81="H",'Sales Tax'!U28)))</f>
        <v>0</v>
      </c>
      <c r="V19" s="53">
        <f>IF(Inputs!$E$81="L",'Sales Tax'!V22,IF(Inputs!$E$81="M",'Sales Tax'!V25,IF(Inputs!$E$81="H",'Sales Tax'!V28)))</f>
        <v>0</v>
      </c>
      <c r="W19" s="53">
        <f>IF(Inputs!$E$81="L",'Sales Tax'!W22,IF(Inputs!$E$81="M",'Sales Tax'!W25,IF(Inputs!$E$81="H",'Sales Tax'!W28)))</f>
        <v>0</v>
      </c>
      <c r="X19" s="53">
        <f>IF(Inputs!$E$81="L",'Sales Tax'!X22,IF(Inputs!$E$81="M",'Sales Tax'!X25,IF(Inputs!$E$81="H",'Sales Tax'!X28)))</f>
        <v>0</v>
      </c>
      <c r="Y19" s="53">
        <f>IF(Inputs!$E$81="L",'Sales Tax'!Y22,IF(Inputs!$E$81="M",'Sales Tax'!Y25,IF(Inputs!$E$81="H",'Sales Tax'!Y28)))</f>
        <v>0</v>
      </c>
      <c r="Z19" s="53">
        <f>IF(Inputs!$E$81="L",'Sales Tax'!Z22,IF(Inputs!$E$81="M",'Sales Tax'!Z25,IF(Inputs!$E$81="H",'Sales Tax'!Z28)))</f>
        <v>0</v>
      </c>
      <c r="AA19" s="53">
        <f>IF(Inputs!$E$81="L",'Sales Tax'!AA22,IF(Inputs!$E$81="M",'Sales Tax'!AA25,IF(Inputs!$E$81="H",'Sales Tax'!AA28)))</f>
        <v>0</v>
      </c>
      <c r="AB19" s="53">
        <f>IF(Inputs!$E$81="L",'Sales Tax'!AB22,IF(Inputs!$E$81="M",'Sales Tax'!AB25,IF(Inputs!$E$81="H",'Sales Tax'!AB28)))</f>
        <v>0</v>
      </c>
      <c r="AC19" s="53">
        <f>IF(Inputs!$E$81="L",'Sales Tax'!AC22,IF(Inputs!$E$81="M",'Sales Tax'!AC25,IF(Inputs!$E$81="H",'Sales Tax'!AC28)))</f>
        <v>0</v>
      </c>
      <c r="AD19" s="53">
        <f>IF(Inputs!$E$81="L",'Sales Tax'!AD22,IF(Inputs!$E$81="M",'Sales Tax'!AD25,IF(Inputs!$E$81="H",'Sales Tax'!AD28)))</f>
        <v>0</v>
      </c>
    </row>
    <row r="21" spans="1:30" ht="12.75">
      <c r="A21" s="8" t="s">
        <v>745</v>
      </c>
      <c r="B21" t="s">
        <v>328</v>
      </c>
      <c r="C21" s="175">
        <f>SUM(F21:AD21)</f>
        <v>23319.2357391354</v>
      </c>
      <c r="F21" s="53">
        <v>758.4460485323766</v>
      </c>
      <c r="G21" s="53">
        <v>505.6487682068352</v>
      </c>
      <c r="H21" s="53">
        <v>531.0723950324298</v>
      </c>
      <c r="I21" s="53">
        <v>525.3852016258533</v>
      </c>
      <c r="J21" s="53">
        <v>453.82475084118755</v>
      </c>
      <c r="K21" s="53">
        <v>648.3544664892801</v>
      </c>
      <c r="L21" s="53">
        <v>563.2623239139537</v>
      </c>
      <c r="M21" s="53">
        <v>645.4898474322229</v>
      </c>
      <c r="N21" s="53">
        <v>618.4304537964128</v>
      </c>
      <c r="O21" s="53">
        <v>671.624438823499</v>
      </c>
      <c r="P21" s="53">
        <v>774.2962911166458</v>
      </c>
      <c r="Q21" s="53">
        <v>807.2175306018803</v>
      </c>
      <c r="R21" s="53">
        <v>838.6727382141149</v>
      </c>
      <c r="S21" s="53">
        <v>851.9987527894752</v>
      </c>
      <c r="T21" s="53">
        <v>927.0312529905306</v>
      </c>
      <c r="U21" s="53">
        <v>995.1290362756018</v>
      </c>
      <c r="V21" s="53">
        <v>1058.1057028997866</v>
      </c>
      <c r="W21" s="53">
        <v>1183.6689889473132</v>
      </c>
      <c r="X21" s="53">
        <v>1229.3152491216376</v>
      </c>
      <c r="Y21" s="53">
        <v>1403.3119179904145</v>
      </c>
      <c r="Z21" s="53">
        <v>1362.1253494182195</v>
      </c>
      <c r="AA21" s="53">
        <v>1415.021930225921</v>
      </c>
      <c r="AB21" s="53">
        <v>1455.8587542710275</v>
      </c>
      <c r="AC21" s="53">
        <v>1515.0813805641146</v>
      </c>
      <c r="AD21" s="53">
        <v>1580.8621690146642</v>
      </c>
    </row>
    <row r="22" spans="2:30" ht="12.75">
      <c r="B22" s="677" t="s">
        <v>683</v>
      </c>
      <c r="C22" s="175">
        <f>SUM(F22:AD22)</f>
        <v>487.8413516525319</v>
      </c>
      <c r="F22" s="53">
        <v>22.753381455971297</v>
      </c>
      <c r="G22" s="53">
        <v>62.04142884550593</v>
      </c>
      <c r="H22" s="53">
        <v>96.86554947341423</v>
      </c>
      <c r="I22" s="53">
        <v>134.37121034156758</v>
      </c>
      <c r="J22" s="53">
        <v>171.80978153607285</v>
      </c>
      <c r="K22" s="53"/>
      <c r="L22" s="53"/>
      <c r="M22" s="53"/>
      <c r="N22" s="53"/>
      <c r="O22" s="53"/>
      <c r="P22" s="53"/>
      <c r="Q22" s="53"/>
      <c r="R22" s="53"/>
      <c r="S22" s="53"/>
      <c r="T22" s="53"/>
      <c r="U22" s="53"/>
      <c r="V22" s="53"/>
      <c r="W22" s="53"/>
      <c r="X22" s="53"/>
      <c r="Y22" s="53"/>
      <c r="Z22" s="53"/>
      <c r="AA22" s="53"/>
      <c r="AB22" s="53"/>
      <c r="AC22" s="53"/>
      <c r="AD22" s="53"/>
    </row>
    <row r="24" spans="1:30" ht="12.75">
      <c r="A24" s="8" t="s">
        <v>293</v>
      </c>
      <c r="B24" t="s">
        <v>328</v>
      </c>
      <c r="C24" s="175">
        <f>SUM(F24:AD24)</f>
        <v>27087.389478540044</v>
      </c>
      <c r="F24" s="53">
        <v>758.4460485323766</v>
      </c>
      <c r="G24" s="53">
        <v>586.8482608687372</v>
      </c>
      <c r="H24" s="53">
        <v>610.3839844695564</v>
      </c>
      <c r="I24" s="53">
        <v>606.4824510501657</v>
      </c>
      <c r="J24" s="53">
        <v>538.9157322634418</v>
      </c>
      <c r="K24" s="53">
        <v>729.5208812305863</v>
      </c>
      <c r="L24" s="53">
        <v>666.6591892021765</v>
      </c>
      <c r="M24" s="53">
        <v>756.7815056292519</v>
      </c>
      <c r="N24" s="53">
        <v>765.7822604058354</v>
      </c>
      <c r="O24" s="53">
        <v>899.9279998915752</v>
      </c>
      <c r="P24" s="53">
        <v>952.3977805560694</v>
      </c>
      <c r="Q24" s="53">
        <v>1024.3719552524756</v>
      </c>
      <c r="R24" s="53">
        <v>1099.0206301562782</v>
      </c>
      <c r="S24" s="53">
        <v>1146.128660652363</v>
      </c>
      <c r="T24" s="53">
        <v>1207.2650102516197</v>
      </c>
      <c r="U24" s="53">
        <v>1276.762449013085</v>
      </c>
      <c r="V24" s="53">
        <v>1329.6036274704384</v>
      </c>
      <c r="W24" s="53">
        <v>1432.5974229450271</v>
      </c>
      <c r="X24" s="53">
        <v>1429.5178320070536</v>
      </c>
      <c r="Y24" s="53">
        <v>1484.6185129016371</v>
      </c>
      <c r="Z24" s="53">
        <v>1446.3570425852438</v>
      </c>
      <c r="AA24" s="53">
        <v>1502.524664906182</v>
      </c>
      <c r="AB24" s="53">
        <v>1546.8477845047164</v>
      </c>
      <c r="AC24" s="53">
        <v>1609.8658572155398</v>
      </c>
      <c r="AD24" s="53">
        <v>1679.7619345786109</v>
      </c>
    </row>
    <row r="25" spans="2:30" ht="12.75">
      <c r="B25" s="677" t="s">
        <v>683</v>
      </c>
      <c r="C25" s="175">
        <f>SUM(F25:AD25)</f>
        <v>528.726855242399</v>
      </c>
      <c r="F25" s="53">
        <v>22.753381455971297</v>
      </c>
      <c r="G25" s="175">
        <v>64.47741362536298</v>
      </c>
      <c r="H25" s="175">
        <v>104.26302580303357</v>
      </c>
      <c r="I25" s="175">
        <v>147.02480041680724</v>
      </c>
      <c r="J25" s="175">
        <v>190.2082339412239</v>
      </c>
      <c r="K25" s="175"/>
      <c r="L25" s="175"/>
      <c r="M25" s="175"/>
      <c r="N25" s="175"/>
      <c r="O25" s="175"/>
      <c r="P25" s="175"/>
      <c r="Q25" s="175"/>
      <c r="R25" s="175"/>
      <c r="S25" s="175"/>
      <c r="T25" s="175"/>
      <c r="U25" s="175"/>
      <c r="V25" s="175"/>
      <c r="W25" s="175"/>
      <c r="X25" s="175"/>
      <c r="Y25" s="175"/>
      <c r="Z25" s="175"/>
      <c r="AA25" s="175"/>
      <c r="AB25" s="175"/>
      <c r="AC25" s="175"/>
      <c r="AD25" s="175"/>
    </row>
    <row r="27" spans="1:36" ht="12.75">
      <c r="A27" s="8" t="s">
        <v>744</v>
      </c>
      <c r="B27" t="s">
        <v>328</v>
      </c>
      <c r="C27" s="175">
        <f>SUM(F27:AD27)</f>
        <v>25297.407129337495</v>
      </c>
      <c r="D27" s="732"/>
      <c r="E27" s="733"/>
      <c r="F27" s="733">
        <v>758.4460485323766</v>
      </c>
      <c r="G27" s="734">
        <v>592.1545272160777</v>
      </c>
      <c r="H27" s="733">
        <v>617.0005889789247</v>
      </c>
      <c r="I27" s="733">
        <v>611.3985564814017</v>
      </c>
      <c r="J27" s="733">
        <v>541.3063751409595</v>
      </c>
      <c r="K27" s="733">
        <v>734.9031199135741</v>
      </c>
      <c r="L27" s="733">
        <v>673.5676172488324</v>
      </c>
      <c r="M27" s="733">
        <v>760.5779413065733</v>
      </c>
      <c r="N27" s="733">
        <v>764.4802865333261</v>
      </c>
      <c r="O27" s="733">
        <v>902.6228486878097</v>
      </c>
      <c r="P27" s="733">
        <v>950.0043384916385</v>
      </c>
      <c r="Q27" s="733">
        <v>1008.59403082205</v>
      </c>
      <c r="R27" s="733">
        <v>1069.7270457925613</v>
      </c>
      <c r="S27" s="733">
        <v>1065.3987097100655</v>
      </c>
      <c r="T27" s="733">
        <v>1098.4420753965092</v>
      </c>
      <c r="U27" s="733">
        <v>1141.9324071878941</v>
      </c>
      <c r="V27" s="733">
        <v>1190.8132140043706</v>
      </c>
      <c r="W27" s="733">
        <v>1289.779340694898</v>
      </c>
      <c r="X27" s="733">
        <v>1280.6551019485944</v>
      </c>
      <c r="Y27" s="733">
        <v>1329.7253504925875</v>
      </c>
      <c r="Z27" s="733">
        <v>1285.8914205289407</v>
      </c>
      <c r="AA27" s="733">
        <v>1335.8275438563505</v>
      </c>
      <c r="AB27" s="733">
        <v>1373.509094662677</v>
      </c>
      <c r="AC27" s="733">
        <v>1429.2966505988256</v>
      </c>
      <c r="AD27" s="733">
        <v>1491.3528951096744</v>
      </c>
      <c r="AE27" s="731"/>
      <c r="AF27" s="731"/>
      <c r="AG27" s="731"/>
      <c r="AH27" s="735"/>
      <c r="AI27" s="307"/>
      <c r="AJ27" s="307"/>
    </row>
    <row r="28" spans="2:10" ht="12.75">
      <c r="B28" s="677" t="s">
        <v>683</v>
      </c>
      <c r="C28" s="175">
        <f>SUM(F28:AD28)</f>
        <v>531.4938950456736</v>
      </c>
      <c r="F28" s="53">
        <v>22.753381455971297</v>
      </c>
      <c r="G28" s="53">
        <v>64.6366016157832</v>
      </c>
      <c r="H28" s="53">
        <v>104.78945119858025</v>
      </c>
      <c r="I28" s="53">
        <v>147.92879263430487</v>
      </c>
      <c r="J28" s="53">
        <v>191.385668141034</v>
      </c>
    </row>
  </sheetData>
  <printOptions/>
  <pageMargins left="0.75" right="0.75" top="1" bottom="1" header="0.5" footer="0.5"/>
  <pageSetup horizontalDpi="600" verticalDpi="600" orientation="landscape" scale="70" r:id="rId1"/>
  <headerFooter alignWithMargins="0">
    <oddHeader>&amp;C&amp;A</oddHeader>
  </headerFooter>
</worksheet>
</file>

<file path=xl/worksheets/sheet9.xml><?xml version="1.0" encoding="utf-8"?>
<worksheet xmlns="http://schemas.openxmlformats.org/spreadsheetml/2006/main" xmlns:r="http://schemas.openxmlformats.org/officeDocument/2006/relationships">
  <dimension ref="A5:AN69"/>
  <sheetViews>
    <sheetView workbookViewId="0" topLeftCell="A1">
      <selection activeCell="A1" sqref="A1"/>
    </sheetView>
  </sheetViews>
  <sheetFormatPr defaultColWidth="9.140625" defaultRowHeight="12.75"/>
  <cols>
    <col min="4" max="4" width="11.57421875" style="0" customWidth="1"/>
  </cols>
  <sheetData>
    <row r="5" spans="1:40" ht="15.75">
      <c r="A5" s="475" t="str">
        <f>"PacifiCorp Share of Depreciation and Book Depletion @ "&amp;FIXED(Inputs!G7*100,1)&amp;"%"</f>
        <v>PacifiCorp Share of Depreciation and Book Depletion @ 47.5%</v>
      </c>
      <c r="B5" s="476"/>
      <c r="C5" s="476"/>
      <c r="D5" s="476"/>
      <c r="E5" s="476"/>
      <c r="F5" s="476"/>
      <c r="G5" s="476"/>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53"/>
      <c r="AH5" s="477"/>
      <c r="AI5" s="477"/>
      <c r="AJ5" s="477"/>
      <c r="AK5" s="477"/>
      <c r="AL5" s="477"/>
      <c r="AM5" s="477"/>
      <c r="AN5" s="312"/>
    </row>
    <row r="6" spans="1:40" ht="9" customHeight="1">
      <c r="A6" s="475"/>
      <c r="B6" s="476"/>
      <c r="C6" s="476"/>
      <c r="D6" s="476"/>
      <c r="E6" s="476"/>
      <c r="F6" s="476"/>
      <c r="G6" s="476"/>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53"/>
      <c r="AH6" s="477"/>
      <c r="AI6" s="477"/>
      <c r="AJ6" s="477"/>
      <c r="AK6" s="477"/>
      <c r="AL6" s="477"/>
      <c r="AM6" s="477"/>
      <c r="AN6" s="312"/>
    </row>
    <row r="7" spans="1:40" ht="15.75">
      <c r="A7" s="475" t="s">
        <v>782</v>
      </c>
      <c r="B7" s="476"/>
      <c r="C7" s="476"/>
      <c r="D7" s="476"/>
      <c r="E7" s="476"/>
      <c r="F7" s="476"/>
      <c r="G7" s="476"/>
      <c r="H7" s="477"/>
      <c r="I7" s="477"/>
      <c r="J7" s="477"/>
      <c r="K7" s="477"/>
      <c r="L7" s="477"/>
      <c r="M7" s="477"/>
      <c r="N7" s="477"/>
      <c r="O7" s="477"/>
      <c r="P7" s="477"/>
      <c r="Q7" s="477"/>
      <c r="R7" s="477"/>
      <c r="S7" s="477"/>
      <c r="T7" s="477"/>
      <c r="U7" s="477"/>
      <c r="V7" s="477"/>
      <c r="W7" s="477"/>
      <c r="X7" s="477"/>
      <c r="Y7" s="477"/>
      <c r="Z7" s="477"/>
      <c r="AA7" s="477"/>
      <c r="AB7" s="477"/>
      <c r="AC7" s="477"/>
      <c r="AD7" s="477"/>
      <c r="AE7" s="477"/>
      <c r="AF7" s="477"/>
      <c r="AG7" s="53"/>
      <c r="AH7" s="477"/>
      <c r="AI7" s="477"/>
      <c r="AJ7" s="477"/>
      <c r="AK7" s="477"/>
      <c r="AL7" s="477"/>
      <c r="AM7" s="477"/>
      <c r="AN7" s="312"/>
    </row>
    <row r="8" spans="1:40" ht="7.5" customHeight="1">
      <c r="A8" s="475"/>
      <c r="B8" s="476"/>
      <c r="C8" s="476"/>
      <c r="D8" s="476"/>
      <c r="E8" s="476"/>
      <c r="F8" s="476"/>
      <c r="G8" s="476"/>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53"/>
      <c r="AH8" s="477"/>
      <c r="AI8" s="477"/>
      <c r="AJ8" s="477"/>
      <c r="AK8" s="477"/>
      <c r="AL8" s="477"/>
      <c r="AM8" s="477"/>
      <c r="AN8" s="312"/>
    </row>
    <row r="9" spans="1:40" ht="12.75">
      <c r="A9" s="476"/>
      <c r="B9" s="476"/>
      <c r="C9" s="476"/>
      <c r="D9" s="476"/>
      <c r="E9" s="476"/>
      <c r="F9" s="478" t="s">
        <v>487</v>
      </c>
      <c r="G9" s="476"/>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312"/>
    </row>
    <row r="10" spans="1:40" ht="12.75">
      <c r="A10" s="476"/>
      <c r="B10" s="476"/>
      <c r="C10" s="476"/>
      <c r="D10" s="476"/>
      <c r="E10" s="476"/>
      <c r="F10" s="479" t="s">
        <v>3</v>
      </c>
      <c r="G10" s="480"/>
      <c r="H10" s="481"/>
      <c r="I10" s="481">
        <v>1998</v>
      </c>
      <c r="J10" s="482">
        <f aca="true" t="shared" si="0" ref="J10:AN10">I10+1</f>
        <v>1999</v>
      </c>
      <c r="K10" s="482">
        <f t="shared" si="0"/>
        <v>2000</v>
      </c>
      <c r="L10" s="482">
        <f t="shared" si="0"/>
        <v>2001</v>
      </c>
      <c r="M10" s="482">
        <f t="shared" si="0"/>
        <v>2002</v>
      </c>
      <c r="N10" s="482">
        <f t="shared" si="0"/>
        <v>2003</v>
      </c>
      <c r="O10" s="482">
        <f t="shared" si="0"/>
        <v>2004</v>
      </c>
      <c r="P10" s="482">
        <f t="shared" si="0"/>
        <v>2005</v>
      </c>
      <c r="Q10" s="482">
        <f t="shared" si="0"/>
        <v>2006</v>
      </c>
      <c r="R10" s="482">
        <f t="shared" si="0"/>
        <v>2007</v>
      </c>
      <c r="S10" s="482">
        <f t="shared" si="0"/>
        <v>2008</v>
      </c>
      <c r="T10" s="482">
        <f t="shared" si="0"/>
        <v>2009</v>
      </c>
      <c r="U10" s="482">
        <f t="shared" si="0"/>
        <v>2010</v>
      </c>
      <c r="V10" s="482">
        <f t="shared" si="0"/>
        <v>2011</v>
      </c>
      <c r="W10" s="482">
        <f t="shared" si="0"/>
        <v>2012</v>
      </c>
      <c r="X10" s="482">
        <f t="shared" si="0"/>
        <v>2013</v>
      </c>
      <c r="Y10" s="482">
        <f t="shared" si="0"/>
        <v>2014</v>
      </c>
      <c r="Z10" s="482">
        <f t="shared" si="0"/>
        <v>2015</v>
      </c>
      <c r="AA10" s="482">
        <f t="shared" si="0"/>
        <v>2016</v>
      </c>
      <c r="AB10" s="482">
        <f t="shared" si="0"/>
        <v>2017</v>
      </c>
      <c r="AC10" s="482">
        <f t="shared" si="0"/>
        <v>2018</v>
      </c>
      <c r="AD10" s="482">
        <f t="shared" si="0"/>
        <v>2019</v>
      </c>
      <c r="AE10" s="482">
        <f t="shared" si="0"/>
        <v>2020</v>
      </c>
      <c r="AF10" s="482">
        <f t="shared" si="0"/>
        <v>2021</v>
      </c>
      <c r="AG10" s="482">
        <f t="shared" si="0"/>
        <v>2022</v>
      </c>
      <c r="AH10" s="482">
        <f t="shared" si="0"/>
        <v>2023</v>
      </c>
      <c r="AI10" s="482">
        <f t="shared" si="0"/>
        <v>2024</v>
      </c>
      <c r="AJ10" s="482">
        <f t="shared" si="0"/>
        <v>2025</v>
      </c>
      <c r="AK10" s="482">
        <f t="shared" si="0"/>
        <v>2026</v>
      </c>
      <c r="AL10" s="482">
        <f t="shared" si="0"/>
        <v>2027</v>
      </c>
      <c r="AM10" s="482">
        <f t="shared" si="0"/>
        <v>2028</v>
      </c>
      <c r="AN10" s="482">
        <f t="shared" si="0"/>
        <v>2029</v>
      </c>
    </row>
    <row r="11" spans="1:40" ht="12.75">
      <c r="A11" s="476"/>
      <c r="B11" s="476"/>
      <c r="C11" s="476"/>
      <c r="D11" s="476"/>
      <c r="E11" s="476"/>
      <c r="F11" s="476"/>
      <c r="G11" s="476"/>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c r="AL11" s="477"/>
      <c r="AM11" s="477"/>
      <c r="AN11" s="477"/>
    </row>
    <row r="12" spans="1:40" ht="12.75">
      <c r="A12" s="483" t="s">
        <v>488</v>
      </c>
      <c r="B12" s="476"/>
      <c r="C12" s="476"/>
      <c r="D12" s="476"/>
      <c r="E12" s="476"/>
      <c r="F12" s="494">
        <f>SUM(H12:AM12)</f>
        <v>156223.77214922511</v>
      </c>
      <c r="G12" s="484"/>
      <c r="H12" s="494"/>
      <c r="I12" s="494">
        <f>'Book Depr'!J6*Inputs!$G$7</f>
        <v>0</v>
      </c>
      <c r="J12" s="494">
        <f>'Book Depr'!K6*Inputs!$G$7</f>
        <v>142.94203499999998</v>
      </c>
      <c r="K12" s="494">
        <f>'Book Depr'!L6*Inputs!$G$7</f>
        <v>178.20880583333332</v>
      </c>
      <c r="L12" s="494">
        <f>'Book Depr'!M6*Inputs!$G$7</f>
        <v>3241.566619068158</v>
      </c>
      <c r="M12" s="494">
        <f>'Book Depr'!N6*Inputs!$G$7</f>
        <v>4890.6977274012725</v>
      </c>
      <c r="N12" s="494">
        <f>'Book Depr'!O6*Inputs!$G$7</f>
        <v>5003.2727264472005</v>
      </c>
      <c r="O12" s="494">
        <f>'Book Depr'!P6*Inputs!$G$7</f>
        <v>5099.637383873388</v>
      </c>
      <c r="P12" s="494">
        <f>'Book Depr'!Q6*Inputs!$G$7</f>
        <v>5204.116959819676</v>
      </c>
      <c r="Q12" s="494">
        <f>'Book Depr'!R6*Inputs!$G$7</f>
        <v>5317.709476556834</v>
      </c>
      <c r="R12" s="494">
        <f>'Book Depr'!S6*Inputs!$G$7</f>
        <v>5441.592138927829</v>
      </c>
      <c r="S12" s="494">
        <f>'Book Depr'!T6*Inputs!$G$7</f>
        <v>5577.166227560086</v>
      </c>
      <c r="T12" s="494">
        <f>'Book Depr'!U6*Inputs!$G$7</f>
        <v>5726.116959604059</v>
      </c>
      <c r="U12" s="494">
        <f>'Book Depr'!V6*Inputs!$G$7</f>
        <v>5890.4947317525875</v>
      </c>
      <c r="V12" s="494">
        <f>'Book Depr'!W6*Inputs!$G$7</f>
        <v>6072.827614397339</v>
      </c>
      <c r="W12" s="494">
        <f>'Book Depr'!X6*Inputs!$G$7</f>
        <v>6276.280722615108</v>
      </c>
      <c r="X12" s="494">
        <f>'Book Depr'!Y6*Inputs!$G$7</f>
        <v>6504.888033303438</v>
      </c>
      <c r="Y12" s="494">
        <f>'Book Depr'!Z6*Inputs!$G$7</f>
        <v>6763.900116313314</v>
      </c>
      <c r="Z12" s="494">
        <f>'Book Depr'!AA6*Inputs!$G$7</f>
        <v>7060.32505575795</v>
      </c>
      <c r="AA12" s="494">
        <f>'Book Depr'!AB6*Inputs!$G$7</f>
        <v>7403.807454339423</v>
      </c>
      <c r="AB12" s="494">
        <f>'Book Depr'!AC6*Inputs!$G$7</f>
        <v>7808.1353063839015</v>
      </c>
      <c r="AC12" s="494">
        <f>'Book Depr'!AD6*Inputs!$G$7</f>
        <v>8294.002608590681</v>
      </c>
      <c r="AD12" s="494">
        <f>'Book Depr'!AE6*Inputs!$G$7</f>
        <v>8894.53459411826</v>
      </c>
      <c r="AE12" s="494">
        <f>'Book Depr'!AF6*Inputs!$G$7</f>
        <v>9474.42329264333</v>
      </c>
      <c r="AF12" s="494">
        <f>'Book Depr'!AG6*Inputs!$G$7</f>
        <v>9872.613532297213</v>
      </c>
      <c r="AG12" s="494">
        <f>'Book Depr'!AH6*Inputs!$G$7</f>
        <v>10026.414512363524</v>
      </c>
      <c r="AH12" s="494">
        <f>'Book Depr'!AI6*Inputs!$G$7</f>
        <v>10058.097514257224</v>
      </c>
      <c r="AI12" s="494">
        <f>'Book Depr'!AJ6*Inputs!$G$7</f>
        <v>0</v>
      </c>
      <c r="AJ12" s="494">
        <f>'Book Depr'!AK6*Inputs!$G$7</f>
        <v>0</v>
      </c>
      <c r="AK12" s="494">
        <f>'Book Depr'!AL6*Inputs!$G$7</f>
        <v>0</v>
      </c>
      <c r="AL12" s="494">
        <f>'Book Depr'!AM6*Inputs!$G$7</f>
        <v>0</v>
      </c>
      <c r="AM12" s="494">
        <f>'Book Depr'!AN6*Inputs!$G$7</f>
        <v>0</v>
      </c>
      <c r="AN12" s="494">
        <f>'Book Depr'!AO6*Inputs!$G$7</f>
        <v>0</v>
      </c>
    </row>
    <row r="13" spans="1:40" ht="12.75">
      <c r="A13" s="476" t="s">
        <v>489</v>
      </c>
      <c r="B13" s="476"/>
      <c r="C13" s="476"/>
      <c r="D13" s="476"/>
      <c r="E13" s="476"/>
      <c r="F13" s="494">
        <f>SUM(H13:AM13)</f>
        <v>66055.88656999999</v>
      </c>
      <c r="G13" s="484"/>
      <c r="H13" s="494"/>
      <c r="I13" s="494">
        <f>'Book Depr'!J8*Inputs!$G$7</f>
        <v>0</v>
      </c>
      <c r="J13" s="494">
        <f>'Book Depr'!K8*Inputs!$G$7</f>
        <v>3886.83</v>
      </c>
      <c r="K13" s="494">
        <f>'Book Depr'!L8*Inputs!$G$7</f>
        <v>4440.646897857142</v>
      </c>
      <c r="L13" s="494">
        <f>'Book Depr'!M8*Inputs!$G$7</f>
        <v>4440.646897857142</v>
      </c>
      <c r="M13" s="494">
        <f>'Book Depr'!N8*Inputs!$G$7</f>
        <v>4440.646897857142</v>
      </c>
      <c r="N13" s="494">
        <f>'Book Depr'!O8*Inputs!$G$7</f>
        <v>4440.646897857142</v>
      </c>
      <c r="O13" s="494">
        <f>'Book Depr'!P8*Inputs!$G$7</f>
        <v>4440.646897857142</v>
      </c>
      <c r="P13" s="494">
        <f>'Book Depr'!Q8*Inputs!$G$7</f>
        <v>4440.646897857142</v>
      </c>
      <c r="Q13" s="494">
        <f>'Book Depr'!R8*Inputs!$G$7</f>
        <v>4440.646897857142</v>
      </c>
      <c r="R13" s="494">
        <f>'Book Depr'!S8*Inputs!$G$7</f>
        <v>4440.646897857142</v>
      </c>
      <c r="S13" s="494">
        <f>'Book Depr'!T8*Inputs!$G$7</f>
        <v>4440.646897857142</v>
      </c>
      <c r="T13" s="494">
        <f>'Book Depr'!U8*Inputs!$G$7</f>
        <v>4440.646897857142</v>
      </c>
      <c r="U13" s="494">
        <f>'Book Depr'!V8*Inputs!$G$7</f>
        <v>4440.646897857142</v>
      </c>
      <c r="V13" s="494">
        <f>'Book Depr'!W8*Inputs!$G$7</f>
        <v>4440.646897857142</v>
      </c>
      <c r="W13" s="494">
        <f>'Book Depr'!X8*Inputs!$G$7</f>
        <v>4440.646897857142</v>
      </c>
      <c r="X13" s="494">
        <f>'Book Depr'!Y8*Inputs!$G$7</f>
        <v>4440.646897857142</v>
      </c>
      <c r="Y13" s="494">
        <f>'Book Depr'!Z8*Inputs!$G$7</f>
        <v>0</v>
      </c>
      <c r="Z13" s="494">
        <f>'Book Depr'!AA8*Inputs!$G$7</f>
        <v>0</v>
      </c>
      <c r="AA13" s="494">
        <f>'Book Depr'!AB8*Inputs!$G$7</f>
        <v>0</v>
      </c>
      <c r="AB13" s="494">
        <f>'Book Depr'!AC8*Inputs!$G$7</f>
        <v>0</v>
      </c>
      <c r="AC13" s="494">
        <f>'Book Depr'!AD8*Inputs!$G$7</f>
        <v>0</v>
      </c>
      <c r="AD13" s="494">
        <f>'Book Depr'!AE8*Inputs!$G$7</f>
        <v>0</v>
      </c>
      <c r="AE13" s="494">
        <f>'Book Depr'!AF8*Inputs!$G$7</f>
        <v>0</v>
      </c>
      <c r="AF13" s="494">
        <f>'Book Depr'!AG8*Inputs!$G$7</f>
        <v>0</v>
      </c>
      <c r="AG13" s="494">
        <f>'Book Depr'!AH8*Inputs!$G$7</f>
        <v>0</v>
      </c>
      <c r="AH13" s="494">
        <f>'Book Depr'!AI8*Inputs!$G$7</f>
        <v>0</v>
      </c>
      <c r="AI13" s="494">
        <f>'Book Depr'!AJ8*Inputs!$G$7</f>
        <v>0</v>
      </c>
      <c r="AJ13" s="494">
        <f>'Book Depr'!AK8*Inputs!$G$7</f>
        <v>0</v>
      </c>
      <c r="AK13" s="494">
        <f>'Book Depr'!AL8*Inputs!$G$7</f>
        <v>0</v>
      </c>
      <c r="AL13" s="494">
        <f>'Book Depr'!AM8*Inputs!$G$7</f>
        <v>0</v>
      </c>
      <c r="AM13" s="494">
        <f>'Book Depr'!AN8*Inputs!$G$7</f>
        <v>0</v>
      </c>
      <c r="AN13" s="494">
        <f>'Book Depr'!AO8*Inputs!$G$7</f>
        <v>0</v>
      </c>
    </row>
    <row r="14" spans="1:40" ht="12.75">
      <c r="A14" s="476" t="s">
        <v>490</v>
      </c>
      <c r="B14" s="476"/>
      <c r="C14" s="476"/>
      <c r="D14" s="476"/>
      <c r="E14" s="476"/>
      <c r="F14" s="500">
        <f>SUM(H14:AM14)</f>
        <v>334508.57549111</v>
      </c>
      <c r="G14" s="485"/>
      <c r="H14" s="500"/>
      <c r="I14" s="500">
        <f>'Book Depr'!J13</f>
        <v>0</v>
      </c>
      <c r="J14" s="500">
        <f>'Book Depr'!K13</f>
        <v>9609.880490454114</v>
      </c>
      <c r="K14" s="500">
        <f>'Book Depr'!L13</f>
        <v>11427.759324158607</v>
      </c>
      <c r="L14" s="500">
        <f>'Book Depr'!M13</f>
        <v>13568.871839606321</v>
      </c>
      <c r="M14" s="500">
        <f>'Book Depr'!N13</f>
        <v>14308.131258369023</v>
      </c>
      <c r="N14" s="500">
        <f>'Book Depr'!O13</f>
        <v>16191.922434911334</v>
      </c>
      <c r="O14" s="500">
        <f>'Book Depr'!P13</f>
        <v>16908.834844332836</v>
      </c>
      <c r="P14" s="500">
        <f>'Book Depr'!Q13</f>
        <v>16556.700122822218</v>
      </c>
      <c r="Q14" s="500">
        <f>'Book Depr'!R13</f>
        <v>15246.246314976077</v>
      </c>
      <c r="R14" s="500">
        <f>'Book Depr'!S13</f>
        <v>13563.77255538097</v>
      </c>
      <c r="S14" s="500">
        <f>'Book Depr'!T13</f>
        <v>12769.580437694496</v>
      </c>
      <c r="T14" s="500">
        <f>'Book Depr'!U13</f>
        <v>11774.037859102056</v>
      </c>
      <c r="U14" s="500">
        <f>'Book Depr'!V13</f>
        <v>11151.112594792263</v>
      </c>
      <c r="V14" s="500">
        <f>'Book Depr'!W13</f>
        <v>10919.311094398816</v>
      </c>
      <c r="W14" s="500">
        <f>'Book Depr'!X13</f>
        <v>10552.728303255957</v>
      </c>
      <c r="X14" s="500">
        <f>'Book Depr'!Y13</f>
        <v>10374.542391045483</v>
      </c>
      <c r="Y14" s="500">
        <f>'Book Depr'!Z13</f>
        <v>10702.49932794488</v>
      </c>
      <c r="Z14" s="500">
        <f>'Book Depr'!AA13</f>
        <v>11040.29499257031</v>
      </c>
      <c r="AA14" s="500">
        <f>'Book Depr'!AB13</f>
        <v>11388.2245271345</v>
      </c>
      <c r="AB14" s="500">
        <f>'Book Depr'!AC13</f>
        <v>12719.391383494863</v>
      </c>
      <c r="AC14" s="500">
        <f>'Book Depr'!AD13</f>
        <v>13451.656049998172</v>
      </c>
      <c r="AD14" s="500">
        <f>'Book Depr'!AE13</f>
        <v>14687.518319075092</v>
      </c>
      <c r="AE14" s="500">
        <f>'Book Depr'!AF13</f>
        <v>15774.42699905337</v>
      </c>
      <c r="AF14" s="500">
        <f>'Book Depr'!AG13</f>
        <v>16574.592371287526</v>
      </c>
      <c r="AG14" s="500">
        <f>'Book Depr'!AH13</f>
        <v>16740.900534313183</v>
      </c>
      <c r="AH14" s="500">
        <f>'Book Depr'!AI13</f>
        <v>16505.63912093752</v>
      </c>
      <c r="AI14" s="500">
        <f>'Book Depr'!AJ13</f>
        <v>0</v>
      </c>
      <c r="AJ14" s="500">
        <f>'Book Depr'!AK13</f>
        <v>0</v>
      </c>
      <c r="AK14" s="500">
        <f>'Book Depr'!AL13</f>
        <v>0</v>
      </c>
      <c r="AL14" s="500">
        <f>'Book Depr'!AM13</f>
        <v>0</v>
      </c>
      <c r="AM14" s="500">
        <f>'Book Depr'!AN13</f>
        <v>0</v>
      </c>
      <c r="AN14" s="500">
        <f>'Book Depr'!AO13</f>
        <v>0</v>
      </c>
    </row>
    <row r="15" spans="1:40" ht="12.75">
      <c r="A15" s="476"/>
      <c r="B15" s="476" t="s">
        <v>491</v>
      </c>
      <c r="C15" s="476"/>
      <c r="D15" s="476"/>
      <c r="E15" s="484">
        <f>F13-F22</f>
        <v>32583.243273914093</v>
      </c>
      <c r="F15" s="494">
        <f>SUM(F12:F14)</f>
        <v>556788.2342103351</v>
      </c>
      <c r="G15" s="484"/>
      <c r="H15" s="494"/>
      <c r="I15" s="494">
        <f aca="true" t="shared" si="1" ref="I15:AN15">SUM(I12:I14)</f>
        <v>0</v>
      </c>
      <c r="J15" s="494">
        <f t="shared" si="1"/>
        <v>13639.652525454114</v>
      </c>
      <c r="K15" s="494">
        <f t="shared" si="1"/>
        <v>16046.615027849082</v>
      </c>
      <c r="L15" s="494">
        <f t="shared" si="1"/>
        <v>21251.08535653162</v>
      </c>
      <c r="M15" s="494">
        <f t="shared" si="1"/>
        <v>23639.475883627438</v>
      </c>
      <c r="N15" s="494">
        <f t="shared" si="1"/>
        <v>25635.842059215676</v>
      </c>
      <c r="O15" s="494">
        <f t="shared" si="1"/>
        <v>26449.119126063364</v>
      </c>
      <c r="P15" s="494">
        <f t="shared" si="1"/>
        <v>26201.463980499037</v>
      </c>
      <c r="Q15" s="494">
        <f t="shared" si="1"/>
        <v>25004.602689390053</v>
      </c>
      <c r="R15" s="494">
        <f t="shared" si="1"/>
        <v>23446.01159216594</v>
      </c>
      <c r="S15" s="494">
        <f t="shared" si="1"/>
        <v>22787.393563111724</v>
      </c>
      <c r="T15" s="494">
        <f t="shared" si="1"/>
        <v>21940.801716563255</v>
      </c>
      <c r="U15" s="494">
        <f t="shared" si="1"/>
        <v>21482.254224401993</v>
      </c>
      <c r="V15" s="494">
        <f t="shared" si="1"/>
        <v>21432.7856066533</v>
      </c>
      <c r="W15" s="494">
        <f t="shared" si="1"/>
        <v>21269.655923728205</v>
      </c>
      <c r="X15" s="494">
        <f t="shared" si="1"/>
        <v>21320.07732220606</v>
      </c>
      <c r="Y15" s="494">
        <f t="shared" si="1"/>
        <v>17466.399444258197</v>
      </c>
      <c r="Z15" s="494">
        <f t="shared" si="1"/>
        <v>18100.62004832826</v>
      </c>
      <c r="AA15" s="494">
        <f t="shared" si="1"/>
        <v>18792.031981473923</v>
      </c>
      <c r="AB15" s="494">
        <f t="shared" si="1"/>
        <v>20527.526689878767</v>
      </c>
      <c r="AC15" s="494">
        <f t="shared" si="1"/>
        <v>21745.65865858885</v>
      </c>
      <c r="AD15" s="494">
        <f t="shared" si="1"/>
        <v>23582.05291319335</v>
      </c>
      <c r="AE15" s="494">
        <f t="shared" si="1"/>
        <v>25248.8502916967</v>
      </c>
      <c r="AF15" s="494">
        <f t="shared" si="1"/>
        <v>26447.20590358474</v>
      </c>
      <c r="AG15" s="494">
        <f t="shared" si="1"/>
        <v>26767.315046676707</v>
      </c>
      <c r="AH15" s="494">
        <f t="shared" si="1"/>
        <v>26563.736635194746</v>
      </c>
      <c r="AI15" s="494">
        <f t="shared" si="1"/>
        <v>0</v>
      </c>
      <c r="AJ15" s="494">
        <f t="shared" si="1"/>
        <v>0</v>
      </c>
      <c r="AK15" s="494">
        <f t="shared" si="1"/>
        <v>0</v>
      </c>
      <c r="AL15" s="494">
        <f t="shared" si="1"/>
        <v>0</v>
      </c>
      <c r="AM15" s="494">
        <f t="shared" si="1"/>
        <v>0</v>
      </c>
      <c r="AN15" s="494">
        <f t="shared" si="1"/>
        <v>0</v>
      </c>
    </row>
    <row r="16" spans="1:40" ht="12.75">
      <c r="A16" s="476"/>
      <c r="B16" s="476"/>
      <c r="C16" s="476"/>
      <c r="D16" s="476"/>
      <c r="E16" s="476"/>
      <c r="F16" s="494"/>
      <c r="G16" s="484"/>
      <c r="H16" s="484"/>
      <c r="I16" s="484"/>
      <c r="J16" s="484"/>
      <c r="K16" s="484"/>
      <c r="L16" s="484"/>
      <c r="M16" s="484"/>
      <c r="N16" s="484"/>
      <c r="O16" s="484"/>
      <c r="P16" s="484"/>
      <c r="Q16" s="484"/>
      <c r="R16" s="484"/>
      <c r="S16" s="484"/>
      <c r="T16" s="484"/>
      <c r="U16" s="484"/>
      <c r="V16" s="484"/>
      <c r="W16" s="484"/>
      <c r="X16" s="484"/>
      <c r="Y16" s="484"/>
      <c r="Z16" s="484"/>
      <c r="AA16" s="484"/>
      <c r="AB16" s="484"/>
      <c r="AC16" s="484"/>
      <c r="AD16" s="484"/>
      <c r="AE16" s="484"/>
      <c r="AF16" s="484"/>
      <c r="AG16" s="484"/>
      <c r="AH16" s="484"/>
      <c r="AI16" s="484"/>
      <c r="AJ16" s="484"/>
      <c r="AK16" s="484"/>
      <c r="AL16" s="484"/>
      <c r="AM16" s="484"/>
      <c r="AN16" s="484"/>
    </row>
    <row r="17" spans="1:40" ht="12.75">
      <c r="A17" s="476" t="s">
        <v>492</v>
      </c>
      <c r="B17" s="476"/>
      <c r="C17" s="476"/>
      <c r="D17" s="476"/>
      <c r="E17" s="476"/>
      <c r="F17" s="494">
        <f>SUM(H17:AM17)</f>
        <v>15856.641099541186</v>
      </c>
      <c r="G17" s="484"/>
      <c r="H17" s="494"/>
      <c r="I17" s="494">
        <f>'Book Depr'!J7</f>
        <v>0</v>
      </c>
      <c r="J17" s="494">
        <f>'Book Depr'!K7</f>
        <v>18.57298053729617</v>
      </c>
      <c r="K17" s="494">
        <f>'Book Depr'!L7</f>
        <v>164.6370978594562</v>
      </c>
      <c r="L17" s="494">
        <f>'Book Depr'!M7</f>
        <v>515.524638467224</v>
      </c>
      <c r="M17" s="494">
        <f>'Book Depr'!N7</f>
        <v>673.8779699513898</v>
      </c>
      <c r="N17" s="494">
        <f>'Book Depr'!O7</f>
        <v>689.7156387012296</v>
      </c>
      <c r="O17" s="494">
        <f>'Book Depr'!P7</f>
        <v>689.7156387012296</v>
      </c>
      <c r="P17" s="494">
        <f>'Book Depr'!Q7</f>
        <v>689.7156387012296</v>
      </c>
      <c r="Q17" s="494">
        <f>'Book Depr'!R7</f>
        <v>689.7156387012296</v>
      </c>
      <c r="R17" s="494">
        <f>'Book Depr'!S7</f>
        <v>689.7156387012296</v>
      </c>
      <c r="S17" s="494">
        <f>'Book Depr'!T7</f>
        <v>689.7156387012296</v>
      </c>
      <c r="T17" s="494">
        <f>'Book Depr'!U7</f>
        <v>689.7156387012296</v>
      </c>
      <c r="U17" s="494">
        <f>'Book Depr'!V7</f>
        <v>689.7156387012296</v>
      </c>
      <c r="V17" s="494">
        <f>'Book Depr'!W7</f>
        <v>689.7156387012296</v>
      </c>
      <c r="W17" s="494">
        <f>'Book Depr'!X7</f>
        <v>689.7156387012296</v>
      </c>
      <c r="X17" s="494">
        <f>'Book Depr'!Y7</f>
        <v>689.7156387012296</v>
      </c>
      <c r="Y17" s="494">
        <f>'Book Depr'!Z7</f>
        <v>689.7156387012296</v>
      </c>
      <c r="Z17" s="494">
        <f>'Book Depr'!AA7</f>
        <v>689.7156387012296</v>
      </c>
      <c r="AA17" s="494">
        <f>'Book Depr'!AB7</f>
        <v>689.7156387012296</v>
      </c>
      <c r="AB17" s="494">
        <f>'Book Depr'!AC7</f>
        <v>689.7156387012296</v>
      </c>
      <c r="AC17" s="494">
        <f>'Book Depr'!AD7</f>
        <v>689.7156387012296</v>
      </c>
      <c r="AD17" s="494">
        <f>'Book Depr'!AE7</f>
        <v>689.7156387012296</v>
      </c>
      <c r="AE17" s="494">
        <f>'Book Depr'!AF7</f>
        <v>689.7156387012296</v>
      </c>
      <c r="AF17" s="494">
        <f>'Book Depr'!AG7</f>
        <v>689.7156387012296</v>
      </c>
      <c r="AG17" s="494">
        <f>'Book Depr'!AH7</f>
        <v>689.7156387012296</v>
      </c>
      <c r="AH17" s="494">
        <f>'Book Depr'!AI7</f>
        <v>689.7156387012351</v>
      </c>
      <c r="AI17" s="494">
        <f>'Book Depr'!AJ7</f>
        <v>0</v>
      </c>
      <c r="AJ17" s="494">
        <f>'Book Depr'!AK7</f>
        <v>0</v>
      </c>
      <c r="AK17" s="494">
        <f>'Book Depr'!AL7</f>
        <v>0</v>
      </c>
      <c r="AL17" s="494">
        <f>'Book Depr'!AM7</f>
        <v>0</v>
      </c>
      <c r="AM17" s="494">
        <f>'Book Depr'!AN7</f>
        <v>0</v>
      </c>
      <c r="AN17" s="494">
        <f>'Book Depr'!AO7</f>
        <v>0</v>
      </c>
    </row>
    <row r="18" spans="1:40" ht="12.75">
      <c r="A18" s="476"/>
      <c r="B18" s="476"/>
      <c r="C18" s="476"/>
      <c r="D18" s="476"/>
      <c r="E18" s="476"/>
      <c r="F18" s="501"/>
      <c r="G18" s="476"/>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477"/>
      <c r="AG18" s="477"/>
      <c r="AH18" s="477"/>
      <c r="AI18" s="477"/>
      <c r="AJ18" s="477"/>
      <c r="AK18" s="477"/>
      <c r="AL18" s="477"/>
      <c r="AM18" s="477"/>
      <c r="AN18" s="477"/>
    </row>
    <row r="19" spans="1:40" ht="12.75">
      <c r="A19" s="476" t="s">
        <v>493</v>
      </c>
      <c r="B19" s="476"/>
      <c r="C19" s="476"/>
      <c r="D19" s="476"/>
      <c r="E19" s="476"/>
      <c r="F19" s="494">
        <f>SUM(H19:AM19)</f>
        <v>1670</v>
      </c>
      <c r="G19" s="476"/>
      <c r="H19" s="494"/>
      <c r="I19" s="494">
        <f>'Book Depr'!J15</f>
        <v>55.666666666666664</v>
      </c>
      <c r="J19" s="494">
        <f>'Book Depr'!K15</f>
        <v>64.57333333333332</v>
      </c>
      <c r="K19" s="494">
        <f>'Book Depr'!L15</f>
        <v>64.57333333333332</v>
      </c>
      <c r="L19" s="494">
        <f>'Book Depr'!M15</f>
        <v>64.57333333333332</v>
      </c>
      <c r="M19" s="494">
        <f>'Book Depr'!N15</f>
        <v>64.57333333333332</v>
      </c>
      <c r="N19" s="494">
        <f>'Book Depr'!O15</f>
        <v>64.57333333333332</v>
      </c>
      <c r="O19" s="494">
        <f>'Book Depr'!P15</f>
        <v>64.57333333333332</v>
      </c>
      <c r="P19" s="494">
        <f>'Book Depr'!Q15</f>
        <v>64.57333333333332</v>
      </c>
      <c r="Q19" s="494">
        <f>'Book Depr'!R15</f>
        <v>64.57333333333332</v>
      </c>
      <c r="R19" s="494">
        <f>'Book Depr'!S15</f>
        <v>64.57333333333332</v>
      </c>
      <c r="S19" s="494">
        <f>'Book Depr'!T15</f>
        <v>64.57333333333332</v>
      </c>
      <c r="T19" s="494">
        <f>'Book Depr'!U15</f>
        <v>64.57333333333332</v>
      </c>
      <c r="U19" s="494">
        <f>'Book Depr'!V15</f>
        <v>64.57333333333332</v>
      </c>
      <c r="V19" s="494">
        <f>'Book Depr'!W15</f>
        <v>64.57333333333332</v>
      </c>
      <c r="W19" s="494">
        <f>'Book Depr'!X15</f>
        <v>64.57333333333332</v>
      </c>
      <c r="X19" s="494">
        <f>'Book Depr'!Y15</f>
        <v>64.57333333333332</v>
      </c>
      <c r="Y19" s="494">
        <f>'Book Depr'!Z15</f>
        <v>64.57333333333332</v>
      </c>
      <c r="Z19" s="494">
        <f>'Book Depr'!AA15</f>
        <v>64.57333333333332</v>
      </c>
      <c r="AA19" s="494">
        <f>'Book Depr'!AB15</f>
        <v>64.57333333333332</v>
      </c>
      <c r="AB19" s="494">
        <f>'Book Depr'!AC15</f>
        <v>64.57333333333332</v>
      </c>
      <c r="AC19" s="494">
        <f>'Book Depr'!AD15</f>
        <v>64.57333333333332</v>
      </c>
      <c r="AD19" s="494">
        <f>'Book Depr'!AE15</f>
        <v>64.57333333333332</v>
      </c>
      <c r="AE19" s="494">
        <f>'Book Depr'!AF15</f>
        <v>64.57333333333332</v>
      </c>
      <c r="AF19" s="494">
        <f>'Book Depr'!AG15</f>
        <v>64.57333333333332</v>
      </c>
      <c r="AG19" s="494">
        <f>'Book Depr'!AH15</f>
        <v>64.57333333333332</v>
      </c>
      <c r="AH19" s="494">
        <f>'Book Depr'!AI15</f>
        <v>64.5733333333344</v>
      </c>
      <c r="AI19" s="494">
        <f>'Book Depr'!AJ15</f>
        <v>0</v>
      </c>
      <c r="AJ19" s="494">
        <f>'Book Depr'!AK15</f>
        <v>0</v>
      </c>
      <c r="AK19" s="494">
        <f>'Book Depr'!AL15</f>
        <v>0</v>
      </c>
      <c r="AL19" s="494">
        <f>'Book Depr'!AM15</f>
        <v>0</v>
      </c>
      <c r="AM19" s="494">
        <f>'Book Depr'!AN15</f>
        <v>0</v>
      </c>
      <c r="AN19" s="494">
        <f>'Book Depr'!AO15</f>
        <v>0</v>
      </c>
    </row>
    <row r="20" spans="1:40" ht="12.75">
      <c r="A20" s="476"/>
      <c r="B20" s="476"/>
      <c r="C20" s="476"/>
      <c r="D20" s="476"/>
      <c r="E20" s="476"/>
      <c r="F20" s="501"/>
      <c r="G20" s="476"/>
      <c r="H20" s="477"/>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7"/>
      <c r="AF20" s="477"/>
      <c r="AG20" s="477"/>
      <c r="AH20" s="477"/>
      <c r="AI20" s="477"/>
      <c r="AJ20" s="477"/>
      <c r="AK20" s="477"/>
      <c r="AL20" s="477"/>
      <c r="AM20" s="477"/>
      <c r="AN20" s="477"/>
    </row>
    <row r="21" spans="1:40" ht="12.75">
      <c r="A21" s="476" t="s">
        <v>494</v>
      </c>
      <c r="B21" s="476"/>
      <c r="C21" s="476"/>
      <c r="D21" s="476"/>
      <c r="E21" s="476"/>
      <c r="F21" s="494">
        <f>SUM(H21:AM21)</f>
        <v>156223.77214922511</v>
      </c>
      <c r="G21" s="484"/>
      <c r="H21" s="511"/>
      <c r="I21" s="511">
        <f>'Tax Depr'!J171*Inputs!$G$7</f>
        <v>0</v>
      </c>
      <c r="J21" s="511">
        <f>'Tax Depr'!K171*Inputs!$G$7</f>
        <v>134.0081578125</v>
      </c>
      <c r="K21" s="511">
        <f>'Tax Depr'!L171*Inputs!$G$7</f>
        <v>289.71473141624995</v>
      </c>
      <c r="L21" s="511">
        <f>'Tax Depr'!M171*Inputs!$G$7</f>
        <v>2941.8539023137864</v>
      </c>
      <c r="M21" s="511">
        <f>'Tax Depr'!N171*Inputs!$G$7</f>
        <v>6724.093109209277</v>
      </c>
      <c r="N21" s="511">
        <f>'Tax Depr'!O171*Inputs!$G$7</f>
        <v>7668.638326657757</v>
      </c>
      <c r="O21" s="511">
        <f>'Tax Depr'!P171*Inputs!$G$7</f>
        <v>7254.770933557721</v>
      </c>
      <c r="P21" s="511">
        <f>'Tax Depr'!Q171*Inputs!$G$7</f>
        <v>6857.1215769315195</v>
      </c>
      <c r="Q21" s="511">
        <f>'Tax Depr'!R171*Inputs!$G$7</f>
        <v>6494.054094465258</v>
      </c>
      <c r="R21" s="511">
        <f>'Tax Depr'!S171*Inputs!$G$7</f>
        <v>6172.354299885062</v>
      </c>
      <c r="S21" s="511">
        <f>'Tax Depr'!T171*Inputs!$G$7</f>
        <v>5884.235400044619</v>
      </c>
      <c r="T21" s="511">
        <f>'Tax Depr'!U171*Inputs!$G$7</f>
        <v>5819.751139013158</v>
      </c>
      <c r="U21" s="511">
        <f>'Tax Depr'!V171*Inputs!$G$7</f>
        <v>5904.48120279155</v>
      </c>
      <c r="V21" s="511">
        <f>'Tax Depr'!W171*Inputs!$G$7</f>
        <v>6015.737341011267</v>
      </c>
      <c r="W21" s="511">
        <f>'Tax Depr'!X171*Inputs!$G$7</f>
        <v>6129.86300415425</v>
      </c>
      <c r="X21" s="511">
        <f>'Tax Depr'!Y171*Inputs!$G$7</f>
        <v>6248.190295904159</v>
      </c>
      <c r="Y21" s="511">
        <f>'Tax Depr'!Z171*Inputs!$G$7</f>
        <v>6369.2895476939275</v>
      </c>
      <c r="Z21" s="511">
        <f>'Tax Depr'!AA171*Inputs!$G$7</f>
        <v>6494.799635750029</v>
      </c>
      <c r="AA21" s="511">
        <f>'Tax Depr'!AB171*Inputs!$G$7</f>
        <v>6623.297167735175</v>
      </c>
      <c r="AB21" s="511">
        <f>'Tax Depr'!AC171*Inputs!$G$7</f>
        <v>6756.427484392511</v>
      </c>
      <c r="AC21" s="511">
        <f>'Tax Depr'!AD171*Inputs!$G$7</f>
        <v>6892.7738518369315</v>
      </c>
      <c r="AD21" s="511">
        <f>'Tax Depr'!AE171*Inputs!$G$7</f>
        <v>6954.26254899607</v>
      </c>
      <c r="AE21" s="511">
        <f>'Tax Depr'!AF171*Inputs!$G$7</f>
        <v>6971.367886765482</v>
      </c>
      <c r="AF21" s="511">
        <f>'Tax Depr'!AG171*Inputs!$G$7</f>
        <v>5428.865377202626</v>
      </c>
      <c r="AG21" s="511">
        <f>'Tax Depr'!AH171*Inputs!$G$7</f>
        <v>3025.39588083896</v>
      </c>
      <c r="AH21" s="511">
        <f>'Tax Depr'!AI171*Inputs!$G$7</f>
        <v>20168.425252845263</v>
      </c>
      <c r="AI21" s="511">
        <f>'Tax Depr'!AJ171*Inputs!$G$7</f>
        <v>0</v>
      </c>
      <c r="AJ21" s="511">
        <f>'Tax Depr'!AK171*Inputs!$G$7</f>
        <v>0</v>
      </c>
      <c r="AK21" s="511">
        <f>'Tax Depr'!AL171*Inputs!$G$7</f>
        <v>0</v>
      </c>
      <c r="AL21" s="511">
        <f>'Tax Depr'!AM171*Inputs!$G$7</f>
        <v>0</v>
      </c>
      <c r="AM21" s="511">
        <f>'Tax Depr'!AN171*Inputs!$G$7</f>
        <v>0</v>
      </c>
      <c r="AN21" s="511">
        <f>'Tax Depr'!AO171*Inputs!$G$7</f>
        <v>0</v>
      </c>
    </row>
    <row r="22" spans="1:40" ht="12.75">
      <c r="A22" s="476" t="s">
        <v>495</v>
      </c>
      <c r="B22" s="476"/>
      <c r="C22" s="476"/>
      <c r="D22" s="476"/>
      <c r="E22" s="486">
        <f>I21+I22</f>
        <v>3045.1384911867126</v>
      </c>
      <c r="F22" s="494">
        <f>SUM(H22:AM22)</f>
        <v>33472.643296085895</v>
      </c>
      <c r="G22" s="484"/>
      <c r="H22" s="511"/>
      <c r="I22" s="511">
        <f>'Tax Depr'!J172*Inputs!$G$7</f>
        <v>3045.1384911867126</v>
      </c>
      <c r="J22" s="511">
        <f>'Tax Depr'!K172*Inputs!$G$7</f>
        <v>3040.3122387261187</v>
      </c>
      <c r="K22" s="511">
        <f>'Tax Depr'!L172*Inputs!$G$7</f>
        <v>3035.7833165219085</v>
      </c>
      <c r="L22" s="511">
        <f>'Tax Depr'!M172*Inputs!$G$7</f>
        <v>3031.590040328773</v>
      </c>
      <c r="M22" s="511">
        <f>'Tax Depr'!N172*Inputs!$G$7</f>
        <v>3027.7124859542723</v>
      </c>
      <c r="N22" s="511">
        <f>'Tax Depr'!O172*Inputs!$G$7</f>
        <v>3024.135327096531</v>
      </c>
      <c r="O22" s="511">
        <f>'Tax Depr'!P172*Inputs!$G$7</f>
        <v>3021.460887419257</v>
      </c>
      <c r="P22" s="511">
        <f>'Tax Depr'!Q172*Inputs!$G$7</f>
        <v>3021.460887419257</v>
      </c>
      <c r="Q22" s="511">
        <f>'Tax Depr'!R172*Inputs!$G$7</f>
        <v>2029.7938110955931</v>
      </c>
      <c r="R22" s="511">
        <f>'Tax Depr'!S172*Inputs!$G$7</f>
        <v>1862.8992729265162</v>
      </c>
      <c r="S22" s="511">
        <f>'Tax Depr'!T172*Inputs!$G$7</f>
        <v>1748.601008079706</v>
      </c>
      <c r="T22" s="511">
        <f>'Tax Depr'!U172*Inputs!$G$7</f>
        <v>1748.601008079706</v>
      </c>
      <c r="U22" s="511">
        <f>'Tax Depr'!V172*Inputs!$G$7</f>
        <v>726.8990303682434</v>
      </c>
      <c r="V22" s="511">
        <f>'Tax Depr'!W172*Inputs!$G$7</f>
        <v>726.8990303682434</v>
      </c>
      <c r="W22" s="511">
        <f>'Tax Depr'!X172*Inputs!$G$7</f>
        <v>381.3564605150617</v>
      </c>
      <c r="X22" s="511">
        <f>'Tax Depr'!Y172*Inputs!$G$7</f>
        <v>0</v>
      </c>
      <c r="Y22" s="511">
        <f>'Tax Depr'!Z172*Inputs!$G$7</f>
        <v>0</v>
      </c>
      <c r="Z22" s="511">
        <f>'Tax Depr'!AA172*Inputs!$G$7</f>
        <v>0</v>
      </c>
      <c r="AA22" s="511">
        <f>'Tax Depr'!AB172*Inputs!$G$7</f>
        <v>0</v>
      </c>
      <c r="AB22" s="511">
        <f>'Tax Depr'!AC172*Inputs!$G$7</f>
        <v>0</v>
      </c>
      <c r="AC22" s="511">
        <f>'Tax Depr'!AD172*Inputs!$G$7</f>
        <v>0</v>
      </c>
      <c r="AD22" s="511">
        <f>'Tax Depr'!AE172*Inputs!$G$7</f>
        <v>0</v>
      </c>
      <c r="AE22" s="511">
        <f>'Tax Depr'!AF172*Inputs!$G$7</f>
        <v>0</v>
      </c>
      <c r="AF22" s="511">
        <f>'Tax Depr'!AG172*Inputs!$G$7</f>
        <v>0</v>
      </c>
      <c r="AG22" s="511">
        <f>'Tax Depr'!AH172*Inputs!$G$7</f>
        <v>0</v>
      </c>
      <c r="AH22" s="511">
        <f>'Tax Depr'!AI172*Inputs!$G$7</f>
        <v>0</v>
      </c>
      <c r="AI22" s="511">
        <f>'Tax Depr'!AJ172*Inputs!$G$7</f>
        <v>0</v>
      </c>
      <c r="AJ22" s="511">
        <f>'Tax Depr'!AK172*Inputs!$G$7</f>
        <v>0</v>
      </c>
      <c r="AK22" s="511">
        <f>'Tax Depr'!AL172*Inputs!$G$7</f>
        <v>0</v>
      </c>
      <c r="AL22" s="511">
        <f>'Tax Depr'!AM172*Inputs!$G$7</f>
        <v>0</v>
      </c>
      <c r="AM22" s="511">
        <f>'Tax Depr'!AN172*Inputs!$G$7</f>
        <v>0</v>
      </c>
      <c r="AN22" s="511">
        <f>'Tax Depr'!AO172*Inputs!$G$7</f>
        <v>0</v>
      </c>
    </row>
    <row r="23" spans="1:40" ht="12.75">
      <c r="A23" s="476" t="s">
        <v>496</v>
      </c>
      <c r="B23" s="476"/>
      <c r="C23" s="476"/>
      <c r="D23" s="476"/>
      <c r="E23" s="476"/>
      <c r="F23" s="500">
        <f>SUM(H23:AM23)</f>
        <v>301434.0687178929</v>
      </c>
      <c r="G23" s="485"/>
      <c r="H23" s="512"/>
      <c r="I23" s="512">
        <f>('Tax Depr'!J173+'Tax Depr'!J174)</f>
        <v>6443.857333938224</v>
      </c>
      <c r="J23" s="512">
        <f>('Tax Depr'!K173+'Tax Depr'!K174)</f>
        <v>5297.939403713684</v>
      </c>
      <c r="K23" s="512">
        <f>('Tax Depr'!L173+'Tax Depr'!L174)</f>
        <v>6034.0918169747165</v>
      </c>
      <c r="L23" s="512">
        <f>('Tax Depr'!M173+'Tax Depr'!M174)</f>
        <v>8857.401932939978</v>
      </c>
      <c r="M23" s="512">
        <f>('Tax Depr'!N173+'Tax Depr'!N174)</f>
        <v>11371.085061121952</v>
      </c>
      <c r="N23" s="512">
        <f>('Tax Depr'!O173+'Tax Depr'!O174)</f>
        <v>12818.739354830928</v>
      </c>
      <c r="O23" s="512">
        <f>('Tax Depr'!P173+'Tax Depr'!P174)</f>
        <v>12901.795109842866</v>
      </c>
      <c r="P23" s="512">
        <f>('Tax Depr'!Q173+'Tax Depr'!Q174)</f>
        <v>12812.46448828104</v>
      </c>
      <c r="Q23" s="512">
        <f>('Tax Depr'!R173+'Tax Depr'!R174)</f>
        <v>12835.339013065204</v>
      </c>
      <c r="R23" s="512">
        <f>('Tax Depr'!S173+'Tax Depr'!S174)</f>
        <v>11540.179336813011</v>
      </c>
      <c r="S23" s="512">
        <f>('Tax Depr'!T173+'Tax Depr'!T174)</f>
        <v>11154.422384025202</v>
      </c>
      <c r="T23" s="512">
        <f>('Tax Depr'!U173+'Tax Depr'!U174)</f>
        <v>10732.650848966683</v>
      </c>
      <c r="U23" s="512">
        <f>('Tax Depr'!V173+'Tax Depr'!V174)</f>
        <v>10460.406128503051</v>
      </c>
      <c r="V23" s="512">
        <f>('Tax Depr'!W173+'Tax Depr'!W174)</f>
        <v>10586.208012758976</v>
      </c>
      <c r="W23" s="512">
        <f>('Tax Depr'!X173+'Tax Depr'!X174)</f>
        <v>10903.4681076236</v>
      </c>
      <c r="X23" s="512">
        <f>('Tax Depr'!Y173+'Tax Depr'!Y174)</f>
        <v>11230.24600533416</v>
      </c>
      <c r="Y23" s="512">
        <f>('Tax Depr'!Z173+'Tax Depr'!Z174)</f>
        <v>11566.827239976037</v>
      </c>
      <c r="Z23" s="512">
        <f>('Tax Depr'!AA173+'Tax Depr'!AA174)</f>
        <v>11913.50591165717</v>
      </c>
      <c r="AA23" s="512">
        <f>('Tax Depr'!AB173+'Tax Depr'!AB174)</f>
        <v>12270.584943488739</v>
      </c>
      <c r="AB23" s="512">
        <f>('Tax Depr'!AC173+'Tax Depr'!AC174)</f>
        <v>12638.376346275256</v>
      </c>
      <c r="AC23" s="512">
        <f>('Tax Depr'!AD173+'Tax Depr'!AD174)</f>
        <v>13017.201491145364</v>
      </c>
      <c r="AD23" s="512">
        <f>('Tax Depr'!AE173+'Tax Depr'!AE174)</f>
        <v>13407.39139036158</v>
      </c>
      <c r="AE23" s="512">
        <f>('Tax Depr'!AF173+'Tax Depr'!AF174)</f>
        <v>13277.614797959704</v>
      </c>
      <c r="AF23" s="512">
        <f>('Tax Depr'!AG173+'Tax Depr'!AG174)</f>
        <v>12216.822460904628</v>
      </c>
      <c r="AG23" s="512">
        <f>('Tax Depr'!AH173+'Tax Depr'!AH174)</f>
        <v>10424.278513489644</v>
      </c>
      <c r="AH23" s="512">
        <f>('Tax Depr'!AI173+'Tax Depr'!AI174)</f>
        <v>24721.171283901494</v>
      </c>
      <c r="AI23" s="512">
        <f>('Tax Depr'!AJ173+'Tax Depr'!AJ174)</f>
        <v>0</v>
      </c>
      <c r="AJ23" s="512">
        <f>('Tax Depr'!AK173+'Tax Depr'!AK174)</f>
        <v>0</v>
      </c>
      <c r="AK23" s="512">
        <f>('Tax Depr'!AL173+'Tax Depr'!AL174)</f>
        <v>0</v>
      </c>
      <c r="AL23" s="512">
        <f>('Tax Depr'!AM173+'Tax Depr'!AM174)</f>
        <v>0</v>
      </c>
      <c r="AM23" s="512">
        <f>('Tax Depr'!AN173+'Tax Depr'!AN174)</f>
        <v>0</v>
      </c>
      <c r="AN23" s="512">
        <f>('Tax Depr'!AO173+'Tax Depr'!AO174)</f>
        <v>0</v>
      </c>
    </row>
    <row r="24" spans="1:40" ht="12.75">
      <c r="A24" s="476"/>
      <c r="B24" s="476" t="s">
        <v>497</v>
      </c>
      <c r="C24" s="476"/>
      <c r="D24" s="476"/>
      <c r="E24" s="476"/>
      <c r="F24" s="494">
        <f>SUM(F21:F23)</f>
        <v>491130.4841632039</v>
      </c>
      <c r="G24" s="484"/>
      <c r="H24" s="494"/>
      <c r="I24" s="494">
        <f aca="true" t="shared" si="2" ref="I24:AL24">SUM(I21:I23)</f>
        <v>9488.995825124937</v>
      </c>
      <c r="J24" s="494">
        <f t="shared" si="2"/>
        <v>8472.259800252303</v>
      </c>
      <c r="K24" s="494">
        <f t="shared" si="2"/>
        <v>9359.589864912876</v>
      </c>
      <c r="L24" s="494">
        <f t="shared" si="2"/>
        <v>14830.845875582538</v>
      </c>
      <c r="M24" s="494">
        <f t="shared" si="2"/>
        <v>21122.8906562855</v>
      </c>
      <c r="N24" s="494">
        <f t="shared" si="2"/>
        <v>23511.513008585214</v>
      </c>
      <c r="O24" s="494">
        <f t="shared" si="2"/>
        <v>23178.026930819844</v>
      </c>
      <c r="P24" s="494">
        <f t="shared" si="2"/>
        <v>22691.04695263182</v>
      </c>
      <c r="Q24" s="494">
        <f t="shared" si="2"/>
        <v>21359.186918626056</v>
      </c>
      <c r="R24" s="494">
        <f t="shared" si="2"/>
        <v>19575.43290962459</v>
      </c>
      <c r="S24" s="494">
        <f t="shared" si="2"/>
        <v>18787.25879214953</v>
      </c>
      <c r="T24" s="494">
        <f t="shared" si="2"/>
        <v>18301.002996059546</v>
      </c>
      <c r="U24" s="494">
        <f t="shared" si="2"/>
        <v>17091.786361662846</v>
      </c>
      <c r="V24" s="494">
        <f t="shared" si="2"/>
        <v>17328.844384138487</v>
      </c>
      <c r="W24" s="494">
        <f t="shared" si="2"/>
        <v>17414.68757229291</v>
      </c>
      <c r="X24" s="494">
        <f t="shared" si="2"/>
        <v>17478.43630123832</v>
      </c>
      <c r="Y24" s="494">
        <f t="shared" si="2"/>
        <v>17936.116787669966</v>
      </c>
      <c r="Z24" s="494">
        <f t="shared" si="2"/>
        <v>18408.3055474072</v>
      </c>
      <c r="AA24" s="494">
        <f t="shared" si="2"/>
        <v>18893.882111223913</v>
      </c>
      <c r="AB24" s="494">
        <f t="shared" si="2"/>
        <v>19394.803830667766</v>
      </c>
      <c r="AC24" s="494">
        <f t="shared" si="2"/>
        <v>19909.975342982296</v>
      </c>
      <c r="AD24" s="494">
        <f t="shared" si="2"/>
        <v>20361.65393935765</v>
      </c>
      <c r="AE24" s="494">
        <f t="shared" si="2"/>
        <v>20248.982684725186</v>
      </c>
      <c r="AF24" s="494">
        <f t="shared" si="2"/>
        <v>17645.687838107253</v>
      </c>
      <c r="AG24" s="494">
        <f t="shared" si="2"/>
        <v>13449.674394328604</v>
      </c>
      <c r="AH24" s="494">
        <f t="shared" si="2"/>
        <v>44889.59653674676</v>
      </c>
      <c r="AI24" s="494">
        <f t="shared" si="2"/>
        <v>0</v>
      </c>
      <c r="AJ24" s="494">
        <f t="shared" si="2"/>
        <v>0</v>
      </c>
      <c r="AK24" s="494">
        <f t="shared" si="2"/>
        <v>0</v>
      </c>
      <c r="AL24" s="494">
        <f t="shared" si="2"/>
        <v>0</v>
      </c>
      <c r="AM24" s="494">
        <f>SUM(AM21:AM23)</f>
        <v>0</v>
      </c>
      <c r="AN24" s="494">
        <f>SUM(AN21:AN23)</f>
        <v>0</v>
      </c>
    </row>
    <row r="25" spans="1:40" ht="12.75">
      <c r="A25" s="476"/>
      <c r="B25" s="476"/>
      <c r="C25" s="476"/>
      <c r="D25" s="476"/>
      <c r="E25" s="476"/>
      <c r="F25" s="501"/>
      <c r="G25" s="476"/>
      <c r="H25" s="487"/>
      <c r="I25" s="487"/>
      <c r="J25" s="487"/>
      <c r="K25" s="487"/>
      <c r="L25" s="487"/>
      <c r="M25" s="487"/>
      <c r="N25" s="487"/>
      <c r="O25" s="487"/>
      <c r="P25" s="487"/>
      <c r="Q25" s="487"/>
      <c r="R25" s="487"/>
      <c r="S25" s="487"/>
      <c r="T25" s="487"/>
      <c r="U25" s="487"/>
      <c r="V25" s="487"/>
      <c r="W25" s="487"/>
      <c r="X25" s="487"/>
      <c r="Y25" s="487"/>
      <c r="Z25" s="487"/>
      <c r="AA25" s="487"/>
      <c r="AB25" s="487"/>
      <c r="AC25" s="487"/>
      <c r="AD25" s="487"/>
      <c r="AE25" s="487"/>
      <c r="AF25" s="487"/>
      <c r="AG25" s="487"/>
      <c r="AH25" s="487"/>
      <c r="AI25" s="487"/>
      <c r="AJ25" s="487"/>
      <c r="AK25" s="487"/>
      <c r="AL25" s="487"/>
      <c r="AM25" s="487"/>
      <c r="AN25" s="487"/>
    </row>
    <row r="26" spans="1:40" ht="12.75">
      <c r="A26" s="476" t="s">
        <v>498</v>
      </c>
      <c r="B26" s="476"/>
      <c r="C26" s="476"/>
      <c r="D26" s="476"/>
      <c r="E26" s="476"/>
      <c r="F26" s="494">
        <f>SUM(H26:AM26)</f>
        <v>189696.41544531105</v>
      </c>
      <c r="G26" s="488"/>
      <c r="H26" s="495"/>
      <c r="I26" s="495">
        <f>I21+I22</f>
        <v>3045.1384911867126</v>
      </c>
      <c r="J26" s="495">
        <f aca="true" t="shared" si="3" ref="J26:AN26">J21+J22</f>
        <v>3174.3203965386188</v>
      </c>
      <c r="K26" s="495">
        <f t="shared" si="3"/>
        <v>3325.4980479381584</v>
      </c>
      <c r="L26" s="495">
        <f t="shared" si="3"/>
        <v>5973.44394264256</v>
      </c>
      <c r="M26" s="495">
        <f t="shared" si="3"/>
        <v>9751.805595163549</v>
      </c>
      <c r="N26" s="495">
        <f t="shared" si="3"/>
        <v>10692.773653754288</v>
      </c>
      <c r="O26" s="495">
        <f t="shared" si="3"/>
        <v>10276.231820976978</v>
      </c>
      <c r="P26" s="495">
        <f t="shared" si="3"/>
        <v>9878.582464350777</v>
      </c>
      <c r="Q26" s="495">
        <f t="shared" si="3"/>
        <v>8523.847905560851</v>
      </c>
      <c r="R26" s="495">
        <f t="shared" si="3"/>
        <v>8035.253572811578</v>
      </c>
      <c r="S26" s="495">
        <f t="shared" si="3"/>
        <v>7632.836408124325</v>
      </c>
      <c r="T26" s="495">
        <f t="shared" si="3"/>
        <v>7568.352147092864</v>
      </c>
      <c r="U26" s="495">
        <f t="shared" si="3"/>
        <v>6631.380233159793</v>
      </c>
      <c r="V26" s="495">
        <f t="shared" si="3"/>
        <v>6742.63637137951</v>
      </c>
      <c r="W26" s="495">
        <f t="shared" si="3"/>
        <v>6511.2194646693115</v>
      </c>
      <c r="X26" s="495">
        <f t="shared" si="3"/>
        <v>6248.190295904159</v>
      </c>
      <c r="Y26" s="495">
        <f t="shared" si="3"/>
        <v>6369.2895476939275</v>
      </c>
      <c r="Z26" s="495">
        <f t="shared" si="3"/>
        <v>6494.799635750029</v>
      </c>
      <c r="AA26" s="495">
        <f t="shared" si="3"/>
        <v>6623.297167735175</v>
      </c>
      <c r="AB26" s="495">
        <f t="shared" si="3"/>
        <v>6756.427484392511</v>
      </c>
      <c r="AC26" s="495">
        <f t="shared" si="3"/>
        <v>6892.7738518369315</v>
      </c>
      <c r="AD26" s="495">
        <f t="shared" si="3"/>
        <v>6954.26254899607</v>
      </c>
      <c r="AE26" s="495">
        <f t="shared" si="3"/>
        <v>6971.367886765482</v>
      </c>
      <c r="AF26" s="495">
        <f t="shared" si="3"/>
        <v>5428.865377202626</v>
      </c>
      <c r="AG26" s="495">
        <f t="shared" si="3"/>
        <v>3025.39588083896</v>
      </c>
      <c r="AH26" s="495">
        <f t="shared" si="3"/>
        <v>20168.425252845263</v>
      </c>
      <c r="AI26" s="495">
        <f t="shared" si="3"/>
        <v>0</v>
      </c>
      <c r="AJ26" s="495">
        <f t="shared" si="3"/>
        <v>0</v>
      </c>
      <c r="AK26" s="495">
        <f t="shared" si="3"/>
        <v>0</v>
      </c>
      <c r="AL26" s="495">
        <f t="shared" si="3"/>
        <v>0</v>
      </c>
      <c r="AM26" s="495">
        <f t="shared" si="3"/>
        <v>0</v>
      </c>
      <c r="AN26" s="495">
        <f t="shared" si="3"/>
        <v>0</v>
      </c>
    </row>
    <row r="27" spans="1:40" ht="12.75">
      <c r="A27" s="476" t="s">
        <v>499</v>
      </c>
      <c r="B27" s="476"/>
      <c r="C27" s="476"/>
      <c r="D27" s="476"/>
      <c r="E27" s="484">
        <f>F27-F26</f>
        <v>32583.243273914064</v>
      </c>
      <c r="F27" s="494">
        <f>SUM(H27:AM27)</f>
        <v>222279.65871922512</v>
      </c>
      <c r="G27" s="484"/>
      <c r="H27" s="496"/>
      <c r="I27" s="496">
        <f>I12+I13</f>
        <v>0</v>
      </c>
      <c r="J27" s="496">
        <f aca="true" t="shared" si="4" ref="J27:AN27">J12+J13</f>
        <v>4029.772035</v>
      </c>
      <c r="K27" s="496">
        <f t="shared" si="4"/>
        <v>4618.855703690475</v>
      </c>
      <c r="L27" s="496">
        <f t="shared" si="4"/>
        <v>7682.2135169253</v>
      </c>
      <c r="M27" s="496">
        <f t="shared" si="4"/>
        <v>9331.344625258414</v>
      </c>
      <c r="N27" s="496">
        <f t="shared" si="4"/>
        <v>9443.919624304343</v>
      </c>
      <c r="O27" s="496">
        <f t="shared" si="4"/>
        <v>9540.28428173053</v>
      </c>
      <c r="P27" s="496">
        <f t="shared" si="4"/>
        <v>9644.763857676819</v>
      </c>
      <c r="Q27" s="496">
        <f t="shared" si="4"/>
        <v>9758.356374413976</v>
      </c>
      <c r="R27" s="496">
        <f t="shared" si="4"/>
        <v>9882.239036784971</v>
      </c>
      <c r="S27" s="496">
        <f t="shared" si="4"/>
        <v>10017.813125417228</v>
      </c>
      <c r="T27" s="496">
        <f t="shared" si="4"/>
        <v>10166.763857461201</v>
      </c>
      <c r="U27" s="496">
        <f t="shared" si="4"/>
        <v>10331.14162960973</v>
      </c>
      <c r="V27" s="496">
        <f t="shared" si="4"/>
        <v>10513.474512254481</v>
      </c>
      <c r="W27" s="496">
        <f t="shared" si="4"/>
        <v>10716.92762047225</v>
      </c>
      <c r="X27" s="496">
        <f t="shared" si="4"/>
        <v>10945.534931160579</v>
      </c>
      <c r="Y27" s="496">
        <f t="shared" si="4"/>
        <v>6763.900116313314</v>
      </c>
      <c r="Z27" s="496">
        <f t="shared" si="4"/>
        <v>7060.32505575795</v>
      </c>
      <c r="AA27" s="496">
        <f t="shared" si="4"/>
        <v>7403.807454339423</v>
      </c>
      <c r="AB27" s="496">
        <f t="shared" si="4"/>
        <v>7808.1353063839015</v>
      </c>
      <c r="AC27" s="496">
        <f t="shared" si="4"/>
        <v>8294.002608590681</v>
      </c>
      <c r="AD27" s="496">
        <f t="shared" si="4"/>
        <v>8894.53459411826</v>
      </c>
      <c r="AE27" s="496">
        <f t="shared" si="4"/>
        <v>9474.42329264333</v>
      </c>
      <c r="AF27" s="496">
        <f t="shared" si="4"/>
        <v>9872.613532297213</v>
      </c>
      <c r="AG27" s="496">
        <f t="shared" si="4"/>
        <v>10026.414512363524</v>
      </c>
      <c r="AH27" s="496">
        <f t="shared" si="4"/>
        <v>10058.097514257224</v>
      </c>
      <c r="AI27" s="496">
        <f t="shared" si="4"/>
        <v>0</v>
      </c>
      <c r="AJ27" s="496">
        <f t="shared" si="4"/>
        <v>0</v>
      </c>
      <c r="AK27" s="496">
        <f t="shared" si="4"/>
        <v>0</v>
      </c>
      <c r="AL27" s="496">
        <f t="shared" si="4"/>
        <v>0</v>
      </c>
      <c r="AM27" s="496">
        <f t="shared" si="4"/>
        <v>0</v>
      </c>
      <c r="AN27" s="496">
        <f t="shared" si="4"/>
        <v>0</v>
      </c>
    </row>
    <row r="28" spans="1:40" ht="12.75">
      <c r="A28" s="476"/>
      <c r="B28" s="476"/>
      <c r="C28" s="476"/>
      <c r="D28" s="476"/>
      <c r="E28" s="476"/>
      <c r="F28" s="502"/>
      <c r="G28" s="484"/>
      <c r="H28" s="497"/>
      <c r="I28" s="497">
        <f>I26-I27</f>
        <v>3045.1384911867126</v>
      </c>
      <c r="J28" s="497">
        <f aca="true" t="shared" si="5" ref="J28:AN28">J26-J27</f>
        <v>-855.4516384613812</v>
      </c>
      <c r="K28" s="497">
        <f t="shared" si="5"/>
        <v>-1293.3576557523165</v>
      </c>
      <c r="L28" s="497">
        <f t="shared" si="5"/>
        <v>-1708.76957428274</v>
      </c>
      <c r="M28" s="497">
        <f t="shared" si="5"/>
        <v>420.46096990513433</v>
      </c>
      <c r="N28" s="497">
        <f t="shared" si="5"/>
        <v>1248.8540294499453</v>
      </c>
      <c r="O28" s="497">
        <f t="shared" si="5"/>
        <v>735.9475392464483</v>
      </c>
      <c r="P28" s="497">
        <f t="shared" si="5"/>
        <v>233.81860667395813</v>
      </c>
      <c r="Q28" s="497">
        <f t="shared" si="5"/>
        <v>-1234.5084688531242</v>
      </c>
      <c r="R28" s="497">
        <f t="shared" si="5"/>
        <v>-1846.985463973393</v>
      </c>
      <c r="S28" s="497">
        <f t="shared" si="5"/>
        <v>-2384.9767172929023</v>
      </c>
      <c r="T28" s="497">
        <f t="shared" si="5"/>
        <v>-2598.4117103683375</v>
      </c>
      <c r="U28" s="497">
        <f t="shared" si="5"/>
        <v>-3699.761396449938</v>
      </c>
      <c r="V28" s="497">
        <f t="shared" si="5"/>
        <v>-3770.838140874971</v>
      </c>
      <c r="W28" s="497">
        <f t="shared" si="5"/>
        <v>-4205.708155802939</v>
      </c>
      <c r="X28" s="497">
        <f t="shared" si="5"/>
        <v>-4697.34463525642</v>
      </c>
      <c r="Y28" s="497">
        <f t="shared" si="5"/>
        <v>-394.61056861938687</v>
      </c>
      <c r="Z28" s="497">
        <f t="shared" si="5"/>
        <v>-565.5254200079216</v>
      </c>
      <c r="AA28" s="497">
        <f t="shared" si="5"/>
        <v>-780.510286604248</v>
      </c>
      <c r="AB28" s="497">
        <f t="shared" si="5"/>
        <v>-1051.7078219913901</v>
      </c>
      <c r="AC28" s="497">
        <f t="shared" si="5"/>
        <v>-1401.2287567537496</v>
      </c>
      <c r="AD28" s="497">
        <f t="shared" si="5"/>
        <v>-1940.2720451221903</v>
      </c>
      <c r="AE28" s="497">
        <f t="shared" si="5"/>
        <v>-2503.055405877849</v>
      </c>
      <c r="AF28" s="497">
        <f t="shared" si="5"/>
        <v>-4443.748155094587</v>
      </c>
      <c r="AG28" s="497">
        <f t="shared" si="5"/>
        <v>-7001.018631524565</v>
      </c>
      <c r="AH28" s="497">
        <f t="shared" si="5"/>
        <v>10110.32773858804</v>
      </c>
      <c r="AI28" s="497">
        <f t="shared" si="5"/>
        <v>0</v>
      </c>
      <c r="AJ28" s="497">
        <f t="shared" si="5"/>
        <v>0</v>
      </c>
      <c r="AK28" s="497">
        <f t="shared" si="5"/>
        <v>0</v>
      </c>
      <c r="AL28" s="497">
        <f t="shared" si="5"/>
        <v>0</v>
      </c>
      <c r="AM28" s="497">
        <f t="shared" si="5"/>
        <v>0</v>
      </c>
      <c r="AN28" s="497">
        <f t="shared" si="5"/>
        <v>0</v>
      </c>
    </row>
    <row r="29" spans="1:40" ht="12.75">
      <c r="A29" s="476"/>
      <c r="B29" s="476"/>
      <c r="C29" s="476"/>
      <c r="D29" s="476"/>
      <c r="E29" s="476"/>
      <c r="F29" s="503"/>
      <c r="G29" s="489"/>
      <c r="H29" s="498"/>
      <c r="I29" s="498">
        <f>Inputs!G79</f>
        <v>0.37971</v>
      </c>
      <c r="J29" s="498">
        <f>I29</f>
        <v>0.37971</v>
      </c>
      <c r="K29" s="498">
        <f aca="true" t="shared" si="6" ref="K29:AN29">J29</f>
        <v>0.37971</v>
      </c>
      <c r="L29" s="498">
        <f t="shared" si="6"/>
        <v>0.37971</v>
      </c>
      <c r="M29" s="498">
        <f t="shared" si="6"/>
        <v>0.37971</v>
      </c>
      <c r="N29" s="498">
        <f t="shared" si="6"/>
        <v>0.37971</v>
      </c>
      <c r="O29" s="498">
        <f t="shared" si="6"/>
        <v>0.37971</v>
      </c>
      <c r="P29" s="498">
        <f t="shared" si="6"/>
        <v>0.37971</v>
      </c>
      <c r="Q29" s="498">
        <f t="shared" si="6"/>
        <v>0.37971</v>
      </c>
      <c r="R29" s="498">
        <f t="shared" si="6"/>
        <v>0.37971</v>
      </c>
      <c r="S29" s="498">
        <f t="shared" si="6"/>
        <v>0.37971</v>
      </c>
      <c r="T29" s="498">
        <f t="shared" si="6"/>
        <v>0.37971</v>
      </c>
      <c r="U29" s="498">
        <f t="shared" si="6"/>
        <v>0.37971</v>
      </c>
      <c r="V29" s="498">
        <f t="shared" si="6"/>
        <v>0.37971</v>
      </c>
      <c r="W29" s="498">
        <f t="shared" si="6"/>
        <v>0.37971</v>
      </c>
      <c r="X29" s="498">
        <f t="shared" si="6"/>
        <v>0.37971</v>
      </c>
      <c r="Y29" s="498">
        <f t="shared" si="6"/>
        <v>0.37971</v>
      </c>
      <c r="Z29" s="498">
        <f t="shared" si="6"/>
        <v>0.37971</v>
      </c>
      <c r="AA29" s="498">
        <f t="shared" si="6"/>
        <v>0.37971</v>
      </c>
      <c r="AB29" s="498">
        <f t="shared" si="6"/>
        <v>0.37971</v>
      </c>
      <c r="AC29" s="498">
        <f t="shared" si="6"/>
        <v>0.37971</v>
      </c>
      <c r="AD29" s="498">
        <f t="shared" si="6"/>
        <v>0.37971</v>
      </c>
      <c r="AE29" s="498">
        <f t="shared" si="6"/>
        <v>0.37971</v>
      </c>
      <c r="AF29" s="498">
        <f t="shared" si="6"/>
        <v>0.37971</v>
      </c>
      <c r="AG29" s="498">
        <f t="shared" si="6"/>
        <v>0.37971</v>
      </c>
      <c r="AH29" s="498">
        <f t="shared" si="6"/>
        <v>0.37971</v>
      </c>
      <c r="AI29" s="498">
        <f t="shared" si="6"/>
        <v>0.37971</v>
      </c>
      <c r="AJ29" s="498">
        <f t="shared" si="6"/>
        <v>0.37971</v>
      </c>
      <c r="AK29" s="498">
        <f t="shared" si="6"/>
        <v>0.37971</v>
      </c>
      <c r="AL29" s="498">
        <f t="shared" si="6"/>
        <v>0.37971</v>
      </c>
      <c r="AM29" s="498">
        <f t="shared" si="6"/>
        <v>0.37971</v>
      </c>
      <c r="AN29" s="498">
        <f t="shared" si="6"/>
        <v>0.37971</v>
      </c>
    </row>
    <row r="30" spans="1:40" ht="12.75">
      <c r="A30" s="476"/>
      <c r="B30" s="476"/>
      <c r="C30" s="476"/>
      <c r="D30" s="476"/>
      <c r="E30" s="476"/>
      <c r="F30" s="503"/>
      <c r="G30" s="489"/>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c r="AF30" s="490"/>
      <c r="AG30" s="490"/>
      <c r="AH30" s="490"/>
      <c r="AI30" s="490"/>
      <c r="AJ30" s="490"/>
      <c r="AK30" s="490"/>
      <c r="AL30" s="490"/>
      <c r="AM30" s="490"/>
      <c r="AN30" s="490"/>
    </row>
    <row r="31" spans="1:40" ht="12.75">
      <c r="A31" s="476" t="s">
        <v>500</v>
      </c>
      <c r="B31" s="476"/>
      <c r="C31" s="476"/>
      <c r="D31" s="476"/>
      <c r="E31" s="484">
        <f>E27*H29</f>
        <v>0</v>
      </c>
      <c r="F31" s="503">
        <f>SUM(H31:AM31)</f>
        <v>-12372.183303537924</v>
      </c>
      <c r="G31" s="491"/>
      <c r="H31" s="499"/>
      <c r="I31" s="499">
        <f aca="true" t="shared" si="7" ref="I31:AN31">I28*I29</f>
        <v>1156.2695364885067</v>
      </c>
      <c r="J31" s="499">
        <f t="shared" si="7"/>
        <v>-324.8235416401711</v>
      </c>
      <c r="K31" s="499">
        <f t="shared" si="7"/>
        <v>-491.1008354657121</v>
      </c>
      <c r="L31" s="499">
        <f t="shared" si="7"/>
        <v>-648.8368950508992</v>
      </c>
      <c r="M31" s="499">
        <f t="shared" si="7"/>
        <v>159.65323488267856</v>
      </c>
      <c r="N31" s="499">
        <f t="shared" si="7"/>
        <v>474.2023635224387</v>
      </c>
      <c r="O31" s="499">
        <f t="shared" si="7"/>
        <v>279.4466401272689</v>
      </c>
      <c r="P31" s="499">
        <f t="shared" si="7"/>
        <v>88.78326314016864</v>
      </c>
      <c r="Q31" s="499">
        <f t="shared" si="7"/>
        <v>-468.7552107082198</v>
      </c>
      <c r="R31" s="499">
        <f t="shared" si="7"/>
        <v>-701.3188505253371</v>
      </c>
      <c r="S31" s="499">
        <f t="shared" si="7"/>
        <v>-905.599509323288</v>
      </c>
      <c r="T31" s="499">
        <f t="shared" si="7"/>
        <v>-986.6429105439614</v>
      </c>
      <c r="U31" s="499">
        <f t="shared" si="7"/>
        <v>-1404.8363998460059</v>
      </c>
      <c r="V31" s="499">
        <f t="shared" si="7"/>
        <v>-1431.8249504716352</v>
      </c>
      <c r="W31" s="499">
        <f t="shared" si="7"/>
        <v>-1596.9494438399338</v>
      </c>
      <c r="X31" s="499">
        <f t="shared" si="7"/>
        <v>-1783.628731453215</v>
      </c>
      <c r="Y31" s="499">
        <f t="shared" si="7"/>
        <v>-149.83757901046738</v>
      </c>
      <c r="Z31" s="499">
        <f t="shared" si="7"/>
        <v>-214.7356572312079</v>
      </c>
      <c r="AA31" s="499">
        <f t="shared" si="7"/>
        <v>-296.367560926499</v>
      </c>
      <c r="AB31" s="499">
        <f t="shared" si="7"/>
        <v>-399.34397708835075</v>
      </c>
      <c r="AC31" s="499">
        <f t="shared" si="7"/>
        <v>-532.0605712269662</v>
      </c>
      <c r="AD31" s="499">
        <f t="shared" si="7"/>
        <v>-736.7406982533469</v>
      </c>
      <c r="AE31" s="499">
        <f t="shared" si="7"/>
        <v>-950.4351681658779</v>
      </c>
      <c r="AF31" s="499">
        <f t="shared" si="7"/>
        <v>-1687.3356119709656</v>
      </c>
      <c r="AG31" s="499">
        <f t="shared" si="7"/>
        <v>-2658.3567845761922</v>
      </c>
      <c r="AH31" s="499">
        <f t="shared" si="7"/>
        <v>3838.992545619264</v>
      </c>
      <c r="AI31" s="499">
        <f t="shared" si="7"/>
        <v>0</v>
      </c>
      <c r="AJ31" s="499">
        <f t="shared" si="7"/>
        <v>0</v>
      </c>
      <c r="AK31" s="499">
        <f t="shared" si="7"/>
        <v>0</v>
      </c>
      <c r="AL31" s="499">
        <f t="shared" si="7"/>
        <v>0</v>
      </c>
      <c r="AM31" s="499">
        <f t="shared" si="7"/>
        <v>0</v>
      </c>
      <c r="AN31" s="499">
        <f t="shared" si="7"/>
        <v>0</v>
      </c>
    </row>
    <row r="32" spans="1:40" ht="12.75">
      <c r="A32" s="476" t="s">
        <v>501</v>
      </c>
      <c r="B32" s="476"/>
      <c r="C32" s="476"/>
      <c r="D32" s="476"/>
      <c r="E32" s="476"/>
      <c r="F32" s="504">
        <f>SUM(H32:AM32)</f>
        <v>1490.7568854594065</v>
      </c>
      <c r="G32" s="491"/>
      <c r="H32" s="492"/>
      <c r="I32" s="492">
        <v>0</v>
      </c>
      <c r="J32" s="831">
        <f>-(SUM($J$31:$AN$31)-'Keep RevReq'!$F$51)/$F$27*J27</f>
        <v>27.026361488148307</v>
      </c>
      <c r="K32" s="831">
        <f>-(SUM($J$31:$AN$31)-'Keep RevReq'!$F$51)/$F$27*K27</f>
        <v>30.97715275835309</v>
      </c>
      <c r="L32" s="831">
        <f>-(SUM($J$31:$AN$31)-'Keep RevReq'!$F$51)/$F$27*L27</f>
        <v>51.52209051387749</v>
      </c>
      <c r="M32" s="831">
        <f>-(SUM($J$31:$AN$31)-'Keep RevReq'!$F$51)/$F$27*M27</f>
        <v>62.582272848772625</v>
      </c>
      <c r="N32" s="831">
        <f>-(SUM($J$31:$AN$31)-'Keep RevReq'!$F$51)/$F$27*N27</f>
        <v>63.33727650464151</v>
      </c>
      <c r="O32" s="831">
        <f>-(SUM($J$31:$AN$31)-'Keep RevReq'!$F$51)/$F$27*O27</f>
        <v>63.983562707350174</v>
      </c>
      <c r="P32" s="831">
        <f>-(SUM($J$31:$AN$31)-'Keep RevReq'!$F$51)/$F$27*P27</f>
        <v>64.68427301133957</v>
      </c>
      <c r="Q32" s="831">
        <f>-(SUM($J$31:$AN$31)-'Keep RevReq'!$F$51)/$F$27*Q27</f>
        <v>65.44610082517693</v>
      </c>
      <c r="R32" s="831">
        <f>-(SUM($J$31:$AN$31)-'Keep RevReq'!$F$51)/$F$27*R27</f>
        <v>66.27694127626779</v>
      </c>
      <c r="S32" s="831">
        <f>-(SUM($J$31:$AN$31)-'Keep RevReq'!$F$51)/$F$27*S27</f>
        <v>67.18619229493035</v>
      </c>
      <c r="T32" s="831">
        <f>-(SUM($J$31:$AN$31)-'Keep RevReq'!$F$51)/$F$27*T27</f>
        <v>68.18515608076761</v>
      </c>
      <c r="U32" s="831">
        <f>-(SUM($J$31:$AN$31)-'Keep RevReq'!$F$51)/$F$27*U27</f>
        <v>69.28758397299518</v>
      </c>
      <c r="V32" s="831">
        <f>-(SUM($J$31:$AN$31)-'Keep RevReq'!$F$51)/$F$27*V27</f>
        <v>70.5104309119122</v>
      </c>
      <c r="W32" s="831">
        <f>-(SUM($J$31:$AN$31)-'Keep RevReq'!$F$51)/$F$27*W27</f>
        <v>71.87492428792044</v>
      </c>
      <c r="X32" s="831">
        <f>-(SUM($J$31:$AN$31)-'Keep RevReq'!$F$51)/$F$27*X27</f>
        <v>73.40811866314425</v>
      </c>
      <c r="Y32" s="831">
        <f>-(SUM($J$31:$AN$31)-'Keep RevReq'!$F$51)/$F$27*Y27</f>
        <v>45.36326323809332</v>
      </c>
      <c r="Z32" s="831">
        <f>-(SUM($J$31:$AN$31)-'Keep RevReq'!$F$51)/$F$27*Z27</f>
        <v>47.3512882424738</v>
      </c>
      <c r="AA32" s="831">
        <f>-(SUM($J$31:$AN$31)-'Keep RevReq'!$F$51)/$F$27*AA27</f>
        <v>49.654912216299685</v>
      </c>
      <c r="AB32" s="831">
        <f>-(SUM($J$31:$AN$31)-'Keep RevReq'!$F$51)/$F$27*AB27</f>
        <v>52.36660672263188</v>
      </c>
      <c r="AC32" s="831">
        <f>-(SUM($J$31:$AN$31)-'Keep RevReq'!$F$51)/$F$27*AC27</f>
        <v>55.62515962107439</v>
      </c>
      <c r="AD32" s="831">
        <f>-(SUM($J$31:$AN$31)-'Keep RevReq'!$F$51)/$F$27*AD27</f>
        <v>59.652731003549334</v>
      </c>
      <c r="AE32" s="831">
        <f>-(SUM($J$31:$AN$31)-'Keep RevReq'!$F$51)/$F$27*AE27</f>
        <v>63.5418546197517</v>
      </c>
      <c r="AF32" s="831">
        <f>-(SUM($J$31:$AN$31)-'Keep RevReq'!$F$51)/$F$27*AF27</f>
        <v>66.212386169544</v>
      </c>
      <c r="AG32" s="831">
        <f>-(SUM($J$31:$AN$31)-'Keep RevReq'!$F$51)/$F$27*AG27</f>
        <v>67.24387898065127</v>
      </c>
      <c r="AH32" s="831">
        <f>-(SUM($J$31:$AN$31)-'Keep RevReq'!$F$51)/$F$27*AH27</f>
        <v>67.45636649973964</v>
      </c>
      <c r="AI32" s="831">
        <f>-(SUM($J$31:$AN$31)-'Keep RevReq'!$F$51)/$F$27*AI27</f>
        <v>0</v>
      </c>
      <c r="AJ32" s="831">
        <f>-(SUM($J$31:$AN$31)-'Keep RevReq'!$F$51)/$F$27*AJ27</f>
        <v>0</v>
      </c>
      <c r="AK32" s="831">
        <f>-(SUM($J$31:$AN$31)-'Keep RevReq'!$F$51)/$F$27*AK27</f>
        <v>0</v>
      </c>
      <c r="AL32" s="831">
        <f>-(SUM($J$31:$AN$31)-'Keep RevReq'!$F$51)/$F$27*AL27</f>
        <v>0</v>
      </c>
      <c r="AM32" s="831">
        <f>-(SUM($J$31:$AN$31)-'Keep RevReq'!$F$51)/$F$27*AM27</f>
        <v>0</v>
      </c>
      <c r="AN32" s="831">
        <f>-(SUM($J$31:$AN$31)-'Keep RevReq'!$F$51)/$F$27*AN27</f>
        <v>0</v>
      </c>
    </row>
    <row r="33" spans="1:40" ht="12.75">
      <c r="A33" s="476" t="s">
        <v>502</v>
      </c>
      <c r="B33" s="476"/>
      <c r="C33" s="476"/>
      <c r="D33" s="476"/>
      <c r="E33" s="476"/>
      <c r="F33" s="503">
        <f>F31+F32</f>
        <v>-10881.426418078518</v>
      </c>
      <c r="G33" s="491"/>
      <c r="H33" s="489"/>
      <c r="I33" s="489">
        <f>I31+I32</f>
        <v>1156.2695364885067</v>
      </c>
      <c r="J33" s="489">
        <f>J31+J32</f>
        <v>-297.79718015202275</v>
      </c>
      <c r="K33" s="489">
        <f aca="true" t="shared" si="8" ref="K33:AN33">K31+K32</f>
        <v>-460.123682707359</v>
      </c>
      <c r="L33" s="489">
        <f t="shared" si="8"/>
        <v>-597.3148045370217</v>
      </c>
      <c r="M33" s="489">
        <f t="shared" si="8"/>
        <v>222.23550773145118</v>
      </c>
      <c r="N33" s="489">
        <f t="shared" si="8"/>
        <v>537.5396400270802</v>
      </c>
      <c r="O33" s="489">
        <f t="shared" si="8"/>
        <v>343.4302028346191</v>
      </c>
      <c r="P33" s="489">
        <f t="shared" si="8"/>
        <v>153.46753615150823</v>
      </c>
      <c r="Q33" s="489">
        <f t="shared" si="8"/>
        <v>-403.3091098830429</v>
      </c>
      <c r="R33" s="489">
        <f t="shared" si="8"/>
        <v>-635.0419092490692</v>
      </c>
      <c r="S33" s="489">
        <f t="shared" si="8"/>
        <v>-838.4133170283576</v>
      </c>
      <c r="T33" s="489">
        <f t="shared" si="8"/>
        <v>-918.4577544631939</v>
      </c>
      <c r="U33" s="489">
        <f t="shared" si="8"/>
        <v>-1335.5488158730107</v>
      </c>
      <c r="V33" s="489">
        <f t="shared" si="8"/>
        <v>-1361.314519559723</v>
      </c>
      <c r="W33" s="489">
        <f t="shared" si="8"/>
        <v>-1525.0745195520133</v>
      </c>
      <c r="X33" s="489">
        <f t="shared" si="8"/>
        <v>-1710.2206127900708</v>
      </c>
      <c r="Y33" s="489">
        <f t="shared" si="8"/>
        <v>-104.47431577237407</v>
      </c>
      <c r="Z33" s="489">
        <f t="shared" si="8"/>
        <v>-167.3843689887341</v>
      </c>
      <c r="AA33" s="489">
        <f t="shared" si="8"/>
        <v>-246.7126487101993</v>
      </c>
      <c r="AB33" s="489">
        <f t="shared" si="8"/>
        <v>-346.97737036571885</v>
      </c>
      <c r="AC33" s="489">
        <f t="shared" si="8"/>
        <v>-476.43541160589183</v>
      </c>
      <c r="AD33" s="489">
        <f t="shared" si="8"/>
        <v>-677.0879672497975</v>
      </c>
      <c r="AE33" s="489">
        <f t="shared" si="8"/>
        <v>-886.8933135461263</v>
      </c>
      <c r="AF33" s="489">
        <f t="shared" si="8"/>
        <v>-1621.1232258014215</v>
      </c>
      <c r="AG33" s="489">
        <f t="shared" si="8"/>
        <v>-2591.112905595541</v>
      </c>
      <c r="AH33" s="489">
        <f t="shared" si="8"/>
        <v>3906.4489121190036</v>
      </c>
      <c r="AI33" s="489">
        <f t="shared" si="8"/>
        <v>0</v>
      </c>
      <c r="AJ33" s="489">
        <f t="shared" si="8"/>
        <v>0</v>
      </c>
      <c r="AK33" s="489">
        <f t="shared" si="8"/>
        <v>0</v>
      </c>
      <c r="AL33" s="489">
        <f t="shared" si="8"/>
        <v>0</v>
      </c>
      <c r="AM33" s="489">
        <f t="shared" si="8"/>
        <v>0</v>
      </c>
      <c r="AN33" s="489">
        <f t="shared" si="8"/>
        <v>0</v>
      </c>
    </row>
    <row r="34" ht="7.5" customHeight="1"/>
    <row r="35" ht="7.5" customHeight="1"/>
    <row r="36" spans="1:34" ht="12.75">
      <c r="A36" s="122"/>
      <c r="B36" s="91" t="s">
        <v>89</v>
      </c>
      <c r="C36" s="67"/>
      <c r="D36" s="58"/>
      <c r="E36" s="58"/>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row>
    <row r="37" spans="1:34" ht="8.25" customHeight="1">
      <c r="A37" s="122"/>
      <c r="B37" s="91"/>
      <c r="C37" s="91"/>
      <c r="D37" s="91"/>
      <c r="E37" s="91"/>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row>
    <row r="38" spans="1:34" ht="7.5" customHeight="1">
      <c r="A38" s="122"/>
      <c r="B38" s="91"/>
      <c r="C38" s="91"/>
      <c r="D38" s="91"/>
      <c r="E38" s="91"/>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row>
    <row r="39" spans="1:34" ht="6" customHeight="1">
      <c r="A39" s="122"/>
      <c r="B39" s="822"/>
      <c r="C39" s="822"/>
      <c r="D39" s="822"/>
      <c r="E39" s="91"/>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row>
    <row r="40" spans="1:34" ht="15.75">
      <c r="A40" s="475" t="s">
        <v>784</v>
      </c>
      <c r="B40" s="832"/>
      <c r="C40" s="832"/>
      <c r="D40" s="69"/>
      <c r="F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row>
    <row r="41" spans="1:40" ht="12.75">
      <c r="A41" s="91"/>
      <c r="B41" s="91"/>
      <c r="C41" s="91"/>
      <c r="D41" s="67"/>
      <c r="F41" s="67"/>
      <c r="H41" s="67"/>
      <c r="I41" s="67"/>
      <c r="J41" s="88">
        <f>J10</f>
        <v>1999</v>
      </c>
      <c r="K41" s="88">
        <f aca="true" t="shared" si="9" ref="K41:AN41">K10</f>
        <v>2000</v>
      </c>
      <c r="L41" s="88">
        <f t="shared" si="9"/>
        <v>2001</v>
      </c>
      <c r="M41" s="88">
        <f t="shared" si="9"/>
        <v>2002</v>
      </c>
      <c r="N41" s="88">
        <f t="shared" si="9"/>
        <v>2003</v>
      </c>
      <c r="O41" s="88">
        <f t="shared" si="9"/>
        <v>2004</v>
      </c>
      <c r="P41" s="88">
        <f t="shared" si="9"/>
        <v>2005</v>
      </c>
      <c r="Q41" s="88">
        <f t="shared" si="9"/>
        <v>2006</v>
      </c>
      <c r="R41" s="88">
        <f t="shared" si="9"/>
        <v>2007</v>
      </c>
      <c r="S41" s="88">
        <f t="shared" si="9"/>
        <v>2008</v>
      </c>
      <c r="T41" s="88">
        <f t="shared" si="9"/>
        <v>2009</v>
      </c>
      <c r="U41" s="88">
        <f t="shared" si="9"/>
        <v>2010</v>
      </c>
      <c r="V41" s="88">
        <f t="shared" si="9"/>
        <v>2011</v>
      </c>
      <c r="W41" s="88">
        <f t="shared" si="9"/>
        <v>2012</v>
      </c>
      <c r="X41" s="88">
        <f t="shared" si="9"/>
        <v>2013</v>
      </c>
      <c r="Y41" s="88">
        <f t="shared" si="9"/>
        <v>2014</v>
      </c>
      <c r="Z41" s="88">
        <f t="shared" si="9"/>
        <v>2015</v>
      </c>
      <c r="AA41" s="88">
        <f t="shared" si="9"/>
        <v>2016</v>
      </c>
      <c r="AB41" s="88">
        <f t="shared" si="9"/>
        <v>2017</v>
      </c>
      <c r="AC41" s="88">
        <f t="shared" si="9"/>
        <v>2018</v>
      </c>
      <c r="AD41" s="88">
        <f t="shared" si="9"/>
        <v>2019</v>
      </c>
      <c r="AE41" s="88">
        <f t="shared" si="9"/>
        <v>2020</v>
      </c>
      <c r="AF41" s="88">
        <f t="shared" si="9"/>
        <v>2021</v>
      </c>
      <c r="AG41" s="88">
        <f t="shared" si="9"/>
        <v>2022</v>
      </c>
      <c r="AH41" s="88">
        <f t="shared" si="9"/>
        <v>2023</v>
      </c>
      <c r="AI41" s="88">
        <f t="shared" si="9"/>
        <v>2024</v>
      </c>
      <c r="AJ41" s="88">
        <f t="shared" si="9"/>
        <v>2025</v>
      </c>
      <c r="AK41" s="88">
        <f t="shared" si="9"/>
        <v>2026</v>
      </c>
      <c r="AL41" s="88">
        <f t="shared" si="9"/>
        <v>2027</v>
      </c>
      <c r="AM41" s="88">
        <f t="shared" si="9"/>
        <v>2028</v>
      </c>
      <c r="AN41" s="88">
        <f t="shared" si="9"/>
        <v>2029</v>
      </c>
    </row>
    <row r="42" spans="1:40" ht="12.75">
      <c r="A42" s="91"/>
      <c r="B42" s="91"/>
      <c r="C42" s="91"/>
      <c r="D42" s="67"/>
      <c r="F42" s="67"/>
      <c r="H42" s="67"/>
      <c r="I42" s="67"/>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row>
    <row r="43" spans="1:40" ht="12.75">
      <c r="A43" s="92" t="s">
        <v>106</v>
      </c>
      <c r="B43" s="92"/>
      <c r="C43" s="92"/>
      <c r="D43" s="67"/>
      <c r="F43" s="67">
        <f>SUM(J43:AN43)</f>
        <v>134467.13380711974</v>
      </c>
      <c r="G43" s="67">
        <f>SUM(K43:AN43)</f>
        <v>133755.61259035574</v>
      </c>
      <c r="H43" s="67"/>
      <c r="I43" s="67"/>
      <c r="J43" s="76">
        <f>'Tax Depr'!K173*Inputs!$G$7</f>
        <v>711.521216764</v>
      </c>
      <c r="K43" s="76">
        <f>'Tax Depr'!L173*Inputs!$G$7</f>
        <v>2171.3335611090006</v>
      </c>
      <c r="L43" s="76">
        <f>'Tax Depr'!M173*Inputs!$G$7</f>
        <v>3701.3728599424994</v>
      </c>
      <c r="M43" s="76">
        <f>'Tax Depr'!N173*Inputs!$G$7</f>
        <v>4895.547145828938</v>
      </c>
      <c r="N43" s="76">
        <f>'Tax Depr'!O173*Inputs!$G$7</f>
        <v>5583.182935340701</v>
      </c>
      <c r="O43" s="76">
        <f>'Tax Depr'!P173*Inputs!$G$7</f>
        <v>5622.634418971371</v>
      </c>
      <c r="P43" s="76">
        <f>'Tax Depr'!Q173*Inputs!$G$7</f>
        <v>5580.202373729504</v>
      </c>
      <c r="Q43" s="76">
        <f>'Tax Depr'!R173*Inputs!$G$7</f>
        <v>5591.0677730019825</v>
      </c>
      <c r="R43" s="76">
        <f>'Tax Depr'!S173*Inputs!$G$7</f>
        <v>5476.421214282191</v>
      </c>
      <c r="S43" s="76">
        <f>'Tax Depr'!T173*Inputs!$G$7</f>
        <v>5293.186661707981</v>
      </c>
      <c r="T43" s="76">
        <f>'Tax Depr'!U173*Inputs!$G$7</f>
        <v>5092.845182555185</v>
      </c>
      <c r="U43" s="76">
        <f>'Tax Depr'!V173*Inputs!$G$7</f>
        <v>4963.52894033496</v>
      </c>
      <c r="V43" s="76">
        <f>'Tax Depr'!W173*Inputs!$G$7</f>
        <v>5023.284835356524</v>
      </c>
      <c r="W43" s="76">
        <f>'Tax Depr'!X173*Inputs!$G$7</f>
        <v>5173.98338041722</v>
      </c>
      <c r="X43" s="76">
        <f>'Tax Depr'!Y173*Inputs!$G$7</f>
        <v>5329.202881829737</v>
      </c>
      <c r="Y43" s="76">
        <f>'Tax Depr'!Z173*Inputs!$G$7</f>
        <v>5489.078968284628</v>
      </c>
      <c r="Z43" s="76">
        <f>'Tax Depr'!AA173*Inputs!$G$7</f>
        <v>5653.751337333166</v>
      </c>
      <c r="AA43" s="76">
        <f>'Tax Depr'!AB173*Inputs!$G$7</f>
        <v>5823.363877453161</v>
      </c>
      <c r="AB43" s="76">
        <f>'Tax Depr'!AC173*Inputs!$G$7</f>
        <v>5998.064793776757</v>
      </c>
      <c r="AC43" s="76">
        <f>'Tax Depr'!AD173*Inputs!$G$7</f>
        <v>6178.006737590058</v>
      </c>
      <c r="AD43" s="76">
        <f>'Tax Depr'!AE173*Inputs!$G$7</f>
        <v>6363.3469397177605</v>
      </c>
      <c r="AE43" s="76">
        <f>'Tax Depr'!AF173*Inputs!$G$7</f>
        <v>6301.70305832687</v>
      </c>
      <c r="AF43" s="76">
        <f>'Tax Depr'!AG173*Inputs!$G$7</f>
        <v>5797.826698225709</v>
      </c>
      <c r="AG43" s="76">
        <f>'Tax Depr'!AH173*Inputs!$G$7</f>
        <v>4948.948979203591</v>
      </c>
      <c r="AH43" s="76">
        <f>'Tax Depr'!AI173*Inputs!$G$7</f>
        <v>11703.72703603628</v>
      </c>
      <c r="AI43" s="76">
        <f>'Tax Depr'!AJ173*Inputs!$G$7</f>
        <v>0</v>
      </c>
      <c r="AJ43" s="76">
        <f>'Tax Depr'!AK173*Inputs!$G$7</f>
        <v>0</v>
      </c>
      <c r="AK43" s="76">
        <f>'Tax Depr'!AL173*Inputs!$G$7</f>
        <v>0</v>
      </c>
      <c r="AL43" s="76">
        <f>'Tax Depr'!AM173*Inputs!$G$7</f>
        <v>0</v>
      </c>
      <c r="AM43" s="76">
        <f>'Tax Depr'!AN173*Inputs!$G$7</f>
        <v>0</v>
      </c>
      <c r="AN43" s="76">
        <f>'Tax Depr'!AO173*Inputs!$G$7</f>
        <v>0</v>
      </c>
    </row>
    <row r="44" spans="1:40" ht="12.75">
      <c r="A44" s="92" t="s">
        <v>107</v>
      </c>
      <c r="B44" s="92"/>
      <c r="C44" s="92"/>
      <c r="D44" s="67"/>
      <c r="F44" s="67">
        <f>SUM(J44:AN44)</f>
        <v>6128.413284640731</v>
      </c>
      <c r="G44" s="67">
        <f aca="true" t="shared" si="10" ref="G44:G62">SUM(K44:AN44)</f>
        <v>4171.6890405581125</v>
      </c>
      <c r="H44" s="67"/>
      <c r="I44" s="67"/>
      <c r="J44" s="73">
        <f>'Tax Depr'!K174*$F$67</f>
        <v>1956.7242440826235</v>
      </c>
      <c r="K44" s="73">
        <f>'Tax Depr'!L174*$F$67</f>
        <v>753.2684265389934</v>
      </c>
      <c r="L44" s="73">
        <f>'Tax Depr'!M174*$F$67</f>
        <v>548.4172919118273</v>
      </c>
      <c r="M44" s="73">
        <f>'Tax Depr'!N174*$F$67</f>
        <v>548.2277986166109</v>
      </c>
      <c r="N44" s="73">
        <f>'Tax Depr'!O174*$F$67</f>
        <v>548.2277986166109</v>
      </c>
      <c r="O44" s="73">
        <f>'Tax Depr'!P174*$F$67</f>
        <v>548.2277986166109</v>
      </c>
      <c r="P44" s="73">
        <f>'Tax Depr'!Q174*$F$67</f>
        <v>548.2277986166109</v>
      </c>
      <c r="Q44" s="73">
        <f>'Tax Depr'!R174*$F$67</f>
        <v>548.2277986166109</v>
      </c>
      <c r="R44" s="73">
        <f>'Tax Depr'!S174*$F$67</f>
        <v>5.598042477689234</v>
      </c>
      <c r="S44" s="73">
        <f>'Tax Depr'!T174*$F$67</f>
        <v>5.598042477689234</v>
      </c>
      <c r="T44" s="73">
        <f>'Tax Depr'!U174*$F$67</f>
        <v>5.598042477689234</v>
      </c>
      <c r="U44" s="73">
        <f>'Tax Depr'!V174*$F$67</f>
        <v>5.598042477689234</v>
      </c>
      <c r="V44" s="73">
        <f>'Tax Depr'!W174*$F$67</f>
        <v>5.598042477689234</v>
      </c>
      <c r="W44" s="73">
        <f>'Tax Depr'!X174*$F$67</f>
        <v>5.598042477689234</v>
      </c>
      <c r="X44" s="73">
        <f>'Tax Depr'!Y174*$F$67</f>
        <v>5.598042477689234</v>
      </c>
      <c r="Y44" s="73">
        <f>'Tax Depr'!Z174*$F$67</f>
        <v>5.598042477689234</v>
      </c>
      <c r="Z44" s="73">
        <f>'Tax Depr'!AA174*$F$67</f>
        <v>5.598042477689234</v>
      </c>
      <c r="AA44" s="73">
        <f>'Tax Depr'!AB174*$F$67</f>
        <v>5.598042477689234</v>
      </c>
      <c r="AB44" s="73">
        <f>'Tax Depr'!AC174*$F$67</f>
        <v>5.598042477689234</v>
      </c>
      <c r="AC44" s="73">
        <f>'Tax Depr'!AD174*$F$67</f>
        <v>5.598042477689234</v>
      </c>
      <c r="AD44" s="73">
        <f>'Tax Depr'!AE174*$F$67</f>
        <v>5.598042477689234</v>
      </c>
      <c r="AE44" s="73">
        <f>'Tax Depr'!AF174*$F$67</f>
        <v>5.598042477689234</v>
      </c>
      <c r="AF44" s="73">
        <f>'Tax Depr'!AG174*$F$67</f>
        <v>5.598042477689234</v>
      </c>
      <c r="AG44" s="73">
        <f>'Tax Depr'!AH174*$F$67</f>
        <v>2.8004623331810414</v>
      </c>
      <c r="AH44" s="73">
        <f>'Tax Depr'!AI174*$F$67</f>
        <v>42.09322952571694</v>
      </c>
      <c r="AI44" s="73">
        <f>'Tax Depr'!AJ174*$F$67</f>
        <v>0</v>
      </c>
      <c r="AJ44" s="73">
        <f>'Tax Depr'!AK174*$F$67</f>
        <v>0</v>
      </c>
      <c r="AK44" s="73">
        <f>'Tax Depr'!AL174*$F$67</f>
        <v>0</v>
      </c>
      <c r="AL44" s="73">
        <f>'Tax Depr'!AM174*$F$67</f>
        <v>0</v>
      </c>
      <c r="AM44" s="73">
        <f>'Tax Depr'!AN174*$F$67</f>
        <v>0</v>
      </c>
      <c r="AN44" s="73">
        <f>'Tax Depr'!AO174*$F$67</f>
        <v>0</v>
      </c>
    </row>
    <row r="45" spans="1:40" ht="12.75">
      <c r="A45" s="91"/>
      <c r="B45" s="91" t="s">
        <v>90</v>
      </c>
      <c r="C45" s="91"/>
      <c r="D45" s="67"/>
      <c r="F45" s="67">
        <f>SUM(J45:AN45)</f>
        <v>140595.5470917605</v>
      </c>
      <c r="G45" s="67">
        <f t="shared" si="10"/>
        <v>137927.30163091386</v>
      </c>
      <c r="H45" s="67"/>
      <c r="I45" s="67"/>
      <c r="J45" s="102">
        <f>J44+J43</f>
        <v>2668.2454608466232</v>
      </c>
      <c r="K45" s="102">
        <f aca="true" t="shared" si="11" ref="K45:AH45">K44+K43</f>
        <v>2924.601987647994</v>
      </c>
      <c r="L45" s="102">
        <f t="shared" si="11"/>
        <v>4249.790151854327</v>
      </c>
      <c r="M45" s="102">
        <f t="shared" si="11"/>
        <v>5443.7749444455485</v>
      </c>
      <c r="N45" s="102">
        <f t="shared" si="11"/>
        <v>6131.410733957312</v>
      </c>
      <c r="O45" s="102">
        <f t="shared" si="11"/>
        <v>6170.862217587982</v>
      </c>
      <c r="P45" s="102">
        <f t="shared" si="11"/>
        <v>6128.430172346115</v>
      </c>
      <c r="Q45" s="102">
        <f t="shared" si="11"/>
        <v>6139.295571618593</v>
      </c>
      <c r="R45" s="102">
        <f t="shared" si="11"/>
        <v>5482.01925675988</v>
      </c>
      <c r="S45" s="102">
        <f t="shared" si="11"/>
        <v>5298.78470418567</v>
      </c>
      <c r="T45" s="102">
        <f t="shared" si="11"/>
        <v>5098.443225032874</v>
      </c>
      <c r="U45" s="102">
        <f t="shared" si="11"/>
        <v>4969.126982812649</v>
      </c>
      <c r="V45" s="102">
        <f t="shared" si="11"/>
        <v>5028.882877834213</v>
      </c>
      <c r="W45" s="102">
        <f t="shared" si="11"/>
        <v>5179.581422894909</v>
      </c>
      <c r="X45" s="102">
        <f t="shared" si="11"/>
        <v>5334.800924307426</v>
      </c>
      <c r="Y45" s="102">
        <f t="shared" si="11"/>
        <v>5494.677010762317</v>
      </c>
      <c r="Z45" s="102">
        <f t="shared" si="11"/>
        <v>5659.349379810855</v>
      </c>
      <c r="AA45" s="102">
        <f t="shared" si="11"/>
        <v>5828.96191993085</v>
      </c>
      <c r="AB45" s="102">
        <f t="shared" si="11"/>
        <v>6003.662836254446</v>
      </c>
      <c r="AC45" s="102">
        <f t="shared" si="11"/>
        <v>6183.604780067747</v>
      </c>
      <c r="AD45" s="102">
        <f t="shared" si="11"/>
        <v>6368.9449821954495</v>
      </c>
      <c r="AE45" s="102">
        <f t="shared" si="11"/>
        <v>6307.301100804559</v>
      </c>
      <c r="AF45" s="102">
        <f t="shared" si="11"/>
        <v>5803.424740703398</v>
      </c>
      <c r="AG45" s="102">
        <f t="shared" si="11"/>
        <v>4951.749441536772</v>
      </c>
      <c r="AH45" s="102">
        <f t="shared" si="11"/>
        <v>11745.820265561997</v>
      </c>
      <c r="AI45" s="102">
        <f aca="true" t="shared" si="12" ref="AI45:AN45">AI44+AI43</f>
        <v>0</v>
      </c>
      <c r="AJ45" s="102">
        <f t="shared" si="12"/>
        <v>0</v>
      </c>
      <c r="AK45" s="102">
        <f t="shared" si="12"/>
        <v>0</v>
      </c>
      <c r="AL45" s="102">
        <f t="shared" si="12"/>
        <v>0</v>
      </c>
      <c r="AM45" s="102">
        <f t="shared" si="12"/>
        <v>0</v>
      </c>
      <c r="AN45" s="102">
        <f t="shared" si="12"/>
        <v>0</v>
      </c>
    </row>
    <row r="46" spans="1:40" ht="12.75">
      <c r="A46" s="91" t="s">
        <v>91</v>
      </c>
      <c r="B46" s="91"/>
      <c r="C46" s="91"/>
      <c r="D46" s="67"/>
      <c r="F46" s="67">
        <f>SUM(J46:AN46)</f>
        <v>237097.80029926077</v>
      </c>
      <c r="G46" s="67">
        <f t="shared" si="10"/>
        <v>237097.80029926077</v>
      </c>
      <c r="H46" s="67"/>
      <c r="I46" s="67"/>
      <c r="J46" s="73">
        <v>0</v>
      </c>
      <c r="K46" s="73">
        <f>Reclamation!J6*1000*Inputs!$G$7</f>
        <v>2397.3250000000003</v>
      </c>
      <c r="L46" s="73">
        <f>Reclamation!K6*1000*Inputs!$G$7</f>
        <v>2469.24475</v>
      </c>
      <c r="M46" s="73">
        <f>Reclamation!L6*1000*Inputs!$G$7</f>
        <v>5865.2121725</v>
      </c>
      <c r="N46" s="73">
        <f>Reclamation!M6*1000*Inputs!$G$7</f>
        <v>5880.7835322500005</v>
      </c>
      <c r="O46" s="73">
        <f>Reclamation!N6*1000*Inputs!$G$7</f>
        <v>6057.207038217501</v>
      </c>
      <c r="P46" s="73">
        <f>Reclamation!O6*1000*Inputs!$G$7</f>
        <v>6806.0980902153005</v>
      </c>
      <c r="Q46" s="73">
        <f>Reclamation!P6*1000*Inputs!$G$7</f>
        <v>10515.42154938264</v>
      </c>
      <c r="R46" s="73">
        <f>Reclamation!Q6*1000*Inputs!$G$7</f>
        <v>11492.77156338915</v>
      </c>
      <c r="S46" s="73">
        <f>Reclamation!R6*1000*Inputs!$G$7</f>
        <v>11341.74090043571</v>
      </c>
      <c r="T46" s="73">
        <f>Reclamation!S6*1000*Inputs!$G$7</f>
        <v>11681.993127448783</v>
      </c>
      <c r="U46" s="73">
        <f>Reclamation!T6*1000*Inputs!$G$7</f>
        <v>13741.981751616935</v>
      </c>
      <c r="V46" s="73">
        <f>Reclamation!U6*1000*Inputs!$G$7</f>
        <v>15576.437688794507</v>
      </c>
      <c r="W46" s="73">
        <f>Reclamation!V6*1000*Inputs!$G$7</f>
        <v>16113.486170847293</v>
      </c>
      <c r="X46" s="73">
        <f>Reclamation!W6*1000*Inputs!$G$7</f>
        <v>13004.490159441824</v>
      </c>
      <c r="Y46" s="73">
        <f>Reclamation!X6*1000*Inputs!$G$7</f>
        <v>7770.362490296317</v>
      </c>
      <c r="Z46" s="73">
        <f>Reclamation!Y6*1000*Inputs!$G$7</f>
        <v>9299.273814577478</v>
      </c>
      <c r="AA46" s="73">
        <f>Reclamation!Z6*1000*Inputs!$G$7</f>
        <v>392.55131266454106</v>
      </c>
      <c r="AB46" s="73">
        <f>Reclamation!AA6*1000*Inputs!$G$7</f>
        <v>5660.589928622682</v>
      </c>
      <c r="AC46" s="73">
        <f>Reclamation!AB6*1000*Inputs!$G$7</f>
        <v>83.29153752116234</v>
      </c>
      <c r="AD46" s="73">
        <f>Reclamation!AC6*1000*Inputs!$G$7</f>
        <v>85.79028364679722</v>
      </c>
      <c r="AE46" s="73">
        <f>Reclamation!AD6*1000*Inputs!$G$7</f>
        <v>2827.6477489984363</v>
      </c>
      <c r="AF46" s="73">
        <f>Reclamation!AE6*1000*Inputs!$G$7</f>
        <v>91.01491192088719</v>
      </c>
      <c r="AG46" s="73">
        <f>Reclamation!AF6*1000*Inputs!$G$7</f>
        <v>8812.063772180298</v>
      </c>
      <c r="AH46" s="73">
        <f>Reclamation!AG6*1000*Inputs!$G$7</f>
        <v>7531.5021644357985</v>
      </c>
      <c r="AI46" s="73">
        <f>Reclamation!AH6*1000*Inputs!$G$7</f>
        <v>7856.901681027448</v>
      </c>
      <c r="AJ46" s="73">
        <f>Reclamation!AI6*1000*Inputs!$G$7</f>
        <v>102.43808520833257</v>
      </c>
      <c r="AK46" s="73">
        <f>Reclamation!AJ6*1000*Inputs!$G$7</f>
        <v>105.51122776458253</v>
      </c>
      <c r="AL46" s="73">
        <f>Reclamation!AK6*1000*Inputs!$G$7</f>
        <v>108.67656459752001</v>
      </c>
      <c r="AM46" s="73">
        <f>Reclamation!AL6*1000*Inputs!$G$7</f>
        <v>15335.350030356047</v>
      </c>
      <c r="AN46" s="73">
        <f>Reclamation!AM7*1000*Inputs!$G$7</f>
        <v>38090.641250902794</v>
      </c>
    </row>
    <row r="47" spans="1:40" ht="12.75">
      <c r="A47" s="91"/>
      <c r="B47" s="91" t="s">
        <v>92</v>
      </c>
      <c r="C47" s="91"/>
      <c r="D47" s="67"/>
      <c r="F47" s="67">
        <f>SUM(J47:AN47)</f>
        <v>377693.3473910213</v>
      </c>
      <c r="G47" s="67">
        <f t="shared" si="10"/>
        <v>375025.1019301747</v>
      </c>
      <c r="H47" s="67"/>
      <c r="I47" s="67"/>
      <c r="J47" s="102">
        <f>J45+J46</f>
        <v>2668.2454608466232</v>
      </c>
      <c r="K47" s="102">
        <f aca="true" t="shared" si="13" ref="K47:AN47">K45+K46</f>
        <v>5321.926987647994</v>
      </c>
      <c r="L47" s="102">
        <f t="shared" si="13"/>
        <v>6719.034901854327</v>
      </c>
      <c r="M47" s="102">
        <f t="shared" si="13"/>
        <v>11308.987116945547</v>
      </c>
      <c r="N47" s="102">
        <f t="shared" si="13"/>
        <v>12012.194266207312</v>
      </c>
      <c r="O47" s="102">
        <f t="shared" si="13"/>
        <v>12228.069255805483</v>
      </c>
      <c r="P47" s="102">
        <f t="shared" si="13"/>
        <v>12934.528262561416</v>
      </c>
      <c r="Q47" s="102">
        <f t="shared" si="13"/>
        <v>16654.71712100123</v>
      </c>
      <c r="R47" s="102">
        <f t="shared" si="13"/>
        <v>16974.790820149028</v>
      </c>
      <c r="S47" s="102">
        <f t="shared" si="13"/>
        <v>16640.52560462138</v>
      </c>
      <c r="T47" s="102">
        <f t="shared" si="13"/>
        <v>16780.436352481658</v>
      </c>
      <c r="U47" s="102">
        <f t="shared" si="13"/>
        <v>18711.108734429585</v>
      </c>
      <c r="V47" s="102">
        <f t="shared" si="13"/>
        <v>20605.32056662872</v>
      </c>
      <c r="W47" s="102">
        <f t="shared" si="13"/>
        <v>21293.067593742202</v>
      </c>
      <c r="X47" s="102">
        <f t="shared" si="13"/>
        <v>18339.29108374925</v>
      </c>
      <c r="Y47" s="102">
        <f t="shared" si="13"/>
        <v>13265.039501058634</v>
      </c>
      <c r="Z47" s="102">
        <f t="shared" si="13"/>
        <v>14958.623194388332</v>
      </c>
      <c r="AA47" s="102">
        <f t="shared" si="13"/>
        <v>6221.513232595391</v>
      </c>
      <c r="AB47" s="102">
        <f t="shared" si="13"/>
        <v>11664.252764877128</v>
      </c>
      <c r="AC47" s="102">
        <f t="shared" si="13"/>
        <v>6266.896317588909</v>
      </c>
      <c r="AD47" s="102">
        <f t="shared" si="13"/>
        <v>6454.735265842247</v>
      </c>
      <c r="AE47" s="102">
        <f t="shared" si="13"/>
        <v>9134.948849802995</v>
      </c>
      <c r="AF47" s="102">
        <f t="shared" si="13"/>
        <v>5894.439652624285</v>
      </c>
      <c r="AG47" s="102">
        <f t="shared" si="13"/>
        <v>13763.813213717069</v>
      </c>
      <c r="AH47" s="102">
        <f t="shared" si="13"/>
        <v>19277.322429997796</v>
      </c>
      <c r="AI47" s="102">
        <f t="shared" si="13"/>
        <v>7856.901681027448</v>
      </c>
      <c r="AJ47" s="102">
        <f t="shared" si="13"/>
        <v>102.43808520833257</v>
      </c>
      <c r="AK47" s="102">
        <f t="shared" si="13"/>
        <v>105.51122776458253</v>
      </c>
      <c r="AL47" s="102">
        <f t="shared" si="13"/>
        <v>108.67656459752001</v>
      </c>
      <c r="AM47" s="102">
        <f t="shared" si="13"/>
        <v>15335.350030356047</v>
      </c>
      <c r="AN47" s="102">
        <f t="shared" si="13"/>
        <v>38090.641250902794</v>
      </c>
    </row>
    <row r="48" spans="1:34" ht="12.75">
      <c r="A48" s="91"/>
      <c r="B48" s="91"/>
      <c r="C48" s="91"/>
      <c r="D48" s="67"/>
      <c r="F48" s="67"/>
      <c r="G48" s="67">
        <f t="shared" si="10"/>
        <v>0</v>
      </c>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row>
    <row r="49" spans="1:34" ht="12.75">
      <c r="A49" s="91"/>
      <c r="B49" s="91"/>
      <c r="C49" s="91"/>
      <c r="D49" s="67"/>
      <c r="F49" s="67"/>
      <c r="G49" s="67">
        <f t="shared" si="10"/>
        <v>0</v>
      </c>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row>
    <row r="50" spans="1:40" ht="12.75">
      <c r="A50" s="91" t="s">
        <v>93</v>
      </c>
      <c r="B50" s="91"/>
      <c r="C50" s="91"/>
      <c r="D50" s="67" t="s">
        <v>518</v>
      </c>
      <c r="F50" s="67">
        <f>SUM(J50:AN50)</f>
        <v>173430.20976216797</v>
      </c>
      <c r="G50" s="67">
        <f t="shared" si="10"/>
        <v>168126.9452957962</v>
      </c>
      <c r="H50" s="67"/>
      <c r="I50" s="67"/>
      <c r="J50" s="73">
        <f>'Book Depr'!K166</f>
        <v>5303.264466371715</v>
      </c>
      <c r="K50" s="73">
        <f>'Book Depr'!L166</f>
        <v>6384.321591024453</v>
      </c>
      <c r="L50" s="73">
        <f>'Book Depr'!M166</f>
        <v>7390.859719457905</v>
      </c>
      <c r="M50" s="73">
        <f>'Book Depr'!N166</f>
        <v>7602.394103762849</v>
      </c>
      <c r="N50" s="73">
        <f>'Book Depr'!O166</f>
        <v>8471.679314393643</v>
      </c>
      <c r="O50" s="73">
        <f>'Book Depr'!P166</f>
        <v>8736.84594028265</v>
      </c>
      <c r="P50" s="73">
        <f>'Book Depr'!Q166</f>
        <v>8424.339691243613</v>
      </c>
      <c r="Q50" s="73">
        <f>'Book Depr'!R166</f>
        <v>7623.391925538925</v>
      </c>
      <c r="R50" s="73">
        <f>'Book Depr'!S166</f>
        <v>6707.924376719965</v>
      </c>
      <c r="S50" s="73">
        <f>'Book Depr'!T166</f>
        <v>6330.68312081889</v>
      </c>
      <c r="T50" s="73">
        <f>'Book Depr'!U166</f>
        <v>5845.92970855083</v>
      </c>
      <c r="U50" s="73">
        <f>'Book Depr'!V166</f>
        <v>5550.040208003677</v>
      </c>
      <c r="V50" s="73">
        <f>'Book Depr'!W166</f>
        <v>5419.384405145208</v>
      </c>
      <c r="W50" s="73">
        <f>'Book Depr'!X166</f>
        <v>5187.422085990095</v>
      </c>
      <c r="X50" s="73">
        <f>'Book Depr'!Y166</f>
        <v>5060.27972527466</v>
      </c>
      <c r="Y50" s="73">
        <f>'Book Depr'!Z166</f>
        <v>5216.059268671555</v>
      </c>
      <c r="Z50" s="73">
        <f>'Book Depr'!AA166</f>
        <v>5376.512209368635</v>
      </c>
      <c r="AA50" s="73">
        <f>'Book Depr'!AB166</f>
        <v>5541.7787382866245</v>
      </c>
      <c r="AB50" s="73">
        <f>'Book Depr'!AC166</f>
        <v>6174.082995057797</v>
      </c>
      <c r="AC50" s="73">
        <f>'Book Depr'!AD166</f>
        <v>6521.908711646869</v>
      </c>
      <c r="AD50" s="73">
        <f>'Book Depr'!AE166</f>
        <v>7108.943289458406</v>
      </c>
      <c r="AE50" s="73">
        <f>'Book Depr'!AF166</f>
        <v>7625.224912448088</v>
      </c>
      <c r="AF50" s="73">
        <f>'Book Depr'!AG166</f>
        <v>8005.303464259314</v>
      </c>
      <c r="AG50" s="73">
        <f>'Book Depr'!AH166</f>
        <v>8084.2998416965</v>
      </c>
      <c r="AH50" s="73">
        <f>'Book Depr'!AI166</f>
        <v>13737.33594869508</v>
      </c>
      <c r="AI50" s="73">
        <f>'Book Depr'!AJ166</f>
        <v>0</v>
      </c>
      <c r="AJ50" s="73">
        <f>'Book Depr'!AK166</f>
        <v>0</v>
      </c>
      <c r="AK50" s="73">
        <f>'Book Depr'!AL166</f>
        <v>0</v>
      </c>
      <c r="AL50" s="73">
        <f>'Book Depr'!AM166</f>
        <v>0</v>
      </c>
      <c r="AM50" s="73">
        <f>'Book Depr'!AN166</f>
        <v>0</v>
      </c>
      <c r="AN50" s="73">
        <f>'Book Depr'!AO166</f>
        <v>0</v>
      </c>
    </row>
    <row r="51" spans="1:40" ht="12.75">
      <c r="A51" s="91" t="s">
        <v>94</v>
      </c>
      <c r="B51" s="91"/>
      <c r="C51" s="91"/>
      <c r="D51" s="67"/>
      <c r="F51" s="67">
        <f>SUM(J51:AN51)</f>
        <v>213866.6610767182</v>
      </c>
      <c r="G51" s="67">
        <f t="shared" si="10"/>
        <v>212002.6610767182</v>
      </c>
      <c r="H51" s="67"/>
      <c r="I51" s="67"/>
      <c r="J51" s="73">
        <f>Reclamation!I9</f>
        <v>1864</v>
      </c>
      <c r="K51" s="73">
        <f>Reclamation!J9</f>
        <v>8833.444211529928</v>
      </c>
      <c r="L51" s="73">
        <f>Reclamation!K9</f>
        <v>8833.444211529928</v>
      </c>
      <c r="M51" s="73">
        <f>Reclamation!L9</f>
        <v>8833.444211529928</v>
      </c>
      <c r="N51" s="73">
        <f>Reclamation!M9</f>
        <v>8833.444211529928</v>
      </c>
      <c r="O51" s="73">
        <f>Reclamation!N9</f>
        <v>8833.444211529928</v>
      </c>
      <c r="P51" s="73">
        <f>Reclamation!O9</f>
        <v>8833.444211529928</v>
      </c>
      <c r="Q51" s="73">
        <f>Reclamation!P9</f>
        <v>8833.444211529928</v>
      </c>
      <c r="R51" s="73">
        <f>Reclamation!Q9</f>
        <v>8833.444211529928</v>
      </c>
      <c r="S51" s="73">
        <f>Reclamation!R9</f>
        <v>8833.444211529928</v>
      </c>
      <c r="T51" s="73">
        <f>Reclamation!S9</f>
        <v>8833.444211529928</v>
      </c>
      <c r="U51" s="73">
        <f>Reclamation!T9</f>
        <v>8833.444211529928</v>
      </c>
      <c r="V51" s="73">
        <f>Reclamation!U9</f>
        <v>8833.444211529928</v>
      </c>
      <c r="W51" s="73">
        <f>Reclamation!V9</f>
        <v>8833.444211529928</v>
      </c>
      <c r="X51" s="73">
        <f>Reclamation!W9</f>
        <v>8833.444211529928</v>
      </c>
      <c r="Y51" s="73">
        <f>Reclamation!X9</f>
        <v>8833.444211529928</v>
      </c>
      <c r="Z51" s="73">
        <f>Reclamation!Y9</f>
        <v>8833.444211529928</v>
      </c>
      <c r="AA51" s="73">
        <f>Reclamation!Z9</f>
        <v>8833.444211529928</v>
      </c>
      <c r="AB51" s="73">
        <f>Reclamation!AA9</f>
        <v>8833.444211529928</v>
      </c>
      <c r="AC51" s="73">
        <f>Reclamation!AB9</f>
        <v>8833.444211529928</v>
      </c>
      <c r="AD51" s="73">
        <f>Reclamation!AC9</f>
        <v>8833.444211529928</v>
      </c>
      <c r="AE51" s="73">
        <f>Reclamation!AD9</f>
        <v>8833.444211529928</v>
      </c>
      <c r="AF51" s="73">
        <f>Reclamation!AE9</f>
        <v>8833.444211529928</v>
      </c>
      <c r="AG51" s="73">
        <f>Reclamation!AF9</f>
        <v>8833.444211529928</v>
      </c>
      <c r="AH51" s="73">
        <f>Reclamation!AG9</f>
        <v>8833.444211529928</v>
      </c>
      <c r="AI51" s="73">
        <f>Reclamation!AH9</f>
        <v>0</v>
      </c>
      <c r="AJ51" s="73">
        <f>Reclamation!AI9</f>
        <v>0</v>
      </c>
      <c r="AK51" s="73">
        <f>Reclamation!AJ9</f>
        <v>0</v>
      </c>
      <c r="AL51" s="73">
        <f>Reclamation!AK9</f>
        <v>0</v>
      </c>
      <c r="AM51" s="73">
        <f>Reclamation!AL9</f>
        <v>0</v>
      </c>
      <c r="AN51" s="73">
        <f>Reclamation!AM9</f>
        <v>0</v>
      </c>
    </row>
    <row r="52" spans="1:40" ht="12.75">
      <c r="A52" s="91"/>
      <c r="B52" s="91" t="s">
        <v>95</v>
      </c>
      <c r="C52" s="91"/>
      <c r="D52" s="67"/>
      <c r="F52" s="67">
        <f>SUM(J52:AN52)</f>
        <v>387296.87083888607</v>
      </c>
      <c r="G52" s="67">
        <f t="shared" si="10"/>
        <v>380129.6063725144</v>
      </c>
      <c r="H52" s="67"/>
      <c r="I52" s="67"/>
      <c r="J52" s="102">
        <f>J50+J51</f>
        <v>7167.264466371715</v>
      </c>
      <c r="K52" s="102">
        <f aca="true" t="shared" si="14" ref="K52:AN52">K50+K51</f>
        <v>15217.76580255438</v>
      </c>
      <c r="L52" s="102">
        <f t="shared" si="14"/>
        <v>16224.303930987833</v>
      </c>
      <c r="M52" s="102">
        <f t="shared" si="14"/>
        <v>16435.838315292778</v>
      </c>
      <c r="N52" s="102">
        <f t="shared" si="14"/>
        <v>17305.12352592357</v>
      </c>
      <c r="O52" s="102">
        <f t="shared" si="14"/>
        <v>17570.29015181258</v>
      </c>
      <c r="P52" s="102">
        <f t="shared" si="14"/>
        <v>17257.78390277354</v>
      </c>
      <c r="Q52" s="102">
        <f t="shared" si="14"/>
        <v>16456.83613706885</v>
      </c>
      <c r="R52" s="102">
        <f t="shared" si="14"/>
        <v>15541.368588249894</v>
      </c>
      <c r="S52" s="102">
        <f t="shared" si="14"/>
        <v>15164.127332348817</v>
      </c>
      <c r="T52" s="102">
        <f t="shared" si="14"/>
        <v>14679.373920080758</v>
      </c>
      <c r="U52" s="102">
        <f t="shared" si="14"/>
        <v>14383.484419533605</v>
      </c>
      <c r="V52" s="102">
        <f t="shared" si="14"/>
        <v>14252.828616675135</v>
      </c>
      <c r="W52" s="102">
        <f t="shared" si="14"/>
        <v>14020.866297520024</v>
      </c>
      <c r="X52" s="102">
        <f t="shared" si="14"/>
        <v>13893.723936804588</v>
      </c>
      <c r="Y52" s="102">
        <f t="shared" si="14"/>
        <v>14049.503480201483</v>
      </c>
      <c r="Z52" s="102">
        <f t="shared" si="14"/>
        <v>14209.956420898563</v>
      </c>
      <c r="AA52" s="102">
        <f t="shared" si="14"/>
        <v>14375.222949816553</v>
      </c>
      <c r="AB52" s="102">
        <f t="shared" si="14"/>
        <v>15007.527206587725</v>
      </c>
      <c r="AC52" s="102">
        <f t="shared" si="14"/>
        <v>15355.352923176797</v>
      </c>
      <c r="AD52" s="102">
        <f t="shared" si="14"/>
        <v>15942.387500988334</v>
      </c>
      <c r="AE52" s="102">
        <f t="shared" si="14"/>
        <v>16458.669123978016</v>
      </c>
      <c r="AF52" s="102">
        <f t="shared" si="14"/>
        <v>16838.747675789244</v>
      </c>
      <c r="AG52" s="102">
        <f t="shared" si="14"/>
        <v>16917.74405322643</v>
      </c>
      <c r="AH52" s="102">
        <f t="shared" si="14"/>
        <v>22570.780160225007</v>
      </c>
      <c r="AI52" s="102">
        <f t="shared" si="14"/>
        <v>0</v>
      </c>
      <c r="AJ52" s="102">
        <f t="shared" si="14"/>
        <v>0</v>
      </c>
      <c r="AK52" s="102">
        <f t="shared" si="14"/>
        <v>0</v>
      </c>
      <c r="AL52" s="102">
        <f t="shared" si="14"/>
        <v>0</v>
      </c>
      <c r="AM52" s="102">
        <f t="shared" si="14"/>
        <v>0</v>
      </c>
      <c r="AN52" s="102">
        <f t="shared" si="14"/>
        <v>0</v>
      </c>
    </row>
    <row r="53" spans="1:34" ht="12.75">
      <c r="A53" s="91"/>
      <c r="B53" s="91"/>
      <c r="C53" s="91"/>
      <c r="D53" s="67"/>
      <c r="F53" s="67"/>
      <c r="G53" s="67">
        <f t="shared" si="10"/>
        <v>0</v>
      </c>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row>
    <row r="54" spans="1:40" ht="12.75">
      <c r="A54" s="91"/>
      <c r="B54" s="91" t="s">
        <v>96</v>
      </c>
      <c r="C54" s="91"/>
      <c r="D54" s="67"/>
      <c r="F54" s="67">
        <f>SUM(J54:AN54)</f>
        <v>-9603.523447864958</v>
      </c>
      <c r="G54" s="67">
        <f t="shared" si="10"/>
        <v>-5104.504442339858</v>
      </c>
      <c r="H54" s="67"/>
      <c r="I54" s="67"/>
      <c r="J54" s="73">
        <f>J47-J52</f>
        <v>-4499.019005525091</v>
      </c>
      <c r="K54" s="73">
        <f aca="true" t="shared" si="15" ref="K54:AN54">K47-K52</f>
        <v>-9895.838814906387</v>
      </c>
      <c r="L54" s="73">
        <f t="shared" si="15"/>
        <v>-9505.269029133506</v>
      </c>
      <c r="M54" s="73">
        <f t="shared" si="15"/>
        <v>-5126.851198347231</v>
      </c>
      <c r="N54" s="73">
        <f t="shared" si="15"/>
        <v>-5292.929259716257</v>
      </c>
      <c r="O54" s="73">
        <f t="shared" si="15"/>
        <v>-5342.220896007097</v>
      </c>
      <c r="P54" s="73">
        <f t="shared" si="15"/>
        <v>-4323.255640212123</v>
      </c>
      <c r="Q54" s="73">
        <f t="shared" si="15"/>
        <v>197.88098393238033</v>
      </c>
      <c r="R54" s="73">
        <f t="shared" si="15"/>
        <v>1433.4222318991342</v>
      </c>
      <c r="S54" s="73">
        <f t="shared" si="15"/>
        <v>1476.3982722725632</v>
      </c>
      <c r="T54" s="73">
        <f t="shared" si="15"/>
        <v>2101.0624324009004</v>
      </c>
      <c r="U54" s="73">
        <f t="shared" si="15"/>
        <v>4327.62431489598</v>
      </c>
      <c r="V54" s="73">
        <f t="shared" si="15"/>
        <v>6352.491949953586</v>
      </c>
      <c r="W54" s="73">
        <f t="shared" si="15"/>
        <v>7272.201296222178</v>
      </c>
      <c r="X54" s="73">
        <f t="shared" si="15"/>
        <v>4445.567146944661</v>
      </c>
      <c r="Y54" s="73">
        <f t="shared" si="15"/>
        <v>-784.463979142849</v>
      </c>
      <c r="Z54" s="73">
        <f t="shared" si="15"/>
        <v>748.6667734897692</v>
      </c>
      <c r="AA54" s="73">
        <f t="shared" si="15"/>
        <v>-8153.709717221162</v>
      </c>
      <c r="AB54" s="73">
        <f t="shared" si="15"/>
        <v>-3343.274441710597</v>
      </c>
      <c r="AC54" s="73">
        <f t="shared" si="15"/>
        <v>-9088.456605587888</v>
      </c>
      <c r="AD54" s="73">
        <f t="shared" si="15"/>
        <v>-9487.652235146088</v>
      </c>
      <c r="AE54" s="73">
        <f t="shared" si="15"/>
        <v>-7323.720274175021</v>
      </c>
      <c r="AF54" s="73">
        <f t="shared" si="15"/>
        <v>-10944.308023164958</v>
      </c>
      <c r="AG54" s="73">
        <f t="shared" si="15"/>
        <v>-3153.9308395093612</v>
      </c>
      <c r="AH54" s="73">
        <f t="shared" si="15"/>
        <v>-3293.457730227212</v>
      </c>
      <c r="AI54" s="73">
        <f t="shared" si="15"/>
        <v>7856.901681027448</v>
      </c>
      <c r="AJ54" s="73">
        <f t="shared" si="15"/>
        <v>102.43808520833257</v>
      </c>
      <c r="AK54" s="73">
        <f t="shared" si="15"/>
        <v>105.51122776458253</v>
      </c>
      <c r="AL54" s="73">
        <f t="shared" si="15"/>
        <v>108.67656459752001</v>
      </c>
      <c r="AM54" s="73">
        <f t="shared" si="15"/>
        <v>15335.350030356047</v>
      </c>
      <c r="AN54" s="73">
        <f t="shared" si="15"/>
        <v>38090.641250902794</v>
      </c>
    </row>
    <row r="55" spans="1:40" ht="12.75">
      <c r="A55" s="91"/>
      <c r="B55" s="91"/>
      <c r="C55" s="91"/>
      <c r="D55" s="67"/>
      <c r="F55" s="67"/>
      <c r="G55" s="67">
        <f t="shared" si="10"/>
        <v>11.391299999999998</v>
      </c>
      <c r="H55" s="67"/>
      <c r="I55" s="67"/>
      <c r="J55" s="804">
        <f>Inputs!G79</f>
        <v>0.37971</v>
      </c>
      <c r="K55" s="804">
        <f aca="true" t="shared" si="16" ref="K55:AN55">J55</f>
        <v>0.37971</v>
      </c>
      <c r="L55" s="804">
        <f t="shared" si="16"/>
        <v>0.37971</v>
      </c>
      <c r="M55" s="804">
        <f t="shared" si="16"/>
        <v>0.37971</v>
      </c>
      <c r="N55" s="804">
        <f t="shared" si="16"/>
        <v>0.37971</v>
      </c>
      <c r="O55" s="804">
        <f t="shared" si="16"/>
        <v>0.37971</v>
      </c>
      <c r="P55" s="804">
        <f t="shared" si="16"/>
        <v>0.37971</v>
      </c>
      <c r="Q55" s="804">
        <f t="shared" si="16"/>
        <v>0.37971</v>
      </c>
      <c r="R55" s="804">
        <f t="shared" si="16"/>
        <v>0.37971</v>
      </c>
      <c r="S55" s="804">
        <f t="shared" si="16"/>
        <v>0.37971</v>
      </c>
      <c r="T55" s="804">
        <f t="shared" si="16"/>
        <v>0.37971</v>
      </c>
      <c r="U55" s="804">
        <f t="shared" si="16"/>
        <v>0.37971</v>
      </c>
      <c r="V55" s="804">
        <f t="shared" si="16"/>
        <v>0.37971</v>
      </c>
      <c r="W55" s="804">
        <f t="shared" si="16"/>
        <v>0.37971</v>
      </c>
      <c r="X55" s="804">
        <f t="shared" si="16"/>
        <v>0.37971</v>
      </c>
      <c r="Y55" s="804">
        <f t="shared" si="16"/>
        <v>0.37971</v>
      </c>
      <c r="Z55" s="804">
        <f t="shared" si="16"/>
        <v>0.37971</v>
      </c>
      <c r="AA55" s="804">
        <f t="shared" si="16"/>
        <v>0.37971</v>
      </c>
      <c r="AB55" s="804">
        <f t="shared" si="16"/>
        <v>0.37971</v>
      </c>
      <c r="AC55" s="804">
        <f t="shared" si="16"/>
        <v>0.37971</v>
      </c>
      <c r="AD55" s="804">
        <f t="shared" si="16"/>
        <v>0.37971</v>
      </c>
      <c r="AE55" s="804">
        <f t="shared" si="16"/>
        <v>0.37971</v>
      </c>
      <c r="AF55" s="804">
        <f t="shared" si="16"/>
        <v>0.37971</v>
      </c>
      <c r="AG55" s="804">
        <f t="shared" si="16"/>
        <v>0.37971</v>
      </c>
      <c r="AH55" s="804">
        <f t="shared" si="16"/>
        <v>0.37971</v>
      </c>
      <c r="AI55" s="804">
        <f t="shared" si="16"/>
        <v>0.37971</v>
      </c>
      <c r="AJ55" s="804">
        <f t="shared" si="16"/>
        <v>0.37971</v>
      </c>
      <c r="AK55" s="804">
        <f t="shared" si="16"/>
        <v>0.37971</v>
      </c>
      <c r="AL55" s="804">
        <f t="shared" si="16"/>
        <v>0.37971</v>
      </c>
      <c r="AM55" s="804">
        <f t="shared" si="16"/>
        <v>0.37971</v>
      </c>
      <c r="AN55" s="804">
        <f t="shared" si="16"/>
        <v>0.37971</v>
      </c>
    </row>
    <row r="56" spans="1:40" ht="12.75">
      <c r="A56" s="91" t="s">
        <v>97</v>
      </c>
      <c r="B56" s="91"/>
      <c r="C56" s="91"/>
      <c r="D56" s="67"/>
      <c r="F56" s="67">
        <f>SUM(J56:AN56)</f>
        <v>-3646.553888388802</v>
      </c>
      <c r="G56" s="67">
        <f t="shared" si="10"/>
        <v>-1938.231381800868</v>
      </c>
      <c r="H56" s="67"/>
      <c r="I56" s="67"/>
      <c r="J56" s="102">
        <f>J54*J55</f>
        <v>-1708.3225065879324</v>
      </c>
      <c r="K56" s="102">
        <f aca="true" t="shared" si="17" ref="K56:AN56">K54*K55</f>
        <v>-3757.548956408104</v>
      </c>
      <c r="L56" s="102">
        <f t="shared" si="17"/>
        <v>-3609.2457030522833</v>
      </c>
      <c r="M56" s="102">
        <f t="shared" si="17"/>
        <v>-1946.716668524427</v>
      </c>
      <c r="N56" s="102">
        <f t="shared" si="17"/>
        <v>-2009.7781692068597</v>
      </c>
      <c r="O56" s="102">
        <f t="shared" si="17"/>
        <v>-2028.4946964228545</v>
      </c>
      <c r="P56" s="102">
        <f t="shared" si="17"/>
        <v>-1641.5833991449451</v>
      </c>
      <c r="Q56" s="102">
        <f t="shared" si="17"/>
        <v>75.13738840896413</v>
      </c>
      <c r="R56" s="102">
        <f t="shared" si="17"/>
        <v>544.2847556744202</v>
      </c>
      <c r="S56" s="102">
        <f t="shared" si="17"/>
        <v>560.6031879646149</v>
      </c>
      <c r="T56" s="102">
        <f t="shared" si="17"/>
        <v>797.7944162069459</v>
      </c>
      <c r="U56" s="102">
        <f t="shared" si="17"/>
        <v>1643.2422286091526</v>
      </c>
      <c r="V56" s="102">
        <f t="shared" si="17"/>
        <v>2412.104718316876</v>
      </c>
      <c r="W56" s="102">
        <f t="shared" si="17"/>
        <v>2761.327554188523</v>
      </c>
      <c r="X56" s="102">
        <f t="shared" si="17"/>
        <v>1688.026301366357</v>
      </c>
      <c r="Y56" s="102">
        <f t="shared" si="17"/>
        <v>-297.86881752033116</v>
      </c>
      <c r="Z56" s="102">
        <f t="shared" si="17"/>
        <v>284.27626056180026</v>
      </c>
      <c r="AA56" s="102">
        <f t="shared" si="17"/>
        <v>-3096.045116726047</v>
      </c>
      <c r="AB56" s="102">
        <f t="shared" si="17"/>
        <v>-1269.4747382619307</v>
      </c>
      <c r="AC56" s="102">
        <f t="shared" si="17"/>
        <v>-3450.977857707777</v>
      </c>
      <c r="AD56" s="102">
        <f t="shared" si="17"/>
        <v>-3602.5564302073212</v>
      </c>
      <c r="AE56" s="102">
        <f t="shared" si="17"/>
        <v>-2780.889825306997</v>
      </c>
      <c r="AF56" s="102">
        <f t="shared" si="17"/>
        <v>-4155.663199475966</v>
      </c>
      <c r="AG56" s="102">
        <f t="shared" si="17"/>
        <v>-1197.5790790700996</v>
      </c>
      <c r="AH56" s="102">
        <f t="shared" si="17"/>
        <v>-1250.5588347445746</v>
      </c>
      <c r="AI56" s="102">
        <f t="shared" si="17"/>
        <v>2983.3441373029323</v>
      </c>
      <c r="AJ56" s="102">
        <f t="shared" si="17"/>
        <v>38.89676533445596</v>
      </c>
      <c r="AK56" s="102">
        <f t="shared" si="17"/>
        <v>40.06366829448963</v>
      </c>
      <c r="AL56" s="102">
        <f t="shared" si="17"/>
        <v>41.26557834332432</v>
      </c>
      <c r="AM56" s="102">
        <f t="shared" si="17"/>
        <v>5822.985760026494</v>
      </c>
      <c r="AN56" s="102">
        <f t="shared" si="17"/>
        <v>14463.3973893803</v>
      </c>
    </row>
    <row r="57" spans="1:40" ht="12.75">
      <c r="A57" s="91" t="s">
        <v>783</v>
      </c>
      <c r="B57" s="91"/>
      <c r="C57" s="91"/>
      <c r="D57" s="67"/>
      <c r="F57" s="67">
        <f>SUM(J57:AN57)</f>
        <v>2849.0130051312203</v>
      </c>
      <c r="G57" s="67">
        <f t="shared" si="10"/>
        <v>2761.8939878904353</v>
      </c>
      <c r="H57" s="67"/>
      <c r="I57" s="67"/>
      <c r="J57" s="76">
        <f>IF(SUM($J$50:$AN$50)*J50=0,0,('Keep RevReq'!$F$30-SUM($J$56:$AN$56))/SUM($J$50:$AN$50)*J50)</f>
        <v>87.11901724078517</v>
      </c>
      <c r="K57" s="76">
        <f>IF(SUM($J$50:$AN$50)*K50=0,0,('Keep RevReq'!$F$30-SUM($J$56:$AN$56))/SUM($J$50:$AN$50)*K50)</f>
        <v>104.8780098156605</v>
      </c>
      <c r="L57" s="76">
        <f>IF(SUM($J$50:$AN$50)*L50=0,0,('Keep RevReq'!$F$30-SUM($J$56:$AN$56))/SUM($J$50:$AN$50)*L50)</f>
        <v>121.41284663561164</v>
      </c>
      <c r="M57" s="76">
        <f>IF(SUM($J$50:$AN$50)*M50=0,0,('Keep RevReq'!$F$30-SUM($J$56:$AN$56))/SUM($J$50:$AN$50)*M50)</f>
        <v>124.88781338300629</v>
      </c>
      <c r="N57" s="76">
        <f>IF(SUM($J$50:$AN$50)*N50=0,0,('Keep RevReq'!$F$30-SUM($J$56:$AN$56))/SUM($J$50:$AN$50)*N50)</f>
        <v>139.1679372071753</v>
      </c>
      <c r="O57" s="76">
        <f>IF(SUM($J$50:$AN$50)*O50=0,0,('Keep RevReq'!$F$30-SUM($J$56:$AN$56))/SUM($J$50:$AN$50)*O50)</f>
        <v>143.52394396470933</v>
      </c>
      <c r="P57" s="76">
        <f>IF(SUM($J$50:$AN$50)*P50=0,0,('Keep RevReq'!$F$30-SUM($J$56:$AN$56))/SUM($J$50:$AN$50)*P50)</f>
        <v>138.39026875946138</v>
      </c>
      <c r="Q57" s="76">
        <f>IF(SUM($J$50:$AN$50)*Q50=0,0,('Keep RevReq'!$F$30-SUM($J$56:$AN$56))/SUM($J$50:$AN$50)*Q50)</f>
        <v>125.23275367571253</v>
      </c>
      <c r="R57" s="76">
        <f>IF(SUM($J$50:$AN$50)*R50=0,0,('Keep RevReq'!$F$30-SUM($J$56:$AN$56))/SUM($J$50:$AN$50)*R50)</f>
        <v>110.19397262402886</v>
      </c>
      <c r="S57" s="76">
        <f>IF(SUM($J$50:$AN$50)*S50=0,0,('Keep RevReq'!$F$30-SUM($J$56:$AN$56))/SUM($J$50:$AN$50)*S50)</f>
        <v>103.99686748526399</v>
      </c>
      <c r="T57" s="76">
        <f>IF(SUM($J$50:$AN$50)*T50=0,0,('Keep RevReq'!$F$30-SUM($J$56:$AN$56))/SUM($J$50:$AN$50)*T50)</f>
        <v>96.03361369154861</v>
      </c>
      <c r="U57" s="76">
        <f>IF(SUM($J$50:$AN$50)*U50=0,0,('Keep RevReq'!$F$30-SUM($J$56:$AN$56))/SUM($J$50:$AN$50)*U50)</f>
        <v>91.17290899484871</v>
      </c>
      <c r="V57" s="76">
        <f>IF(SUM($J$50:$AN$50)*V50=0,0,('Keep RevReq'!$F$30-SUM($J$56:$AN$56))/SUM($J$50:$AN$50)*V50)</f>
        <v>89.02656965725517</v>
      </c>
      <c r="W57" s="76">
        <f>IF(SUM($J$50:$AN$50)*W50=0,0,('Keep RevReq'!$F$30-SUM($J$56:$AN$56))/SUM($J$50:$AN$50)*W50)</f>
        <v>85.21602439596774</v>
      </c>
      <c r="X57" s="76">
        <f>IF(SUM($J$50:$AN$50)*X50=0,0,('Keep RevReq'!$F$30-SUM($J$56:$AN$56))/SUM($J$50:$AN$50)*X50)</f>
        <v>83.1274018908223</v>
      </c>
      <c r="Y57" s="76">
        <f>IF(SUM($J$50:$AN$50)*Y50=0,0,('Keep RevReq'!$F$30-SUM($J$56:$AN$56))/SUM($J$50:$AN$50)*Y50)</f>
        <v>85.68645977168275</v>
      </c>
      <c r="Z57" s="76">
        <f>IF(SUM($J$50:$AN$50)*Z50=0,0,('Keep RevReq'!$F$30-SUM($J$56:$AN$56))/SUM($J$50:$AN$50)*Z50)</f>
        <v>88.32228956964248</v>
      </c>
      <c r="AA57" s="76">
        <f>IF(SUM($J$50:$AN$50)*AA50=0,0,('Keep RevReq'!$F$30-SUM($J$56:$AN$56))/SUM($J$50:$AN$50)*AA50)</f>
        <v>91.03719426154095</v>
      </c>
      <c r="AB57" s="76">
        <f>IF(SUM($J$50:$AN$50)*AB50=0,0,('Keep RevReq'!$F$30-SUM($J$56:$AN$56))/SUM($J$50:$AN$50)*AB50)</f>
        <v>101.4243295432851</v>
      </c>
      <c r="AC57" s="76">
        <f>IF(SUM($J$50:$AN$50)*AC50=0,0,('Keep RevReq'!$F$30-SUM($J$56:$AN$56))/SUM($J$50:$AN$50)*AC50)</f>
        <v>107.13821290559144</v>
      </c>
      <c r="AD57" s="76">
        <f>IF(SUM($J$50:$AN$50)*AD50=0,0,('Keep RevReq'!$F$30-SUM($J$56:$AN$56))/SUM($J$50:$AN$50)*AD50)</f>
        <v>116.78168360738158</v>
      </c>
      <c r="AE57" s="76">
        <f>IF(SUM($J$50:$AN$50)*AE50=0,0,('Keep RevReq'!$F$30-SUM($J$56:$AN$56))/SUM($J$50:$AN$50)*AE50)</f>
        <v>125.26286494381053</v>
      </c>
      <c r="AF57" s="76">
        <f>IF(SUM($J$50:$AN$50)*AF50=0,0,('Keep RevReq'!$F$30-SUM($J$56:$AN$56))/SUM($J$50:$AN$50)*AF50)</f>
        <v>131.50657956865345</v>
      </c>
      <c r="AG57" s="76">
        <f>IF(SUM($J$50:$AN$50)*AG50=0,0,('Keep RevReq'!$F$30-SUM($J$56:$AN$56))/SUM($J$50:$AN$50)*AG50)</f>
        <v>132.8042871997832</v>
      </c>
      <c r="AH57" s="76">
        <f>IF(SUM($J$50:$AN$50)*AH50=0,0,('Keep RevReq'!$F$30-SUM($J$56:$AN$56))/SUM($J$50:$AN$50)*AH50)</f>
        <v>225.66915433799147</v>
      </c>
      <c r="AI57" s="76">
        <f>IF(SUM($J$50:$AN$50)*AI50=0,0,('Keep RevReq'!$F$30-SUM($J$56:$AN$56))/SUM($J$50:$AN$50)*AI50)</f>
        <v>0</v>
      </c>
      <c r="AJ57" s="76">
        <f>IF(SUM($J$50:$AN$50)*AJ50=0,0,('Keep RevReq'!$F$30-SUM($J$56:$AN$56))/SUM($J$50:$AN$50)*AJ50)</f>
        <v>0</v>
      </c>
      <c r="AK57" s="76">
        <f>IF(SUM($J$50:$AN$50)*AK50=0,0,('Keep RevReq'!$F$30-SUM($J$56:$AN$56))/SUM($J$50:$AN$50)*AK50)</f>
        <v>0</v>
      </c>
      <c r="AL57" s="76">
        <f>IF(SUM($J$50:$AN$50)*AL50=0,0,('Keep RevReq'!$F$30-SUM($J$56:$AN$56))/SUM($J$50:$AN$50)*AL50)</f>
        <v>0</v>
      </c>
      <c r="AM57" s="76">
        <f>IF(SUM($J$50:$AN$50)*AM50=0,0,('Keep RevReq'!$F$30-SUM($J$56:$AN$56))/SUM($J$50:$AN$50)*AM50)</f>
        <v>0</v>
      </c>
      <c r="AN57" s="76">
        <f>IF(SUM($J$50:$AN$50)*AN50=0,0,('Keep RevReq'!$F$30-SUM($J$56:$AN$56))/SUM($J$50:$AN$50)*AN50)</f>
        <v>0</v>
      </c>
    </row>
    <row r="58" spans="1:40" ht="12.75">
      <c r="A58" s="91" t="s">
        <v>98</v>
      </c>
      <c r="B58" s="91"/>
      <c r="C58" s="91"/>
      <c r="D58" s="67"/>
      <c r="F58" s="67">
        <f>SUM(J58:AN58)</f>
        <v>-797.5408832575831</v>
      </c>
      <c r="G58" s="833">
        <f t="shared" si="10"/>
        <v>823.6626060895669</v>
      </c>
      <c r="H58" s="67"/>
      <c r="I58" s="67"/>
      <c r="J58" s="73">
        <f>J56+J57</f>
        <v>-1621.2034893471473</v>
      </c>
      <c r="K58" s="73">
        <f aca="true" t="shared" si="18" ref="K58:AN58">K56+K57</f>
        <v>-3652.6709465924437</v>
      </c>
      <c r="L58" s="73">
        <f t="shared" si="18"/>
        <v>-3487.832856416672</v>
      </c>
      <c r="M58" s="73">
        <f t="shared" si="18"/>
        <v>-1821.8288551414207</v>
      </c>
      <c r="N58" s="73">
        <f t="shared" si="18"/>
        <v>-1870.6102319996844</v>
      </c>
      <c r="O58" s="73">
        <f t="shared" si="18"/>
        <v>-1884.9707524581452</v>
      </c>
      <c r="P58" s="73">
        <f t="shared" si="18"/>
        <v>-1503.1931303854838</v>
      </c>
      <c r="Q58" s="73">
        <f t="shared" si="18"/>
        <v>200.37014208467667</v>
      </c>
      <c r="R58" s="73">
        <f t="shared" si="18"/>
        <v>654.4787282984491</v>
      </c>
      <c r="S58" s="73">
        <f t="shared" si="18"/>
        <v>664.6000554498789</v>
      </c>
      <c r="T58" s="73">
        <f t="shared" si="18"/>
        <v>893.8280298984945</v>
      </c>
      <c r="U58" s="73">
        <f t="shared" si="18"/>
        <v>1734.4151376040013</v>
      </c>
      <c r="V58" s="73">
        <f t="shared" si="18"/>
        <v>2501.1312879741313</v>
      </c>
      <c r="W58" s="73">
        <f t="shared" si="18"/>
        <v>2846.543578584491</v>
      </c>
      <c r="X58" s="73">
        <f t="shared" si="18"/>
        <v>1771.1537032571794</v>
      </c>
      <c r="Y58" s="73">
        <f t="shared" si="18"/>
        <v>-212.18235774864843</v>
      </c>
      <c r="Z58" s="73">
        <f t="shared" si="18"/>
        <v>372.5985501314427</v>
      </c>
      <c r="AA58" s="73">
        <f t="shared" si="18"/>
        <v>-3005.007922464506</v>
      </c>
      <c r="AB58" s="73">
        <f t="shared" si="18"/>
        <v>-1168.0504087186457</v>
      </c>
      <c r="AC58" s="73">
        <f t="shared" si="18"/>
        <v>-3343.8396448021854</v>
      </c>
      <c r="AD58" s="73">
        <f t="shared" si="18"/>
        <v>-3485.7747465999396</v>
      </c>
      <c r="AE58" s="73">
        <f t="shared" si="18"/>
        <v>-2655.6269603631863</v>
      </c>
      <c r="AF58" s="73">
        <f t="shared" si="18"/>
        <v>-4024.156619907313</v>
      </c>
      <c r="AG58" s="73">
        <f t="shared" si="18"/>
        <v>-1064.7747918703164</v>
      </c>
      <c r="AH58" s="73">
        <f t="shared" si="18"/>
        <v>-1024.889680406583</v>
      </c>
      <c r="AI58" s="73">
        <f t="shared" si="18"/>
        <v>2983.3441373029323</v>
      </c>
      <c r="AJ58" s="73">
        <f t="shared" si="18"/>
        <v>38.89676533445596</v>
      </c>
      <c r="AK58" s="73">
        <f t="shared" si="18"/>
        <v>40.06366829448963</v>
      </c>
      <c r="AL58" s="73">
        <f t="shared" si="18"/>
        <v>41.26557834332432</v>
      </c>
      <c r="AM58" s="73">
        <f t="shared" si="18"/>
        <v>5822.985760026494</v>
      </c>
      <c r="AN58" s="73">
        <f t="shared" si="18"/>
        <v>14463.3973893803</v>
      </c>
    </row>
    <row r="59" spans="1:34" ht="12.75">
      <c r="A59" s="91"/>
      <c r="B59" s="91"/>
      <c r="C59" s="91"/>
      <c r="D59" s="67"/>
      <c r="F59" s="67"/>
      <c r="G59" s="67">
        <f t="shared" si="10"/>
        <v>0</v>
      </c>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row>
    <row r="60" spans="1:40" ht="12.75">
      <c r="A60" s="91" t="s">
        <v>99</v>
      </c>
      <c r="B60" s="91"/>
      <c r="C60" s="91"/>
      <c r="D60" s="67"/>
      <c r="F60" s="67">
        <f>SUM(J60:AN60)</f>
        <v>134006.6782596198</v>
      </c>
      <c r="G60" s="67">
        <f t="shared" si="10"/>
        <v>129948.21209961976</v>
      </c>
      <c r="H60" s="67"/>
      <c r="I60" s="67"/>
      <c r="J60" s="66">
        <f>Inputs!G25</f>
        <v>4058.46616</v>
      </c>
      <c r="K60" s="66">
        <f>Capex!E120*Inputs!$G$7</f>
        <v>7581.907249999999</v>
      </c>
      <c r="L60" s="66">
        <f>Capex!E119*Inputs!$G$7</f>
        <v>7471.229114999999</v>
      </c>
      <c r="M60" s="66">
        <f>Capex!E118*Inputs!$G$7</f>
        <v>8291.749066875</v>
      </c>
      <c r="N60" s="66">
        <f>Capex!E117*Inputs!$G$7</f>
        <v>6217.592043642499</v>
      </c>
      <c r="O60" s="66">
        <f>Capex!$E$148*Inputs!N9*Inputs!$G$7*Inputs!N57</f>
        <v>4405.2414823399995</v>
      </c>
      <c r="P60" s="66">
        <f>Capex!$E$148*Inputs!O9*Inputs!$G$7*Inputs!O57</f>
        <v>4537.398726810199</v>
      </c>
      <c r="Q60" s="66">
        <f>Capex!$E$148*Inputs!P9*Inputs!$G$7*Inputs!P57</f>
        <v>4673.520688614506</v>
      </c>
      <c r="R60" s="66">
        <f>Capex!$E$148*Inputs!Q9*Inputs!$G$7*Inputs!Q57</f>
        <v>4813.72630927294</v>
      </c>
      <c r="S60" s="66">
        <f>Capex!$E$148*Inputs!R9*Inputs!$G$7*Inputs!R57</f>
        <v>4958.138098551129</v>
      </c>
      <c r="T60" s="66">
        <f>Capex!$E$148*Inputs!S9*Inputs!$G$7*Inputs!S57</f>
        <v>5106.882241507663</v>
      </c>
      <c r="U60" s="66">
        <f>Capex!$E$148*Inputs!T9*Inputs!$G$7*Inputs!T57</f>
        <v>5260.088708752893</v>
      </c>
      <c r="V60" s="66">
        <f>Capex!$E$148*Inputs!U9*Inputs!$G$7*Inputs!U57</f>
        <v>5417.891370015479</v>
      </c>
      <c r="W60" s="66">
        <f>Capex!$E$148*Inputs!V9*Inputs!$G$7*Inputs!V57</f>
        <v>5580.428111115943</v>
      </c>
      <c r="X60" s="66">
        <f>Capex!$E$148*Inputs!W9*Inputs!$G$7*Inputs!W57</f>
        <v>5747.840954449422</v>
      </c>
      <c r="Y60" s="66">
        <f>Capex!$E$148*Inputs!X9*Inputs!$G$7*Inputs!X57</f>
        <v>5920.276183082904</v>
      </c>
      <c r="Z60" s="66">
        <f>Capex!$E$148*Inputs!Y9*Inputs!$G$7*Inputs!Y57</f>
        <v>6097.88446857539</v>
      </c>
      <c r="AA60" s="66">
        <f>Capex!$E$148*Inputs!Z9*Inputs!$G$7*Inputs!Z57</f>
        <v>6280.821002632652</v>
      </c>
      <c r="AB60" s="66">
        <f>Capex!$E$148*Inputs!AA9*Inputs!$G$7*Inputs!AA57</f>
        <v>6469.245632711632</v>
      </c>
      <c r="AC60" s="66">
        <f>Capex!$E$148*Inputs!AB9*Inputs!$G$7*Inputs!AB57</f>
        <v>6663.32300169298</v>
      </c>
      <c r="AD60" s="66">
        <f>Capex!$E$148*Inputs!AC9*Inputs!$G$7*Inputs!AC57</f>
        <v>6863.22269174377</v>
      </c>
      <c r="AE60" s="66">
        <f>Capex!$E$148*Inputs!AD9*Inputs!$G$7*Inputs!AD57</f>
        <v>5301.839529372061</v>
      </c>
      <c r="AF60" s="66">
        <f>Capex!$E$148*Inputs!AE9*Inputs!$G$7*Inputs!AE57</f>
        <v>3640.596476835483</v>
      </c>
      <c r="AG60" s="66">
        <f>Capex!$E$148*Inputs!AF9*Inputs!$G$7*Inputs!AF57</f>
        <v>1874.9071855702737</v>
      </c>
      <c r="AH60" s="66">
        <f>Capex!$E$148*Inputs!AG9*Inputs!$G$7*Inputs!AG57</f>
        <v>772.4617604549526</v>
      </c>
      <c r="AI60" s="66">
        <f>Capex!$E$148*Inputs!AH9*Inputs!$G$7*Inputs!AH57</f>
        <v>0</v>
      </c>
      <c r="AJ60" s="66">
        <f>Capex!$E$148*Inputs!AI9*Inputs!$G$7*Inputs!AI57</f>
        <v>0</v>
      </c>
      <c r="AK60" s="66">
        <f>Capex!$E$148*Inputs!AJ9*Inputs!$G$7*Inputs!AJ57</f>
        <v>0</v>
      </c>
      <c r="AL60" s="66">
        <f>Capex!$E$148*Inputs!AK9*Inputs!$G$7*Inputs!AK57</f>
        <v>0</v>
      </c>
      <c r="AM60" s="66">
        <f>Capex!$E$148*Inputs!AL9*Inputs!$G$7*Inputs!AL57</f>
        <v>0</v>
      </c>
      <c r="AN60" s="66">
        <f>Capex!$E$148*Inputs!AM9*Inputs!$G$7*Inputs!AM57</f>
        <v>0</v>
      </c>
    </row>
    <row r="61" spans="1:40" ht="12.75">
      <c r="A61" s="91"/>
      <c r="B61" s="91"/>
      <c r="C61" s="91"/>
      <c r="D61" s="67"/>
      <c r="F61" s="67"/>
      <c r="G61" s="67">
        <f t="shared" si="10"/>
        <v>0</v>
      </c>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row>
    <row r="62" spans="1:40" ht="12.75">
      <c r="A62" s="91" t="s">
        <v>100</v>
      </c>
      <c r="B62" s="91"/>
      <c r="C62" s="91"/>
      <c r="D62" s="67"/>
      <c r="F62" s="67">
        <f>SUM(J62:AN62)</f>
        <v>2033.2178112798879</v>
      </c>
      <c r="G62" s="67">
        <f t="shared" si="10"/>
        <v>2033.2178112798879</v>
      </c>
      <c r="H62" s="67"/>
      <c r="I62" s="67"/>
      <c r="J62" s="66"/>
      <c r="K62" s="66">
        <f>Depletion!L35*Inputs!$G$7</f>
        <v>1202.1567700788164</v>
      </c>
      <c r="L62" s="66">
        <f>Depletion!M35*Inputs!$G$7</f>
        <v>831.0610412010714</v>
      </c>
      <c r="M62" s="66">
        <f>Depletion!N35*Inputs!$G$7</f>
        <v>0</v>
      </c>
      <c r="N62" s="66">
        <f>Depletion!O35*Inputs!$G$7</f>
        <v>0</v>
      </c>
      <c r="O62" s="66">
        <f>Depletion!P35*Inputs!$G$7</f>
        <v>0</v>
      </c>
      <c r="P62" s="66">
        <f>Depletion!Q35*Inputs!$G$7</f>
        <v>0</v>
      </c>
      <c r="Q62" s="66">
        <f>Depletion!R35*Inputs!$G$7</f>
        <v>0</v>
      </c>
      <c r="R62" s="66">
        <f>Depletion!S35*Inputs!$G$7</f>
        <v>0</v>
      </c>
      <c r="S62" s="66">
        <f>Depletion!T35*Inputs!$G$7</f>
        <v>0</v>
      </c>
      <c r="T62" s="66">
        <f>Depletion!U35*Inputs!$G$7</f>
        <v>0</v>
      </c>
      <c r="U62" s="66">
        <f>Depletion!V35*Inputs!$G$7</f>
        <v>0</v>
      </c>
      <c r="V62" s="66">
        <f>Depletion!W35*Inputs!$G$7</f>
        <v>0</v>
      </c>
      <c r="W62" s="66">
        <f>Depletion!X35*Inputs!$G$7</f>
        <v>0</v>
      </c>
      <c r="X62" s="66">
        <f>Depletion!Y35*Inputs!$G$7</f>
        <v>0</v>
      </c>
      <c r="Y62" s="66">
        <f>Depletion!Z35*Inputs!$G$7</f>
        <v>0</v>
      </c>
      <c r="Z62" s="66">
        <f>Depletion!AA35*Inputs!$G$7</f>
        <v>0</v>
      </c>
      <c r="AA62" s="66">
        <f>Depletion!AB35*Inputs!$G$7</f>
        <v>0</v>
      </c>
      <c r="AB62" s="66">
        <f>Depletion!AC35*Inputs!$G$7</f>
        <v>0</v>
      </c>
      <c r="AC62" s="66">
        <f>Depletion!AD35*Inputs!$G$7</f>
        <v>0</v>
      </c>
      <c r="AD62" s="66">
        <f>Depletion!AE35*Inputs!$G$7</f>
        <v>0</v>
      </c>
      <c r="AE62" s="66">
        <f>Depletion!AF35*Inputs!$G$7</f>
        <v>0</v>
      </c>
      <c r="AF62" s="66">
        <f>Depletion!AG35*Inputs!$G$7</f>
        <v>0</v>
      </c>
      <c r="AG62" s="66">
        <f>Depletion!AH35*Inputs!$G$7</f>
        <v>0</v>
      </c>
      <c r="AH62" s="66">
        <f>Depletion!AI35*Inputs!$G$7</f>
        <v>0</v>
      </c>
      <c r="AI62" s="66">
        <f>Depletion!AJ35*Inputs!$G$7</f>
        <v>0</v>
      </c>
      <c r="AJ62" s="66">
        <f>Depletion!AK35*Inputs!$G$7</f>
        <v>0</v>
      </c>
      <c r="AK62" s="66">
        <f>Depletion!AL35*Inputs!$G$7</f>
        <v>0</v>
      </c>
      <c r="AL62" s="66">
        <f>Depletion!AM35*Inputs!$G$7</f>
        <v>0</v>
      </c>
      <c r="AM62" s="66">
        <f>Depletion!AN35*Inputs!$G$7</f>
        <v>0</v>
      </c>
      <c r="AN62" s="66">
        <f>Depletion!AO35*Inputs!$G$7</f>
        <v>0</v>
      </c>
    </row>
    <row r="63" spans="1:34" ht="12.75">
      <c r="A63" s="91"/>
      <c r="B63" s="91"/>
      <c r="C63" s="91"/>
      <c r="D63" s="67"/>
      <c r="F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row>
    <row r="64" spans="1:34" ht="12.75">
      <c r="A64" s="91"/>
      <c r="B64" s="91"/>
      <c r="C64" s="91"/>
      <c r="D64" s="91"/>
      <c r="F64" s="91"/>
      <c r="H64" s="67"/>
      <c r="I64" s="93"/>
      <c r="J64" s="94"/>
      <c r="K64" s="94"/>
      <c r="L64" s="95"/>
      <c r="M64" s="58"/>
      <c r="N64" s="96"/>
      <c r="O64" s="95"/>
      <c r="P64" s="91"/>
      <c r="Q64" s="93"/>
      <c r="R64" s="93"/>
      <c r="S64" s="93"/>
      <c r="T64" s="93"/>
      <c r="U64" s="93"/>
      <c r="V64" s="93"/>
      <c r="W64" s="93"/>
      <c r="X64" s="93"/>
      <c r="Y64" s="93"/>
      <c r="Z64" s="93"/>
      <c r="AA64" s="93"/>
      <c r="AB64" s="93"/>
      <c r="AC64" s="93"/>
      <c r="AD64" s="93"/>
      <c r="AE64" s="93"/>
      <c r="AF64" s="93"/>
      <c r="AG64" s="93"/>
      <c r="AH64" s="93"/>
    </row>
    <row r="65" spans="1:34" ht="12.75">
      <c r="A65" s="91" t="s">
        <v>101</v>
      </c>
      <c r="B65" s="91"/>
      <c r="C65" s="91"/>
      <c r="D65" s="91"/>
      <c r="F65" s="97">
        <f>'PPW PPE'!F29/1000</f>
        <v>38709.08834</v>
      </c>
      <c r="H65" s="67"/>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row>
    <row r="66" spans="1:34" ht="12.75">
      <c r="A66" s="91" t="s">
        <v>102</v>
      </c>
      <c r="B66" s="91"/>
      <c r="C66" s="91"/>
      <c r="D66" s="570"/>
      <c r="F66" s="98">
        <f>'PPW PPE'!F39/1000</f>
        <v>75173.87089</v>
      </c>
      <c r="H66" s="67"/>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row>
    <row r="67" spans="1:34" ht="12.75">
      <c r="A67" s="91"/>
      <c r="B67" s="91" t="s">
        <v>103</v>
      </c>
      <c r="C67" s="91"/>
      <c r="D67" s="91"/>
      <c r="F67" s="99">
        <f>F65/F66</f>
        <v>0.514927432653322</v>
      </c>
      <c r="H67" s="67"/>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row>
    <row r="68" spans="1:34" ht="12.75">
      <c r="A68" s="122"/>
      <c r="B68" s="58"/>
      <c r="C68" s="58"/>
      <c r="D68" s="58"/>
      <c r="E68" s="58"/>
      <c r="F68" s="58"/>
      <c r="G68" s="58"/>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row>
    <row r="69" spans="1:34" ht="12.75">
      <c r="A69" s="122"/>
      <c r="B69" s="58"/>
      <c r="C69" s="58"/>
      <c r="D69" s="58"/>
      <c r="E69" s="58"/>
      <c r="F69" s="58"/>
      <c r="G69" s="58"/>
      <c r="H69" s="58"/>
      <c r="I69" s="58"/>
      <c r="J69" s="58"/>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row>
  </sheetData>
  <printOptions/>
  <pageMargins left="0.25" right="0.25" top="0.5" bottom="0.5" header="0.25" footer="0.25"/>
  <pageSetup horizontalDpi="600" verticalDpi="600" orientation="landscape"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PacifiCorp</dc:creator>
  <cp:keywords/>
  <dc:description/>
  <cp:lastModifiedBy>PacifiCorp</cp:lastModifiedBy>
  <cp:lastPrinted>1999-08-03T22:52:12Z</cp:lastPrinted>
  <dcterms:created xsi:type="dcterms:W3CDTF">1999-06-30T18:52:10Z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Response</vt:lpwstr>
  </property>
  <property fmtid="{D5CDD505-2E9C-101B-9397-08002B2CF9AE}" pid="3" name="IsHighlyConfidential">
    <vt:lpwstr>0</vt:lpwstr>
  </property>
  <property fmtid="{D5CDD505-2E9C-101B-9397-08002B2CF9AE}" pid="4" name="DocketNumber">
    <vt:lpwstr>991255</vt:lpwstr>
  </property>
  <property fmtid="{D5CDD505-2E9C-101B-9397-08002B2CF9AE}" pid="5" name="IsConfidential">
    <vt:lpwstr>0</vt:lpwstr>
  </property>
  <property fmtid="{D5CDD505-2E9C-101B-9397-08002B2CF9AE}" pid="6" name="Date1">
    <vt:lpwstr>1999-12-30T00:00:00Z</vt:lpwstr>
  </property>
  <property fmtid="{D5CDD505-2E9C-101B-9397-08002B2CF9AE}" pid="7" name="CaseType">
    <vt:lpwstr>Transfer of Property</vt:lpwstr>
  </property>
  <property fmtid="{D5CDD505-2E9C-101B-9397-08002B2CF9AE}" pid="8" name="OpenedDate">
    <vt:lpwstr>1999-08-10T00:00:00Z</vt:lpwstr>
  </property>
  <property fmtid="{D5CDD505-2E9C-101B-9397-08002B2CF9AE}" pid="9" name="Prefix">
    <vt:lpwstr>UE</vt:lpwstr>
  </property>
  <property fmtid="{D5CDD505-2E9C-101B-9397-08002B2CF9AE}" pid="10" name="CaseCompanyNames">
    <vt:lpwstr>Avista Corporation</vt:lpwstr>
  </property>
  <property fmtid="{D5CDD505-2E9C-101B-9397-08002B2CF9AE}" pid="11" name="IndustryCode">
    <vt:lpwstr>140</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