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9.xml" ContentType="application/vnd.openxmlformats-officedocument.drawing+xml"/>
  <Override PartName="/xl/drawings/drawing28.xml" ContentType="application/vnd.openxmlformats-officedocument.drawing+xml"/>
  <Override PartName="/xl/drawings/drawing27.xml" ContentType="application/vnd.openxmlformats-officedocument.drawing+xml"/>
  <Override PartName="/xl/drawings/drawing26.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1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5.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4.xml" ContentType="application/vnd.openxmlformats-officedocument.spreadsheetml.worksheet+xml"/>
  <Override PartName="/xl/drawings/drawing2.xml" ContentType="application/vnd.openxmlformats-officedocument.drawing+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5.xml" ContentType="application/vnd.openxmlformats-officedocument.spreadsheetml.worksheet+xml"/>
  <Override PartName="/xl/drawings/drawing1.xml" ContentType="application/vnd.openxmlformats-officedocument.drawing+xml"/>
  <Override PartName="/xl/worksheets/sheet36.xml" ContentType="application/vnd.openxmlformats-officedocument.spreadsheetml.worksheet+xml"/>
  <Override PartName="/xl/worksheets/sheet37.xml" ContentType="application/vnd.openxmlformats-officedocument.spreadsheetml.worksheet+xml"/>
  <Override PartName="/xl/worksheets/sheet26.xml" ContentType="application/vnd.openxmlformats-officedocument.spreadsheetml.worksheet+xml"/>
  <Override PartName="/xl/worksheets/sheet23.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worksheets/sheet8.xml" ContentType="application/vnd.openxmlformats-officedocument.spreadsheetml.worksheet+xml"/>
  <Override PartName="/xl/drawings/drawing11.xml" ContentType="application/vnd.openxmlformats-officedocument.drawing+xml"/>
  <Override PartName="/xl/drawings/drawing10.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6.xml" ContentType="application/vnd.openxmlformats-officedocument.drawing+xml"/>
  <Override PartName="/xl/worksheets/sheet22.xml" ContentType="application/vnd.openxmlformats-officedocument.spreadsheetml.worksheet+xml"/>
  <Override PartName="/xl/drawings/drawing7.xml" ContentType="application/vnd.openxmlformats-officedocument.drawing+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projects.nwnatural.com/sites/operations/RateCase/2019WA/Compliance filing/Work Papers_Filed/"/>
    </mc:Choice>
  </mc:AlternateContent>
  <workbookProtection workbookAlgorithmName="SHA-512" workbookHashValue="b39em50UJcHadVqLswxcFisARNPuFevzo0N5PVwAcsnhgwBDlWst+CyzVMbhMU6BAedniz7BsEE8xvj9TTamoA==" workbookSaltValue="mB81eKwOFSlBI7Cl8VMogA==" workbookSpinCount="100000" lockStructure="1"/>
  <bookViews>
    <workbookView xWindow="0" yWindow="0" windowWidth="20160" windowHeight="8460" tabRatio="933" firstSheet="1" activeTab="1"/>
  </bookViews>
  <sheets>
    <sheet name="Index &amp; Documentation" sheetId="9" state="hidden" r:id="rId1"/>
    <sheet name="Inputs" sheetId="2" r:id="rId2"/>
    <sheet name="Washington volumes" sheetId="1" r:id="rId3"/>
    <sheet name="Avg Bill by RS" sheetId="12" r:id="rId4"/>
    <sheet name="Rates in summary" sheetId="11" r:id="rId5"/>
    <sheet name="Rates in detail" sheetId="3" r:id="rId6"/>
    <sheet name="Temporaries" sheetId="7" r:id="rId7"/>
    <sheet name="Allocation equal ¢ per therm" sheetId="5" r:id="rId8"/>
    <sheet name="Allocation = % of margin" sheetId="8" r:id="rId9"/>
    <sheet name="Inputs for FCST MGN" sheetId="52" state="hidden" r:id="rId10"/>
    <sheet name="Amortization" sheetId="44" state="hidden" r:id="rId11"/>
    <sheet name="Rates for MAS GS" sheetId="50" state="hidden" r:id="rId12"/>
    <sheet name="Cover" sheetId="13" state="hidden" r:id="rId13"/>
    <sheet name="WA Index" sheetId="45" state="hidden" r:id="rId14"/>
    <sheet name="F Goldenrod" sheetId="19" state="hidden" r:id="rId15"/>
    <sheet name="Statement of Rates" sheetId="17" state="hidden" r:id="rId16"/>
    <sheet name="Summary of Sales Rates" sheetId="20" state="hidden" r:id="rId17"/>
    <sheet name="Summary of Transportation Rates" sheetId="21" state="hidden" r:id="rId18"/>
    <sheet name="Summary of Changes in Rate" sheetId="22" state="hidden" r:id="rId19"/>
    <sheet name="Adjs. to Residential Rates" sheetId="23" state="hidden" r:id="rId20"/>
    <sheet name="Rate Case History" sheetId="24" state="hidden" r:id="rId21"/>
    <sheet name="Annual WACOG History" sheetId="25" state="hidden" r:id="rId22"/>
    <sheet name="Winter WACOG History" sheetId="49" state="hidden" r:id="rId23"/>
    <sheet name="RS 1 BR History" sheetId="26" state="hidden" r:id="rId24"/>
    <sheet name="RS 2 BR History" sheetId="27" state="hidden" r:id="rId25"/>
    <sheet name="RS 3 BR History" sheetId="28" state="hidden" r:id="rId26"/>
    <sheet name="RS 19 BR History" sheetId="29" state="hidden" r:id="rId27"/>
    <sheet name="RS 27 BR History" sheetId="46" state="hidden" r:id="rId28"/>
    <sheet name="RS 41 Firm BR History" sheetId="31" state="hidden" r:id="rId29"/>
    <sheet name="RS 41 Intp BR History" sheetId="32" state="hidden" r:id="rId30"/>
    <sheet name="RS 42 FS BR History" sheetId="33" state="hidden" r:id="rId31"/>
    <sheet name="RS42 IS BR History" sheetId="34" state="hidden" r:id="rId32"/>
    <sheet name="RS 41T BR History" sheetId="36" state="hidden" r:id="rId33"/>
    <sheet name="RS 42T BR History" sheetId="37" state="hidden" r:id="rId34"/>
    <sheet name="RS 43T BR History" sheetId="38" state="hidden" r:id="rId35"/>
    <sheet name="BREAK" sheetId="51" state="hidden" r:id="rId36"/>
    <sheet name="RS 1 PR History" sheetId="40" state="hidden" r:id="rId37"/>
    <sheet name="RS 2 PR History" sheetId="41" state="hidden" r:id="rId38"/>
    <sheet name="RS 3 PR History" sheetId="42" state="hidden" r:id="rId39"/>
    <sheet name="RS 21 BR History" sheetId="30" state="hidden" r:id="rId40"/>
    <sheet name="RS 54 BR History" sheetId="47" state="hidden" r:id="rId41"/>
    <sheet name="wacog purch history 1988-2007" sheetId="43" state="hidden" r:id="rId42"/>
    <sheet name="Chgs in Rates by RS 1995-2004" sheetId="18" state="hidden" r:id="rId43"/>
    <sheet name="RS 3T BR History" sheetId="35" state="hidden" r:id="rId44"/>
  </sheets>
  <externalReferences>
    <externalReference r:id="rId45"/>
    <externalReference r:id="rId46"/>
    <externalReference r:id="rId47"/>
    <externalReference r:id="rId48"/>
  </externalReferences>
  <definedNames>
    <definedName name="calcsheet1" localSheetId="11">#N/A</definedName>
    <definedName name="calcsheet1" localSheetId="40">#N/A</definedName>
    <definedName name="calcsheet1">#N/A</definedName>
    <definedName name="calcsheet2" localSheetId="11">#N/A</definedName>
    <definedName name="calcsheet2" localSheetId="40">#N/A</definedName>
    <definedName name="calcsheet2">#N/A</definedName>
    <definedName name="calcsheet3" localSheetId="11">#N/A</definedName>
    <definedName name="calcsheet3" localSheetId="40">#N/A</definedName>
    <definedName name="calcsheet3">#N/A</definedName>
    <definedName name="CMonth">#REF!</definedName>
    <definedName name="CYTD">#REF!</definedName>
    <definedName name="Differences">#REF!</definedName>
    <definedName name="DivM">#REF!</definedName>
    <definedName name="DivY">#REF!</definedName>
    <definedName name="EFFDATE" localSheetId="9">[1]Inputs!$B$85</definedName>
    <definedName name="EFFDATE">Inputs!$B$56</definedName>
    <definedName name="EMonth">[2]Data!$G$4:$G$4,[2]Data!#REF!</definedName>
    <definedName name="ExpM">#REF!</definedName>
    <definedName name="ExpY">#REF!</definedName>
    <definedName name="EYTD">[2]Data!#REF!,[2]Data!#REF!</definedName>
    <definedName name="Line_Loss" localSheetId="9">'[3]General Inputs - Others'!$F$10</definedName>
    <definedName name="Month">#REF!</definedName>
    <definedName name="_xlnm.Print_Area" localSheetId="19">'Adjs. to Residential Rates'!$A$1:$J$107</definedName>
    <definedName name="_xlnm.Print_Area" localSheetId="8">'Allocation = % of margin'!$A$1:$Y$76</definedName>
    <definedName name="_xlnm.Print_Area" localSheetId="7">'Allocation equal ¢ per therm'!$A$1:$N$74</definedName>
    <definedName name="_xlnm.Print_Area" localSheetId="10">Amortization!$A$1:$O$71</definedName>
    <definedName name="_xlnm.Print_Area" localSheetId="21">'Annual WACOG History'!$A$1:$E$58</definedName>
    <definedName name="_xlnm.Print_Area" localSheetId="42">'Chgs in Rates by RS 1995-2004'!$A$1:$G$44</definedName>
    <definedName name="_xlnm.Print_Area" localSheetId="14">'F Goldenrod'!$A$1:$E$95</definedName>
    <definedName name="_xlnm.Print_Area" localSheetId="1">Inputs!$A$1:$G$54</definedName>
    <definedName name="_xlnm.Print_Area" localSheetId="9">'Inputs for FCST MGN'!$A$1:$P$84</definedName>
    <definedName name="_xlnm.Print_Area" localSheetId="20">'Rate Case History'!$A$1:$H$43</definedName>
    <definedName name="_xlnm.Print_Area" localSheetId="11">'Rates for MAS GS'!$A$2:$O$90</definedName>
    <definedName name="_xlnm.Print_Area" localSheetId="5">'Rates in detail'!$A$1:$V$74</definedName>
    <definedName name="_xlnm.Print_Area" localSheetId="4">'Rates in summary'!$A$1:$Q$74</definedName>
    <definedName name="_xlnm.Print_Area" localSheetId="23">'RS 1 BR History'!$A$1:$H$56</definedName>
    <definedName name="_xlnm.Print_Area" localSheetId="36">'RS 1 PR History'!$A$1:$I$37</definedName>
    <definedName name="_xlnm.Print_Area" localSheetId="26">'RS 19 BR History'!$A$1:$I$28</definedName>
    <definedName name="_xlnm.Print_Area" localSheetId="24">'RS 2 BR History'!$A$1:$I$36</definedName>
    <definedName name="_xlnm.Print_Area" localSheetId="39">'RS 21 BR History'!$A$1:$E$36</definedName>
    <definedName name="_xlnm.Print_Area" localSheetId="27">'RS 27 BR History'!$A$1:$G$32</definedName>
    <definedName name="_xlnm.Print_Area" localSheetId="25">'RS 3 BR History'!$A$1:$F$57</definedName>
    <definedName name="_xlnm.Print_Area" localSheetId="43">'RS 3T BR History'!$A$1:$H$15</definedName>
    <definedName name="_xlnm.Print_Area" localSheetId="28">'RS 41 Firm BR History'!$A$1:$G$55</definedName>
    <definedName name="_xlnm.Print_Area" localSheetId="29">'RS 41 Intp BR History'!$A$1:$H$53</definedName>
    <definedName name="_xlnm.Print_Area" localSheetId="32">'RS 41T BR History'!$A$1:$F$31</definedName>
    <definedName name="_xlnm.Print_Area" localSheetId="30">'RS 42 FS BR History'!$A$1:$M$57</definedName>
    <definedName name="_xlnm.Print_Area" localSheetId="33">'RS 42T BR History'!$A$1:$K$77</definedName>
    <definedName name="_xlnm.Print_Area" localSheetId="34">'RS 43T BR History'!$A$1:$F$37</definedName>
    <definedName name="_xlnm.Print_Area" localSheetId="40">'RS 54 BR History'!$A$1:$F$17</definedName>
    <definedName name="_xlnm.Print_Area" localSheetId="31">'RS42 IS BR History'!$A$1:$K$47</definedName>
    <definedName name="_xlnm.Print_Area" localSheetId="15">'Statement of Rates'!$A$1:$J$85</definedName>
    <definedName name="_xlnm.Print_Area" localSheetId="18">'Summary of Changes in Rate'!$A$1:$E$54</definedName>
    <definedName name="_xlnm.Print_Area" localSheetId="16">'Summary of Sales Rates'!$A$1:$J$55</definedName>
    <definedName name="_xlnm.Print_Area" localSheetId="17">'Summary of Transportation Rates'!$A$1:$H$46</definedName>
    <definedName name="_xlnm.Print_Area" localSheetId="6">Temporaries!$A$1:$J$75</definedName>
    <definedName name="_xlnm.Print_Area" localSheetId="13">'WA Index'!$A$1:$E$36</definedName>
    <definedName name="_xlnm.Print_Area" localSheetId="41">'wacog purch history 1988-2007'!$A$1:$E$80</definedName>
    <definedName name="_xlnm.Print_Area" localSheetId="2">'Washington volumes'!$A$1:$M$72</definedName>
    <definedName name="_xlnm.Print_Titles" localSheetId="8">'Allocation = % of margin'!$A:$M</definedName>
    <definedName name="_xlnm.Print_Titles" localSheetId="7">'Allocation equal ¢ per therm'!$A:$E</definedName>
    <definedName name="_xlnm.Print_Titles" localSheetId="10">Amortization!$A:$C,Amortization!$1:$12</definedName>
    <definedName name="_xlnm.Print_Titles" localSheetId="3">'Avg Bill by RS'!$A:$I</definedName>
    <definedName name="_xlnm.Print_Titles" localSheetId="14">'F Goldenrod'!$9:$11</definedName>
    <definedName name="_xlnm.Print_Titles" localSheetId="9">'Inputs for FCST MGN'!$A:$C,'Inputs for FCST MGN'!$6:$7</definedName>
    <definedName name="_xlnm.Print_Titles" localSheetId="15">'Statement of Rates'!$1:$9</definedName>
    <definedName name="_xlnm.Print_Titles" localSheetId="6">Temporaries!$A:$C,Temporaries!$1:$12</definedName>
    <definedName name="print55" localSheetId="9">#REF!</definedName>
    <definedName name="print55" localSheetId="26">#REF!</definedName>
    <definedName name="print55" localSheetId="24">#REF!</definedName>
    <definedName name="print55">#REF!</definedName>
    <definedName name="RevM">#REF!</definedName>
    <definedName name="revsens" localSheetId="9">[1]Inputs!$B$30</definedName>
    <definedName name="revsens">Inputs!$B$30</definedName>
    <definedName name="RevY">#REF!</definedName>
    <definedName name="RptDate">#REF!</definedName>
    <definedName name="shitodear">#N/A</definedName>
    <definedName name="shitodear2">#N/A</definedName>
    <definedName name="shitodear3">#N/A</definedName>
    <definedName name="Version">#REF!</definedName>
    <definedName name="wa_revsens">'[4]General Inputs'!$E$10</definedName>
  </definedNames>
  <calcPr calcId="152511"/>
</workbook>
</file>

<file path=xl/calcChain.xml><?xml version="1.0" encoding="utf-8"?>
<calcChain xmlns="http://schemas.openxmlformats.org/spreadsheetml/2006/main">
  <c r="Q13" i="11" l="1"/>
  <c r="G13" i="11"/>
  <c r="AD13" i="3" l="1"/>
  <c r="AC13" i="3"/>
  <c r="AK13" i="3" l="1"/>
  <c r="AI13" i="3"/>
  <c r="AE13" i="3"/>
  <c r="AC14" i="3"/>
  <c r="AD14" i="3"/>
  <c r="AE14" i="3"/>
  <c r="AC15" i="3"/>
  <c r="AD15" i="3"/>
  <c r="AE15" i="3"/>
  <c r="AC16" i="3"/>
  <c r="AD16" i="3"/>
  <c r="AE16" i="3"/>
  <c r="AC17" i="3"/>
  <c r="AD17" i="3"/>
  <c r="AE17" i="3"/>
  <c r="AC18" i="3"/>
  <c r="AD18" i="3"/>
  <c r="AE18" i="3"/>
  <c r="AC19" i="3"/>
  <c r="AD19" i="3"/>
  <c r="AE19" i="3"/>
  <c r="AC20" i="3"/>
  <c r="AD20" i="3"/>
  <c r="AE20" i="3"/>
  <c r="AC21" i="3"/>
  <c r="AD21" i="3"/>
  <c r="AE21" i="3"/>
  <c r="AC22" i="3"/>
  <c r="AD22" i="3"/>
  <c r="AE22" i="3"/>
  <c r="AC23" i="3"/>
  <c r="AD23" i="3"/>
  <c r="AE23" i="3"/>
  <c r="AC24" i="3"/>
  <c r="AD24" i="3"/>
  <c r="AE24" i="3"/>
  <c r="AC25" i="3"/>
  <c r="AD25" i="3"/>
  <c r="AE25" i="3"/>
  <c r="AC26" i="3"/>
  <c r="AD26" i="3"/>
  <c r="AE26" i="3"/>
  <c r="AC27" i="3"/>
  <c r="AD27" i="3"/>
  <c r="AE27" i="3"/>
  <c r="AC28" i="3"/>
  <c r="AD28" i="3"/>
  <c r="AE28" i="3"/>
  <c r="AC29" i="3"/>
  <c r="AD29" i="3"/>
  <c r="AE29" i="3"/>
  <c r="AC30" i="3"/>
  <c r="AD30" i="3"/>
  <c r="AE30" i="3"/>
  <c r="AC31" i="3"/>
  <c r="AD31" i="3"/>
  <c r="AE31" i="3"/>
  <c r="AC32" i="3"/>
  <c r="AD32" i="3"/>
  <c r="AE32" i="3"/>
  <c r="AC33" i="3"/>
  <c r="AD33" i="3"/>
  <c r="AE33" i="3"/>
  <c r="AC34" i="3"/>
  <c r="AD34" i="3"/>
  <c r="AE34" i="3"/>
  <c r="AC35" i="3"/>
  <c r="AD35" i="3"/>
  <c r="AE35" i="3"/>
  <c r="AC36" i="3"/>
  <c r="AD36" i="3"/>
  <c r="AE36" i="3"/>
  <c r="AC37" i="3"/>
  <c r="AD37" i="3"/>
  <c r="AE37" i="3"/>
  <c r="AC38" i="3"/>
  <c r="AD38" i="3"/>
  <c r="AE38" i="3"/>
  <c r="AC39" i="3"/>
  <c r="AD39" i="3"/>
  <c r="AE39" i="3"/>
  <c r="AC40" i="3"/>
  <c r="AD40" i="3"/>
  <c r="AE40" i="3"/>
  <c r="AC41" i="3"/>
  <c r="AD41" i="3"/>
  <c r="AE41" i="3"/>
  <c r="AC42" i="3"/>
  <c r="AD42" i="3"/>
  <c r="AE42" i="3"/>
  <c r="AC43" i="3"/>
  <c r="AD43" i="3"/>
  <c r="AE43" i="3"/>
  <c r="AC44" i="3"/>
  <c r="AD44" i="3"/>
  <c r="AE44" i="3"/>
  <c r="AC45" i="3"/>
  <c r="AD45" i="3"/>
  <c r="AE45" i="3"/>
  <c r="AC46" i="3"/>
  <c r="AD46" i="3"/>
  <c r="AE46" i="3"/>
  <c r="AC47" i="3"/>
  <c r="AD47" i="3"/>
  <c r="AE47" i="3"/>
  <c r="AC48" i="3"/>
  <c r="AD48" i="3"/>
  <c r="AE48" i="3"/>
  <c r="AC49" i="3"/>
  <c r="AD49" i="3"/>
  <c r="AE49" i="3"/>
  <c r="AC50" i="3"/>
  <c r="AD50" i="3"/>
  <c r="AE50" i="3"/>
  <c r="AC51" i="3"/>
  <c r="AD51" i="3"/>
  <c r="AE51" i="3"/>
  <c r="AC52" i="3"/>
  <c r="AD52" i="3"/>
  <c r="AE52" i="3"/>
  <c r="AC53" i="3"/>
  <c r="AD53" i="3"/>
  <c r="AE53" i="3"/>
  <c r="AC54" i="3"/>
  <c r="AD54" i="3"/>
  <c r="AE54" i="3"/>
  <c r="AC55" i="3"/>
  <c r="AD55" i="3"/>
  <c r="AE55" i="3"/>
  <c r="AC56" i="3"/>
  <c r="AD56" i="3"/>
  <c r="AE56" i="3"/>
  <c r="AC57" i="3"/>
  <c r="AD57" i="3"/>
  <c r="AE57" i="3"/>
  <c r="AC58" i="3"/>
  <c r="AD58" i="3"/>
  <c r="AE58" i="3"/>
  <c r="AC59" i="3"/>
  <c r="AD59" i="3"/>
  <c r="AE59" i="3"/>
  <c r="AC60" i="3"/>
  <c r="AD60" i="3"/>
  <c r="AE60" i="3"/>
  <c r="AC61" i="3"/>
  <c r="AD61" i="3"/>
  <c r="AE61" i="3"/>
  <c r="AC62" i="3"/>
  <c r="AD62" i="3"/>
  <c r="AE62" i="3"/>
  <c r="AC63" i="3"/>
  <c r="AD63" i="3"/>
  <c r="AE63" i="3"/>
  <c r="AC64" i="3"/>
  <c r="AD64" i="3"/>
  <c r="AE64" i="3"/>
  <c r="AC65" i="3"/>
  <c r="AD65" i="3"/>
  <c r="AE65" i="3"/>
  <c r="AC66" i="3"/>
  <c r="AD66" i="3"/>
  <c r="AE66" i="3"/>
  <c r="D21" i="19" l="1"/>
  <c r="C58" i="26" l="1"/>
  <c r="C102" i="23"/>
  <c r="A99" i="23" l="1"/>
  <c r="A100" i="23" s="1"/>
  <c r="A101" i="23" s="1"/>
  <c r="A102" i="23" s="1"/>
  <c r="A103" i="23" s="1"/>
  <c r="C11" i="19" l="1"/>
  <c r="Q13" i="1" l="1"/>
  <c r="W10" i="8" l="1"/>
  <c r="D32" i="2" l="1"/>
  <c r="Q14" i="1" l="1"/>
  <c r="A56" i="28" l="1"/>
  <c r="A46" i="2" l="1"/>
  <c r="A47" i="2" s="1"/>
  <c r="A48" i="2" s="1"/>
  <c r="A49" i="2" s="1"/>
  <c r="A50" i="2" s="1"/>
  <c r="A51" i="2" s="1"/>
  <c r="A52" i="2" s="1"/>
  <c r="A53" i="2" s="1"/>
  <c r="A54" i="2" s="1"/>
  <c r="A55" i="2" s="1"/>
  <c r="C52" i="19" l="1"/>
  <c r="D22" i="2" l="1"/>
  <c r="D20" i="2"/>
  <c r="D18" i="2"/>
  <c r="C39" i="19" l="1"/>
  <c r="C38" i="19"/>
  <c r="AK67" i="7" l="1"/>
  <c r="B59" i="2" l="1"/>
  <c r="B100" i="23" l="1"/>
  <c r="G100" i="23"/>
  <c r="G102" i="23" s="1"/>
  <c r="A48" i="25"/>
  <c r="C48" i="25"/>
  <c r="A22" i="49"/>
  <c r="C22" i="49"/>
  <c r="A57" i="26"/>
  <c r="A36" i="27"/>
  <c r="A30" i="46"/>
  <c r="G47" i="31"/>
  <c r="E47" i="31"/>
  <c r="G46" i="31"/>
  <c r="E46" i="31"/>
  <c r="A45" i="31"/>
  <c r="F47" i="32"/>
  <c r="F46" i="32"/>
  <c r="A45" i="32"/>
  <c r="M51" i="33"/>
  <c r="K51" i="33"/>
  <c r="J51" i="33"/>
  <c r="I51" i="33"/>
  <c r="M50" i="33"/>
  <c r="K50" i="33"/>
  <c r="J50" i="33"/>
  <c r="I50" i="33"/>
  <c r="A49" i="33"/>
  <c r="K45" i="34"/>
  <c r="J45" i="34"/>
  <c r="K44" i="34"/>
  <c r="J44" i="34"/>
  <c r="A43" i="34"/>
  <c r="A25" i="36"/>
  <c r="K75" i="37"/>
  <c r="A74" i="37"/>
  <c r="E29" i="38"/>
  <c r="A29" i="38"/>
  <c r="A42" i="40"/>
  <c r="A47" i="41"/>
  <c r="A46" i="42" l="1"/>
  <c r="C12" i="19" l="1"/>
  <c r="I71" i="1" l="1"/>
  <c r="H71" i="1"/>
  <c r="G71" i="1"/>
  <c r="F71" i="1"/>
  <c r="J71" i="1" l="1"/>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AI67" i="3" l="1"/>
  <c r="AF67" i="3"/>
  <c r="AC67" i="3"/>
  <c r="V8" i="12"/>
  <c r="R8" i="12" l="1"/>
  <c r="Q8" i="12"/>
  <c r="P8" i="12"/>
  <c r="W8" i="12"/>
  <c r="X8" i="12" s="1"/>
  <c r="Z8" i="12" s="1"/>
  <c r="AA8" i="12" s="1"/>
  <c r="AB8" i="12" s="1"/>
  <c r="L8" i="12"/>
  <c r="S8" i="12"/>
  <c r="M8" i="12"/>
  <c r="T8" i="12"/>
  <c r="N8" i="12"/>
  <c r="O8" i="12"/>
  <c r="K8" i="12"/>
  <c r="U8" i="12"/>
  <c r="J8" i="12"/>
  <c r="F18" i="3" l="1"/>
  <c r="F17" i="3"/>
  <c r="F16" i="3"/>
  <c r="F15" i="3"/>
  <c r="F14" i="3"/>
  <c r="E28" i="3"/>
  <c r="E27" i="3"/>
  <c r="E26" i="3"/>
  <c r="E25" i="3"/>
  <c r="E40" i="3"/>
  <c r="E39" i="3"/>
  <c r="E38" i="3"/>
  <c r="E37" i="3"/>
  <c r="E36" i="3"/>
  <c r="E35" i="3"/>
  <c r="E34" i="3"/>
  <c r="E33" i="3"/>
  <c r="E32" i="3"/>
  <c r="E31" i="3"/>
  <c r="E30" i="3"/>
  <c r="E29" i="3"/>
  <c r="E58" i="3"/>
  <c r="E57" i="3"/>
  <c r="E56" i="3"/>
  <c r="E55" i="3"/>
  <c r="E54" i="3"/>
  <c r="E53" i="3"/>
  <c r="E52" i="3"/>
  <c r="E51" i="3"/>
  <c r="E50" i="3"/>
  <c r="E49" i="3"/>
  <c r="E48" i="3"/>
  <c r="E47" i="3"/>
  <c r="E22" i="3"/>
  <c r="E21" i="3"/>
  <c r="E20" i="3"/>
  <c r="E19" i="3"/>
  <c r="E18" i="3"/>
  <c r="E17" i="3"/>
  <c r="E16" i="3"/>
  <c r="E15" i="3"/>
  <c r="E14" i="3"/>
  <c r="C40" i="26" l="1"/>
  <c r="BE67" i="7" l="1"/>
  <c r="AA9" i="12" l="1"/>
  <c r="AB9" i="12" s="1"/>
  <c r="W75" i="7" l="1"/>
  <c r="AO67" i="7"/>
  <c r="X10" i="8"/>
  <c r="W8" i="8"/>
  <c r="W9" i="8" l="1"/>
  <c r="X8" i="8"/>
  <c r="A94" i="23" l="1"/>
  <c r="A95" i="23" s="1"/>
  <c r="A96" i="23" l="1"/>
  <c r="A97" i="23" s="1"/>
  <c r="A98" i="23" s="1"/>
  <c r="W120" i="52"/>
  <c r="B26" i="22" l="1"/>
  <c r="L68" i="1" l="1"/>
  <c r="Q15" i="1" s="1"/>
  <c r="C46" i="21" l="1"/>
  <c r="C55" i="20"/>
  <c r="C22" i="22" l="1"/>
  <c r="B22" i="22" s="1"/>
  <c r="I67" i="44" l="1"/>
  <c r="H67" i="44"/>
  <c r="G67" i="44"/>
  <c r="F67" i="44"/>
  <c r="E67" i="44"/>
  <c r="C94" i="19" l="1"/>
  <c r="A10" i="13" l="1"/>
  <c r="V75" i="7" l="1"/>
  <c r="L75" i="7"/>
  <c r="K75" i="7"/>
  <c r="H75" i="7"/>
  <c r="G75" i="7"/>
  <c r="F75" i="7"/>
  <c r="J25" i="8"/>
  <c r="J21" i="8"/>
  <c r="A42" i="42" l="1"/>
  <c r="J67" i="44" l="1"/>
  <c r="G84" i="52"/>
  <c r="C8" i="23" l="1"/>
  <c r="F43" i="24"/>
  <c r="E55" i="25"/>
  <c r="C54" i="19"/>
  <c r="C59" i="19"/>
  <c r="C58" i="19"/>
  <c r="C57" i="19"/>
  <c r="C56" i="19"/>
  <c r="C55" i="19"/>
  <c r="C31" i="19"/>
  <c r="C29" i="19"/>
  <c r="C28" i="19"/>
  <c r="C30" i="19"/>
  <c r="C26" i="19"/>
  <c r="C25" i="19"/>
  <c r="AK67" i="3"/>
  <c r="J47" i="8"/>
  <c r="D67" i="44"/>
  <c r="AW67" i="7"/>
  <c r="AV67" i="7"/>
  <c r="AQ67" i="7"/>
  <c r="K10" i="7"/>
  <c r="U10" i="8"/>
  <c r="R10" i="8"/>
  <c r="T8" i="8"/>
  <c r="T7" i="8"/>
  <c r="V10" i="7" s="1"/>
  <c r="N8" i="8"/>
  <c r="N7" i="8"/>
  <c r="F52" i="11"/>
  <c r="D52" i="11"/>
  <c r="F51" i="11"/>
  <c r="D51" i="11"/>
  <c r="F50" i="11"/>
  <c r="D50" i="11"/>
  <c r="F49" i="11"/>
  <c r="D49" i="11"/>
  <c r="F48" i="11"/>
  <c r="D48" i="11"/>
  <c r="F47" i="11"/>
  <c r="D47" i="11"/>
  <c r="F22" i="11"/>
  <c r="D22" i="11"/>
  <c r="F21" i="11"/>
  <c r="D21" i="11"/>
  <c r="F26" i="11"/>
  <c r="D26" i="11"/>
  <c r="F25" i="11"/>
  <c r="D25" i="11"/>
  <c r="H52" i="3"/>
  <c r="H51" i="3"/>
  <c r="H50" i="3"/>
  <c r="H49" i="3"/>
  <c r="H48" i="3"/>
  <c r="H47" i="3"/>
  <c r="H22" i="3"/>
  <c r="H21" i="3"/>
  <c r="H26" i="3"/>
  <c r="H25" i="3"/>
  <c r="AX67" i="7" l="1"/>
  <c r="G52" i="8"/>
  <c r="F52" i="8"/>
  <c r="E52" i="8"/>
  <c r="G51" i="8"/>
  <c r="F51" i="8"/>
  <c r="E51" i="8"/>
  <c r="G50" i="8"/>
  <c r="F50" i="8"/>
  <c r="E50" i="8"/>
  <c r="G49" i="8"/>
  <c r="F49" i="8"/>
  <c r="E49" i="8"/>
  <c r="G48" i="8"/>
  <c r="F48" i="8"/>
  <c r="E48" i="8"/>
  <c r="K47" i="8"/>
  <c r="G47" i="8"/>
  <c r="F47" i="8"/>
  <c r="E47" i="8"/>
  <c r="G26" i="8"/>
  <c r="F26" i="8"/>
  <c r="E26" i="8"/>
  <c r="K25" i="8"/>
  <c r="G25" i="8"/>
  <c r="F25" i="8"/>
  <c r="E25" i="8"/>
  <c r="G22" i="8"/>
  <c r="F22" i="8"/>
  <c r="E22" i="8"/>
  <c r="K21" i="8"/>
  <c r="G21" i="8"/>
  <c r="F21" i="8"/>
  <c r="E21" i="8"/>
  <c r="H60" i="12"/>
  <c r="H59" i="12"/>
  <c r="H58" i="12"/>
  <c r="H57" i="12"/>
  <c r="H56" i="12"/>
  <c r="H55" i="12"/>
  <c r="H29" i="12"/>
  <c r="H28" i="12"/>
  <c r="H23" i="12"/>
  <c r="H22" i="12"/>
  <c r="L81" i="1"/>
  <c r="L80" i="1"/>
  <c r="L79" i="1"/>
  <c r="L78" i="1"/>
  <c r="M78" i="1" s="1"/>
  <c r="I81" i="1"/>
  <c r="H81" i="1"/>
  <c r="G81" i="1"/>
  <c r="G80" i="1"/>
  <c r="F80" i="1"/>
  <c r="H79" i="1"/>
  <c r="F79" i="1"/>
  <c r="I78" i="1"/>
  <c r="H78" i="1"/>
  <c r="G78" i="1"/>
  <c r="E80" i="1"/>
  <c r="E79" i="1"/>
  <c r="E78" i="1"/>
  <c r="H22" i="8" l="1"/>
  <c r="H47" i="8"/>
  <c r="H48" i="8"/>
  <c r="H50" i="8"/>
  <c r="H52" i="8"/>
  <c r="H26" i="8"/>
  <c r="H51" i="8"/>
  <c r="H49" i="8"/>
  <c r="H25" i="8"/>
  <c r="H21" i="8"/>
  <c r="L84" i="1"/>
  <c r="L83" i="1"/>
  <c r="L76" i="1"/>
  <c r="L82" i="1" s="1"/>
  <c r="L75" i="1"/>
  <c r="H84" i="1"/>
  <c r="G84" i="1"/>
  <c r="F84" i="1"/>
  <c r="I83" i="1"/>
  <c r="I75" i="1"/>
  <c r="H75" i="1"/>
  <c r="G75" i="1"/>
  <c r="F75" i="1"/>
  <c r="E83" i="1"/>
  <c r="E76" i="1"/>
  <c r="E84" i="1"/>
  <c r="L85" i="1" l="1"/>
  <c r="E70" i="3"/>
  <c r="F70" i="3" s="1"/>
  <c r="G70" i="3" s="1"/>
  <c r="V7" i="3"/>
  <c r="Q8" i="11"/>
  <c r="D8" i="11"/>
  <c r="D8" i="3"/>
  <c r="D10" i="2" l="1"/>
  <c r="D12" i="2" s="1"/>
  <c r="D14" i="2" s="1"/>
  <c r="E26" i="49" l="1"/>
  <c r="C3" i="22"/>
  <c r="G2" i="21"/>
  <c r="I2" i="20"/>
  <c r="E2" i="17"/>
  <c r="E39" i="22"/>
  <c r="E37" i="22"/>
  <c r="E35" i="22"/>
  <c r="B28" i="22"/>
  <c r="B27" i="22"/>
  <c r="B25" i="22"/>
  <c r="B24" i="22"/>
  <c r="I8" i="5"/>
  <c r="L8" i="5"/>
  <c r="F8" i="5"/>
  <c r="Q8" i="8"/>
  <c r="I13" i="3"/>
  <c r="I53" i="3" s="1"/>
  <c r="J13" i="3"/>
  <c r="J15" i="3" s="1"/>
  <c r="F9" i="5"/>
  <c r="I9" i="5"/>
  <c r="L9" i="5"/>
  <c r="O9" i="5"/>
  <c r="O10" i="5" s="1"/>
  <c r="R9" i="5"/>
  <c r="R10" i="5" s="1"/>
  <c r="N9" i="8"/>
  <c r="N10" i="8" s="1"/>
  <c r="Q9" i="8"/>
  <c r="Z8" i="8"/>
  <c r="Z10" i="8" s="1"/>
  <c r="J23" i="1"/>
  <c r="D25" i="12" s="1"/>
  <c r="J24" i="1"/>
  <c r="D24" i="5" s="1"/>
  <c r="G24" i="5" s="1"/>
  <c r="J41" i="1"/>
  <c r="D41" i="5" s="1"/>
  <c r="J41" i="5" s="1"/>
  <c r="J42" i="1"/>
  <c r="D42" i="5" s="1"/>
  <c r="G42" i="5" s="1"/>
  <c r="J43" i="1"/>
  <c r="D43" i="5" s="1"/>
  <c r="J44" i="1"/>
  <c r="D44" i="5" s="1"/>
  <c r="J45" i="1"/>
  <c r="D45" i="5" s="1"/>
  <c r="J46" i="1"/>
  <c r="D46" i="5" s="1"/>
  <c r="J59" i="1"/>
  <c r="D59" i="5" s="1"/>
  <c r="J59" i="5" s="1"/>
  <c r="J60" i="1"/>
  <c r="D60" i="5" s="1"/>
  <c r="G60" i="5" s="1"/>
  <c r="J61" i="1"/>
  <c r="D61" i="5" s="1"/>
  <c r="J61" i="5" s="1"/>
  <c r="J62" i="1"/>
  <c r="D62" i="5" s="1"/>
  <c r="G62" i="5" s="1"/>
  <c r="J63" i="1"/>
  <c r="D63" i="5" s="1"/>
  <c r="J64" i="1"/>
  <c r="D64" i="5" s="1"/>
  <c r="J65" i="1"/>
  <c r="D65" i="5" s="1"/>
  <c r="J66" i="1"/>
  <c r="D66" i="5" s="1"/>
  <c r="K16" i="8"/>
  <c r="K13" i="8"/>
  <c r="K14" i="8"/>
  <c r="K15" i="8"/>
  <c r="K17" i="8"/>
  <c r="K18" i="8"/>
  <c r="K19" i="8"/>
  <c r="K23" i="8"/>
  <c r="K27" i="8"/>
  <c r="K29" i="8"/>
  <c r="K35" i="8"/>
  <c r="D42" i="8"/>
  <c r="K41" i="8"/>
  <c r="K53" i="8"/>
  <c r="K59" i="8"/>
  <c r="K65" i="8"/>
  <c r="K66" i="8"/>
  <c r="T9" i="8"/>
  <c r="E13" i="8"/>
  <c r="F13" i="8"/>
  <c r="E14" i="8"/>
  <c r="F14" i="8"/>
  <c r="E15" i="8"/>
  <c r="F15" i="8"/>
  <c r="E16" i="8"/>
  <c r="F16" i="8"/>
  <c r="E17" i="8"/>
  <c r="F17" i="8"/>
  <c r="E18" i="8"/>
  <c r="F18" i="8"/>
  <c r="E19" i="8"/>
  <c r="F19" i="8"/>
  <c r="E20" i="8"/>
  <c r="F20" i="8"/>
  <c r="E23" i="8"/>
  <c r="F23" i="8"/>
  <c r="E24" i="8"/>
  <c r="F24"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AD67" i="3"/>
  <c r="AE67" i="3"/>
  <c r="G13" i="8"/>
  <c r="G14" i="8"/>
  <c r="G15" i="8"/>
  <c r="G16" i="8"/>
  <c r="G17" i="8"/>
  <c r="G18" i="8"/>
  <c r="G19" i="8"/>
  <c r="G20" i="8"/>
  <c r="G23" i="8"/>
  <c r="G24" i="8"/>
  <c r="G27" i="8"/>
  <c r="G28" i="8"/>
  <c r="G29" i="8"/>
  <c r="G30" i="8"/>
  <c r="G31" i="8"/>
  <c r="G32" i="8"/>
  <c r="G33" i="8"/>
  <c r="G34" i="8"/>
  <c r="G35" i="8"/>
  <c r="G36" i="8"/>
  <c r="G37" i="8"/>
  <c r="G38" i="8"/>
  <c r="G39" i="8"/>
  <c r="G40" i="8"/>
  <c r="G41" i="8"/>
  <c r="G42" i="8"/>
  <c r="G43" i="8"/>
  <c r="G44" i="8"/>
  <c r="G45" i="8"/>
  <c r="G46" i="8"/>
  <c r="G53" i="8"/>
  <c r="G54" i="8"/>
  <c r="G55" i="8"/>
  <c r="G56" i="8"/>
  <c r="G57" i="8"/>
  <c r="G58" i="8"/>
  <c r="G59" i="8"/>
  <c r="G60" i="8"/>
  <c r="G61" i="8"/>
  <c r="G62" i="8"/>
  <c r="G63" i="8"/>
  <c r="G64" i="8"/>
  <c r="G65" i="8"/>
  <c r="G66" i="8"/>
  <c r="AS67" i="7"/>
  <c r="AI67" i="7"/>
  <c r="AN67" i="7" s="1"/>
  <c r="AJ67" i="7"/>
  <c r="C28" i="26"/>
  <c r="D15" i="11"/>
  <c r="H15" i="12" s="1"/>
  <c r="C14" i="19"/>
  <c r="D14" i="19" s="1"/>
  <c r="E14" i="19" s="1"/>
  <c r="C15" i="19"/>
  <c r="H88" i="23"/>
  <c r="H89" i="23"/>
  <c r="H41" i="20"/>
  <c r="D53" i="19"/>
  <c r="E53" i="19" s="1"/>
  <c r="U8" i="8"/>
  <c r="R8" i="8"/>
  <c r="O8" i="8"/>
  <c r="AA8" i="8"/>
  <c r="Q7" i="8"/>
  <c r="L10" i="7" s="1"/>
  <c r="C19" i="19"/>
  <c r="D19" i="19" s="1"/>
  <c r="E19" i="19" s="1"/>
  <c r="C16" i="19"/>
  <c r="D16" i="19" s="1"/>
  <c r="E16" i="19" s="1"/>
  <c r="D12" i="19"/>
  <c r="E12" i="19" s="1"/>
  <c r="D66" i="11"/>
  <c r="H77" i="12" s="1"/>
  <c r="E66" i="11"/>
  <c r="F66" i="11"/>
  <c r="D65" i="11"/>
  <c r="H76" i="12" s="1"/>
  <c r="E65" i="11"/>
  <c r="F65" i="11"/>
  <c r="D64" i="11"/>
  <c r="H74" i="12" s="1"/>
  <c r="E64" i="11"/>
  <c r="F64" i="11"/>
  <c r="D63" i="11"/>
  <c r="H73" i="12" s="1"/>
  <c r="E63" i="11"/>
  <c r="F63" i="11"/>
  <c r="D62" i="11"/>
  <c r="H72" i="12" s="1"/>
  <c r="E62" i="11"/>
  <c r="F62" i="11"/>
  <c r="D61" i="11"/>
  <c r="E61" i="11"/>
  <c r="F61" i="11"/>
  <c r="D60" i="11"/>
  <c r="E60" i="11"/>
  <c r="F60" i="11"/>
  <c r="D59" i="11"/>
  <c r="H69" i="12" s="1"/>
  <c r="E59" i="11"/>
  <c r="F59" i="11"/>
  <c r="D58" i="11"/>
  <c r="H67" i="12" s="1"/>
  <c r="F58" i="11"/>
  <c r="D57" i="11"/>
  <c r="H66" i="12" s="1"/>
  <c r="F57" i="11"/>
  <c r="D56" i="11"/>
  <c r="H65" i="12" s="1"/>
  <c r="F56" i="11"/>
  <c r="D55" i="11"/>
  <c r="H64" i="12" s="1"/>
  <c r="F55" i="11"/>
  <c r="D54" i="11"/>
  <c r="H63" i="12" s="1"/>
  <c r="F54" i="11"/>
  <c r="D53" i="11"/>
  <c r="H62" i="12" s="1"/>
  <c r="F53" i="11"/>
  <c r="D46" i="11"/>
  <c r="H53" i="12" s="1"/>
  <c r="E46" i="11"/>
  <c r="F46" i="11"/>
  <c r="D45" i="11"/>
  <c r="E45" i="11"/>
  <c r="F45" i="11"/>
  <c r="D44" i="11"/>
  <c r="E44" i="11"/>
  <c r="F44" i="11"/>
  <c r="D43" i="11"/>
  <c r="H50" i="12" s="1"/>
  <c r="E43" i="11"/>
  <c r="F43" i="11"/>
  <c r="D42" i="11"/>
  <c r="H49" i="12" s="1"/>
  <c r="E42" i="11"/>
  <c r="F42" i="11"/>
  <c r="D41" i="11"/>
  <c r="H48" i="12" s="1"/>
  <c r="E41" i="11"/>
  <c r="F41" i="11"/>
  <c r="D40" i="11"/>
  <c r="H46" i="12" s="1"/>
  <c r="F40" i="11"/>
  <c r="D39" i="11"/>
  <c r="H45" i="12" s="1"/>
  <c r="F39" i="11"/>
  <c r="D38" i="11"/>
  <c r="H44" i="12" s="1"/>
  <c r="F38" i="11"/>
  <c r="D37" i="11"/>
  <c r="H43" i="12" s="1"/>
  <c r="F37" i="11"/>
  <c r="D36" i="11"/>
  <c r="H42" i="12" s="1"/>
  <c r="F36" i="11"/>
  <c r="D35" i="11"/>
  <c r="H41" i="12" s="1"/>
  <c r="F35" i="11"/>
  <c r="D34" i="11"/>
  <c r="H39" i="12" s="1"/>
  <c r="F34" i="11"/>
  <c r="D33" i="11"/>
  <c r="H38" i="12" s="1"/>
  <c r="F33" i="11"/>
  <c r="D32" i="11"/>
  <c r="H37" i="12" s="1"/>
  <c r="F32" i="11"/>
  <c r="D31" i="11"/>
  <c r="H36" i="12" s="1"/>
  <c r="F31" i="11"/>
  <c r="D30" i="11"/>
  <c r="H35" i="12" s="1"/>
  <c r="F30" i="11"/>
  <c r="D29" i="11"/>
  <c r="F29" i="11"/>
  <c r="D28" i="11"/>
  <c r="H32" i="12" s="1"/>
  <c r="F28" i="11"/>
  <c r="D27" i="11"/>
  <c r="H31" i="12" s="1"/>
  <c r="F27" i="11"/>
  <c r="D24" i="11"/>
  <c r="H26" i="12" s="1"/>
  <c r="E24" i="11"/>
  <c r="F24" i="11"/>
  <c r="D23" i="11"/>
  <c r="H25" i="12" s="1"/>
  <c r="E23" i="11"/>
  <c r="F23" i="11"/>
  <c r="D20" i="11"/>
  <c r="H20" i="12" s="1"/>
  <c r="F20" i="11"/>
  <c r="D19" i="11"/>
  <c r="H19" i="12" s="1"/>
  <c r="F19" i="11"/>
  <c r="D18" i="11"/>
  <c r="H18" i="12" s="1"/>
  <c r="D17" i="11"/>
  <c r="H17" i="12" s="1"/>
  <c r="D16" i="11"/>
  <c r="H16" i="12" s="1"/>
  <c r="D14" i="11"/>
  <c r="H14" i="12" s="1"/>
  <c r="D13" i="11"/>
  <c r="H13" i="12" s="1"/>
  <c r="O82" i="50"/>
  <c r="M40" i="50"/>
  <c r="O64" i="50"/>
  <c r="O73" i="50" s="1"/>
  <c r="O63" i="50"/>
  <c r="O72" i="50" s="1"/>
  <c r="O55" i="50"/>
  <c r="O54" i="50"/>
  <c r="O53" i="50"/>
  <c r="O52" i="50"/>
  <c r="O39" i="50"/>
  <c r="M11" i="50"/>
  <c r="O18" i="50"/>
  <c r="O14" i="50"/>
  <c r="O13" i="50"/>
  <c r="O10" i="50"/>
  <c r="M5" i="50"/>
  <c r="L5" i="50"/>
  <c r="O4" i="50"/>
  <c r="J66" i="8"/>
  <c r="J65" i="8"/>
  <c r="J53" i="8"/>
  <c r="J35" i="8"/>
  <c r="J29" i="8"/>
  <c r="J27" i="8"/>
  <c r="J19" i="8"/>
  <c r="J18" i="8"/>
  <c r="J17" i="8"/>
  <c r="J16" i="8"/>
  <c r="J15" i="8"/>
  <c r="J14" i="8"/>
  <c r="J13" i="8"/>
  <c r="C81" i="19"/>
  <c r="C78" i="19"/>
  <c r="C77" i="19"/>
  <c r="C76" i="19"/>
  <c r="C75" i="19"/>
  <c r="C74" i="19"/>
  <c r="C73" i="19"/>
  <c r="C72" i="19"/>
  <c r="C71" i="19"/>
  <c r="C70" i="19"/>
  <c r="C69" i="19"/>
  <c r="C68" i="19"/>
  <c r="C67" i="19"/>
  <c r="C65" i="19"/>
  <c r="C64" i="19"/>
  <c r="C63" i="19"/>
  <c r="C62" i="19"/>
  <c r="C61" i="19"/>
  <c r="C60" i="19"/>
  <c r="C51" i="19"/>
  <c r="C50" i="19"/>
  <c r="C49" i="19"/>
  <c r="C48" i="19"/>
  <c r="C47" i="19"/>
  <c r="C46" i="19"/>
  <c r="C45" i="19"/>
  <c r="C44" i="19"/>
  <c r="C43" i="19"/>
  <c r="C42" i="19"/>
  <c r="C41" i="19"/>
  <c r="C40" i="19"/>
  <c r="C33" i="19"/>
  <c r="C32" i="19"/>
  <c r="C24" i="19"/>
  <c r="C23" i="19"/>
  <c r="C18" i="19"/>
  <c r="C17" i="19"/>
  <c r="C13" i="19"/>
  <c r="H15" i="3"/>
  <c r="M1" i="50"/>
  <c r="H64" i="3"/>
  <c r="L64" i="3" s="1"/>
  <c r="H59" i="3"/>
  <c r="L59" i="3" s="1"/>
  <c r="H60" i="3"/>
  <c r="L60" i="3" s="1"/>
  <c r="H61" i="3"/>
  <c r="L61" i="3" s="1"/>
  <c r="H62" i="3"/>
  <c r="L62" i="3" s="1"/>
  <c r="H63" i="3"/>
  <c r="L63" i="3" s="1"/>
  <c r="H13" i="3"/>
  <c r="H14" i="3"/>
  <c r="H16" i="3"/>
  <c r="H17" i="3"/>
  <c r="H18" i="3"/>
  <c r="H19" i="3"/>
  <c r="H20" i="3"/>
  <c r="H23" i="3"/>
  <c r="L23" i="3" s="1"/>
  <c r="H24" i="3"/>
  <c r="L24" i="3" s="1"/>
  <c r="H27" i="3"/>
  <c r="H28" i="3"/>
  <c r="H29" i="3"/>
  <c r="H30" i="3"/>
  <c r="H31" i="3"/>
  <c r="H32" i="3"/>
  <c r="H33" i="3"/>
  <c r="H34" i="3"/>
  <c r="H35" i="3"/>
  <c r="H36" i="3"/>
  <c r="H37" i="3"/>
  <c r="H38" i="3"/>
  <c r="H39" i="3"/>
  <c r="H40" i="3"/>
  <c r="H41" i="3"/>
  <c r="L41" i="3" s="1"/>
  <c r="H42" i="3"/>
  <c r="L42" i="3" s="1"/>
  <c r="H43" i="3"/>
  <c r="L43" i="3" s="1"/>
  <c r="H44" i="3"/>
  <c r="L44" i="3" s="1"/>
  <c r="H45" i="3"/>
  <c r="L45" i="3" s="1"/>
  <c r="H46" i="3"/>
  <c r="L46" i="3" s="1"/>
  <c r="H53" i="3"/>
  <c r="H54" i="3"/>
  <c r="H55" i="3"/>
  <c r="H56" i="3"/>
  <c r="H57" i="3"/>
  <c r="H58" i="3"/>
  <c r="H65" i="3"/>
  <c r="L65" i="3" s="1"/>
  <c r="H66" i="3"/>
  <c r="L66" i="3" s="1"/>
  <c r="C25" i="26"/>
  <c r="D39" i="21"/>
  <c r="E84" i="17"/>
  <c r="C30" i="17"/>
  <c r="I30" i="17" s="1"/>
  <c r="C29" i="17"/>
  <c r="I29" i="17" s="1"/>
  <c r="M29" i="17" s="1"/>
  <c r="C45" i="17"/>
  <c r="E45" i="17" s="1"/>
  <c r="I45" i="17" s="1"/>
  <c r="M45" i="17" s="1"/>
  <c r="C14" i="17"/>
  <c r="I14" i="17" s="1"/>
  <c r="M14" i="17" s="1"/>
  <c r="B22" i="20"/>
  <c r="A8" i="3"/>
  <c r="A9" i="3" s="1"/>
  <c r="A10" i="3" s="1"/>
  <c r="A11" i="3" s="1"/>
  <c r="A12" i="3" s="1"/>
  <c r="A13" i="3" s="1"/>
  <c r="A14" i="3" s="1"/>
  <c r="A15" i="3" s="1"/>
  <c r="C24" i="17"/>
  <c r="E24" i="17" s="1"/>
  <c r="K24" i="17" s="1"/>
  <c r="G25" i="12"/>
  <c r="C20" i="19" s="1"/>
  <c r="D20" i="19" s="1"/>
  <c r="E20" i="19" s="1"/>
  <c r="Z7" i="8"/>
  <c r="A3" i="8"/>
  <c r="A2" i="8"/>
  <c r="A1" i="8"/>
  <c r="B89" i="23"/>
  <c r="A37" i="42"/>
  <c r="A36" i="41"/>
  <c r="A31" i="40"/>
  <c r="A20" i="37"/>
  <c r="A14" i="36"/>
  <c r="A16" i="33"/>
  <c r="A16" i="32"/>
  <c r="A21" i="30"/>
  <c r="A23" i="28"/>
  <c r="A25" i="27"/>
  <c r="A24" i="26"/>
  <c r="H83" i="23"/>
  <c r="C59" i="17"/>
  <c r="F59" i="17" s="1"/>
  <c r="G69" i="12"/>
  <c r="C62" i="17"/>
  <c r="E62" i="17" s="1"/>
  <c r="I62" i="17" s="1"/>
  <c r="C61" i="17"/>
  <c r="I61" i="17" s="1"/>
  <c r="I60" i="17"/>
  <c r="I59" i="17"/>
  <c r="M59" i="17" s="1"/>
  <c r="C46" i="17"/>
  <c r="E46" i="17" s="1"/>
  <c r="I46" i="17" s="1"/>
  <c r="C44" i="17"/>
  <c r="E44" i="17" s="1"/>
  <c r="I44" i="17" s="1"/>
  <c r="F43" i="17"/>
  <c r="H43" i="17" s="1"/>
  <c r="I43" i="17" s="1"/>
  <c r="C43" i="17"/>
  <c r="E43" i="17" s="1"/>
  <c r="C41" i="17"/>
  <c r="E41" i="17" s="1"/>
  <c r="I41" i="17" s="1"/>
  <c r="M41" i="17" s="1"/>
  <c r="C36" i="17"/>
  <c r="E36" i="17" s="1"/>
  <c r="M36" i="17"/>
  <c r="C35" i="17"/>
  <c r="E35" i="17" s="1"/>
  <c r="E30" i="17"/>
  <c r="M28" i="17"/>
  <c r="C27" i="17"/>
  <c r="E27" i="17" s="1"/>
  <c r="I27" i="17" s="1"/>
  <c r="M27" i="17" s="1"/>
  <c r="E17" i="17"/>
  <c r="I17" i="17" s="1"/>
  <c r="M17" i="17" s="1"/>
  <c r="C16" i="17"/>
  <c r="E16" i="17" s="1"/>
  <c r="I16" i="17" s="1"/>
  <c r="M16" i="17" s="1"/>
  <c r="C11" i="17"/>
  <c r="E11" i="17" s="1"/>
  <c r="K78" i="17"/>
  <c r="K77" i="17"/>
  <c r="K76" i="17"/>
  <c r="K75" i="17"/>
  <c r="K62" i="17"/>
  <c r="K61" i="17"/>
  <c r="K60" i="17"/>
  <c r="K59" i="17"/>
  <c r="K46" i="17"/>
  <c r="K45" i="17"/>
  <c r="K44" i="17"/>
  <c r="K43" i="17"/>
  <c r="K42" i="17"/>
  <c r="K36" i="17"/>
  <c r="K30" i="17"/>
  <c r="K29" i="17"/>
  <c r="K28" i="17"/>
  <c r="K26" i="17"/>
  <c r="K23" i="17"/>
  <c r="K22" i="17"/>
  <c r="K21" i="17"/>
  <c r="K20" i="17"/>
  <c r="F75" i="17"/>
  <c r="L26" i="17"/>
  <c r="F77" i="17"/>
  <c r="H77" i="17" s="1"/>
  <c r="L77" i="17"/>
  <c r="L76" i="17"/>
  <c r="L75" i="17"/>
  <c r="L62" i="17"/>
  <c r="L61" i="17"/>
  <c r="L46" i="17"/>
  <c r="L45" i="17"/>
  <c r="L44" i="17"/>
  <c r="L43" i="17"/>
  <c r="L38" i="17"/>
  <c r="L37" i="17"/>
  <c r="L36" i="17"/>
  <c r="L35" i="17"/>
  <c r="L30" i="17"/>
  <c r="L29" i="17"/>
  <c r="L25" i="17"/>
  <c r="L24" i="17"/>
  <c r="L23" i="17"/>
  <c r="L22" i="17"/>
  <c r="L21" i="17"/>
  <c r="L20" i="17"/>
  <c r="L19" i="17"/>
  <c r="L18" i="17"/>
  <c r="L17" i="17"/>
  <c r="L16" i="17"/>
  <c r="L15" i="17"/>
  <c r="L14" i="17"/>
  <c r="L13" i="17"/>
  <c r="L11" i="17"/>
  <c r="E85" i="17"/>
  <c r="C95" i="19"/>
  <c r="H15" i="21"/>
  <c r="H14" i="21"/>
  <c r="H34" i="12"/>
  <c r="M27" i="1"/>
  <c r="F31" i="12" s="1"/>
  <c r="L77" i="1"/>
  <c r="E81" i="1"/>
  <c r="E82" i="1" s="1"/>
  <c r="E75" i="1"/>
  <c r="E68" i="1"/>
  <c r="M66" i="1"/>
  <c r="F77" i="12" s="1"/>
  <c r="M65" i="1"/>
  <c r="F76" i="12" s="1"/>
  <c r="B7" i="44"/>
  <c r="C73" i="43"/>
  <c r="I8" i="12"/>
  <c r="A11" i="45"/>
  <c r="A12" i="45" s="1"/>
  <c r="A14" i="45" s="1"/>
  <c r="A15" i="45" s="1"/>
  <c r="A16" i="45" s="1"/>
  <c r="A1" i="44"/>
  <c r="A2" i="44"/>
  <c r="A3" i="44"/>
  <c r="A8" i="44"/>
  <c r="A9" i="44" s="1"/>
  <c r="A10" i="44" s="1"/>
  <c r="A11" i="44" s="1"/>
  <c r="A12" i="44" s="1"/>
  <c r="A13" i="44" s="1"/>
  <c r="A14" i="44" s="1"/>
  <c r="A15" i="44" s="1"/>
  <c r="A16" i="44" s="1"/>
  <c r="A17" i="44" s="1"/>
  <c r="A8" i="8"/>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G48" i="12"/>
  <c r="B16" i="21"/>
  <c r="D20" i="21"/>
  <c r="F20" i="21"/>
  <c r="D22" i="21"/>
  <c r="F22" i="21"/>
  <c r="D12" i="20"/>
  <c r="F13" i="20"/>
  <c r="D32" i="20"/>
  <c r="D33" i="20"/>
  <c r="F39" i="20"/>
  <c r="H38" i="20"/>
  <c r="F40" i="20"/>
  <c r="F43" i="20"/>
  <c r="F44" i="20"/>
  <c r="D44" i="20"/>
  <c r="E21" i="19"/>
  <c r="D22" i="19"/>
  <c r="E22" i="19" s="1"/>
  <c r="D27" i="19"/>
  <c r="E27" i="19" s="1"/>
  <c r="E34" i="19"/>
  <c r="E35" i="19"/>
  <c r="D36" i="19"/>
  <c r="E36" i="19" s="1"/>
  <c r="D37" i="19"/>
  <c r="E37" i="19" s="1"/>
  <c r="D38" i="19"/>
  <c r="E38" i="19" s="1"/>
  <c r="D39" i="19"/>
  <c r="E39" i="19" s="1"/>
  <c r="D52" i="19"/>
  <c r="E52" i="19" s="1"/>
  <c r="D66" i="19"/>
  <c r="E66" i="19" s="1"/>
  <c r="E79" i="19"/>
  <c r="D80" i="19"/>
  <c r="E80" i="19" s="1"/>
  <c r="E61" i="17"/>
  <c r="H76" i="17"/>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1" i="2"/>
  <c r="A2" i="2"/>
  <c r="A3"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1" i="5"/>
  <c r="A2" i="5"/>
  <c r="A3" i="5"/>
  <c r="F7" i="5"/>
  <c r="I7" i="5"/>
  <c r="L7" i="5"/>
  <c r="A8" i="5"/>
  <c r="A9" i="5" s="1"/>
  <c r="A10" i="5" s="1"/>
  <c r="A11" i="5" s="1"/>
  <c r="A12" i="5" s="1"/>
  <c r="A13" i="5" s="1"/>
  <c r="A14" i="5" s="1"/>
  <c r="A1" i="7"/>
  <c r="A2" i="7"/>
  <c r="A3" i="7"/>
  <c r="A8" i="7"/>
  <c r="A9" i="7" s="1"/>
  <c r="A10" i="7" s="1"/>
  <c r="A11" i="7" s="1"/>
  <c r="A12" i="7" s="1"/>
  <c r="A13" i="7" s="1"/>
  <c r="A14" i="7" s="1"/>
  <c r="A1" i="3"/>
  <c r="A2" i="3"/>
  <c r="A3" i="3"/>
  <c r="A1" i="11"/>
  <c r="A2" i="11"/>
  <c r="A3" i="11"/>
  <c r="A8" i="11"/>
  <c r="A9" i="11" s="1"/>
  <c r="A10" i="11" s="1"/>
  <c r="A11" i="11" s="1"/>
  <c r="A12" i="11" s="1"/>
  <c r="A13" i="11" s="1"/>
  <c r="A1" i="12"/>
  <c r="A2" i="12"/>
  <c r="A3" i="12"/>
  <c r="A8" i="12"/>
  <c r="A9" i="12" s="1"/>
  <c r="A10" i="12" s="1"/>
  <c r="A11" i="12" s="1"/>
  <c r="A1" i="9"/>
  <c r="A2" i="9"/>
  <c r="A3" i="9"/>
  <c r="M60" i="5" l="1"/>
  <c r="D26" i="12"/>
  <c r="AG67" i="3"/>
  <c r="AH67" i="3" s="1"/>
  <c r="O20" i="50"/>
  <c r="D74" i="12"/>
  <c r="D51" i="12"/>
  <c r="D49" i="12"/>
  <c r="D77" i="12"/>
  <c r="M59" i="5"/>
  <c r="J23" i="8"/>
  <c r="F28" i="17"/>
  <c r="H28" i="17" s="1"/>
  <c r="L28" i="17" s="1"/>
  <c r="J41" i="8"/>
  <c r="J59" i="8"/>
  <c r="J42" i="5"/>
  <c r="AL67" i="7"/>
  <c r="BF67" i="7" s="1"/>
  <c r="J16" i="3"/>
  <c r="I16" i="3"/>
  <c r="I33" i="12"/>
  <c r="H63" i="8"/>
  <c r="H59" i="8"/>
  <c r="H55" i="8"/>
  <c r="H45" i="8"/>
  <c r="H41" i="8"/>
  <c r="H37" i="8"/>
  <c r="H33" i="8"/>
  <c r="H29" i="8"/>
  <c r="H23" i="8"/>
  <c r="M62" i="5"/>
  <c r="D72" i="12"/>
  <c r="D53" i="12"/>
  <c r="M23" i="1"/>
  <c r="F25" i="12" s="1"/>
  <c r="D59" i="8"/>
  <c r="M42" i="5"/>
  <c r="J62" i="5"/>
  <c r="I14" i="3"/>
  <c r="I30" i="3"/>
  <c r="L30" i="3" s="1"/>
  <c r="F13" i="11"/>
  <c r="J17" i="3"/>
  <c r="F16" i="11"/>
  <c r="I39" i="3"/>
  <c r="M24" i="5"/>
  <c r="D44" i="8"/>
  <c r="M61" i="5"/>
  <c r="M59" i="1"/>
  <c r="F69" i="12" s="1"/>
  <c r="I10" i="5"/>
  <c r="I20" i="3"/>
  <c r="E20" i="11" s="1"/>
  <c r="G20" i="11" s="1"/>
  <c r="I34" i="3"/>
  <c r="E34" i="11" s="1"/>
  <c r="G34" i="11" s="1"/>
  <c r="I57" i="3"/>
  <c r="I54" i="3"/>
  <c r="L54" i="3" s="1"/>
  <c r="E13" i="11"/>
  <c r="I28" i="3"/>
  <c r="L28" i="3" s="1"/>
  <c r="I37" i="3"/>
  <c r="I18" i="3"/>
  <c r="E18" i="11" s="1"/>
  <c r="I32" i="3"/>
  <c r="E32" i="11" s="1"/>
  <c r="G32" i="11" s="1"/>
  <c r="I55" i="3"/>
  <c r="I35" i="3"/>
  <c r="D41" i="8"/>
  <c r="D71" i="12"/>
  <c r="J24" i="5"/>
  <c r="J60" i="5"/>
  <c r="D70" i="12"/>
  <c r="M41" i="5"/>
  <c r="D73" i="12"/>
  <c r="D69" i="12"/>
  <c r="D24" i="8"/>
  <c r="H15" i="8"/>
  <c r="F27" i="17"/>
  <c r="H27" i="17" s="1"/>
  <c r="L27" i="17" s="1"/>
  <c r="A75" i="8"/>
  <c r="A76" i="8" s="1"/>
  <c r="A73" i="8"/>
  <c r="A74" i="8" s="1"/>
  <c r="E41" i="22"/>
  <c r="D45" i="8"/>
  <c r="S59" i="5"/>
  <c r="P41" i="5"/>
  <c r="S61" i="5"/>
  <c r="D43" i="8"/>
  <c r="G59" i="5"/>
  <c r="G41" i="5"/>
  <c r="G61" i="5"/>
  <c r="D76" i="12"/>
  <c r="D52" i="12"/>
  <c r="D50" i="12"/>
  <c r="D48" i="12"/>
  <c r="M41" i="1"/>
  <c r="F48" i="12" s="1"/>
  <c r="D63" i="8"/>
  <c r="G63" i="11"/>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5" i="12" s="1"/>
  <c r="A86" i="12" s="1"/>
  <c r="A87" i="12" s="1"/>
  <c r="A14" i="1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O75" i="50"/>
  <c r="G44" i="11"/>
  <c r="G46" i="11"/>
  <c r="G60" i="11"/>
  <c r="G65" i="11"/>
  <c r="F15" i="1"/>
  <c r="J15" i="1" s="1"/>
  <c r="F18" i="1"/>
  <c r="F81" i="1" s="1"/>
  <c r="F13" i="1"/>
  <c r="J13" i="1" s="1"/>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15" i="5"/>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16" i="3"/>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G43" i="11"/>
  <c r="G45" i="11"/>
  <c r="G59" i="11"/>
  <c r="G61" i="11"/>
  <c r="G64" i="11"/>
  <c r="G66" i="11"/>
  <c r="G33" i="1"/>
  <c r="J33" i="1" s="1"/>
  <c r="D33" i="5" s="1"/>
  <c r="G31" i="1"/>
  <c r="J31" i="1" s="1"/>
  <c r="D36" i="12" s="1"/>
  <c r="G29" i="1"/>
  <c r="J29" i="1" s="1"/>
  <c r="D29" i="5" s="1"/>
  <c r="G19" i="1"/>
  <c r="G14" i="1"/>
  <c r="J14" i="1" s="1"/>
  <c r="G34" i="1"/>
  <c r="J34" i="1" s="1"/>
  <c r="D34" i="8" s="1"/>
  <c r="G32" i="1"/>
  <c r="J32" i="1" s="1"/>
  <c r="D32" i="5" s="1"/>
  <c r="G30" i="1"/>
  <c r="J30" i="1" s="1"/>
  <c r="D30" i="8" s="1"/>
  <c r="G20" i="1"/>
  <c r="G16" i="1"/>
  <c r="J16" i="1" s="1"/>
  <c r="A18" i="44"/>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E53" i="11"/>
  <c r="L53" i="3"/>
  <c r="E16" i="11"/>
  <c r="I17" i="3"/>
  <c r="I19" i="3"/>
  <c r="I27" i="3"/>
  <c r="L27" i="3" s="1"/>
  <c r="I29" i="3"/>
  <c r="I31" i="3"/>
  <c r="L31" i="3" s="1"/>
  <c r="I33" i="3"/>
  <c r="I36" i="3"/>
  <c r="L36" i="3" s="1"/>
  <c r="I38" i="3"/>
  <c r="I40" i="3"/>
  <c r="L40" i="3" s="1"/>
  <c r="I56" i="3"/>
  <c r="I58" i="3"/>
  <c r="I15" i="3"/>
  <c r="I52" i="3"/>
  <c r="I50" i="3"/>
  <c r="I48" i="3"/>
  <c r="I22" i="3"/>
  <c r="I26" i="3"/>
  <c r="I51" i="3"/>
  <c r="I49" i="3"/>
  <c r="I47" i="3"/>
  <c r="I21" i="3"/>
  <c r="I25" i="3"/>
  <c r="L10" i="5"/>
  <c r="AM67" i="7"/>
  <c r="I76" i="12"/>
  <c r="H17" i="1"/>
  <c r="J17" i="1" s="1"/>
  <c r="H25" i="1"/>
  <c r="J25" i="1" s="1"/>
  <c r="H39" i="1"/>
  <c r="J39" i="1" s="1"/>
  <c r="D39" i="5" s="1"/>
  <c r="H37" i="1"/>
  <c r="J37" i="1" s="1"/>
  <c r="D43" i="12" s="1"/>
  <c r="H35" i="1"/>
  <c r="J35" i="1" s="1"/>
  <c r="D35" i="5" s="1"/>
  <c r="H26" i="1"/>
  <c r="J26" i="1" s="1"/>
  <c r="H40" i="1"/>
  <c r="J40" i="1" s="1"/>
  <c r="D46" i="12" s="1"/>
  <c r="H38" i="1"/>
  <c r="J38" i="1" s="1"/>
  <c r="D38" i="8" s="1"/>
  <c r="H36" i="1"/>
  <c r="J36" i="1" s="1"/>
  <c r="D42" i="12" s="1"/>
  <c r="I77" i="12"/>
  <c r="S41" i="5"/>
  <c r="P61" i="5"/>
  <c r="P59" i="5"/>
  <c r="D23" i="5"/>
  <c r="S23" i="5" s="1"/>
  <c r="J75" i="1"/>
  <c r="I22" i="1"/>
  <c r="J22" i="1" s="1"/>
  <c r="I28" i="1"/>
  <c r="J28" i="1" s="1"/>
  <c r="I52" i="1"/>
  <c r="J52" i="1" s="1"/>
  <c r="I50" i="1"/>
  <c r="J50" i="1" s="1"/>
  <c r="I48" i="1"/>
  <c r="J48" i="1" s="1"/>
  <c r="I58" i="1"/>
  <c r="J58" i="1" s="1"/>
  <c r="I56" i="1"/>
  <c r="J56" i="1" s="1"/>
  <c r="I54" i="1"/>
  <c r="J54" i="1" s="1"/>
  <c r="I21" i="1"/>
  <c r="I27" i="1"/>
  <c r="J27" i="1" s="1"/>
  <c r="I51" i="1"/>
  <c r="J51" i="1" s="1"/>
  <c r="I49" i="1"/>
  <c r="J49" i="1" s="1"/>
  <c r="I47" i="1"/>
  <c r="J47" i="1" s="1"/>
  <c r="I57" i="1"/>
  <c r="J57" i="1" s="1"/>
  <c r="I55" i="1"/>
  <c r="J55" i="1" s="1"/>
  <c r="I53" i="1"/>
  <c r="J53" i="1" s="1"/>
  <c r="S24" i="5"/>
  <c r="P24" i="5"/>
  <c r="S42" i="5"/>
  <c r="P42" i="5"/>
  <c r="S60" i="5"/>
  <c r="P60" i="5"/>
  <c r="S62" i="5"/>
  <c r="P62" i="5"/>
  <c r="H70" i="12"/>
  <c r="H52" i="12"/>
  <c r="O67" i="44"/>
  <c r="Q67" i="44" s="1"/>
  <c r="H71" i="12"/>
  <c r="H51" i="12"/>
  <c r="K17" i="17"/>
  <c r="E14" i="17"/>
  <c r="K14" i="17" s="1"/>
  <c r="L13" i="3"/>
  <c r="G24" i="11"/>
  <c r="G41" i="11"/>
  <c r="G62" i="11"/>
  <c r="T10" i="8"/>
  <c r="H62" i="8"/>
  <c r="H60" i="8"/>
  <c r="H58" i="8"/>
  <c r="H56" i="8"/>
  <c r="H54" i="8"/>
  <c r="H46" i="8"/>
  <c r="H44" i="8"/>
  <c r="H42" i="8"/>
  <c r="H40" i="8"/>
  <c r="H38" i="8"/>
  <c r="H36" i="8"/>
  <c r="H34" i="8"/>
  <c r="H32" i="8"/>
  <c r="H30" i="8"/>
  <c r="H28" i="8"/>
  <c r="H24" i="8"/>
  <c r="H20" i="8"/>
  <c r="H18" i="8"/>
  <c r="H16" i="8"/>
  <c r="H14" i="8"/>
  <c r="J14" i="3"/>
  <c r="J18" i="3"/>
  <c r="Q10" i="8"/>
  <c r="F10" i="5"/>
  <c r="G42" i="11"/>
  <c r="G23" i="11"/>
  <c r="E85" i="1"/>
  <c r="P65" i="5"/>
  <c r="J65" i="5"/>
  <c r="G65" i="5"/>
  <c r="S65" i="5"/>
  <c r="M65" i="5"/>
  <c r="P63" i="5"/>
  <c r="J63" i="5"/>
  <c r="G63" i="5"/>
  <c r="M63" i="5"/>
  <c r="S63" i="5"/>
  <c r="P45" i="5"/>
  <c r="J45" i="5"/>
  <c r="G45" i="5"/>
  <c r="M45" i="5"/>
  <c r="S45" i="5"/>
  <c r="P43" i="5"/>
  <c r="J43" i="5"/>
  <c r="G43" i="5"/>
  <c r="M43" i="5"/>
  <c r="S43" i="5"/>
  <c r="G66" i="5"/>
  <c r="P66" i="5"/>
  <c r="S66" i="5"/>
  <c r="M66" i="5"/>
  <c r="J66" i="5"/>
  <c r="G64" i="5"/>
  <c r="P64" i="5"/>
  <c r="S64" i="5"/>
  <c r="M64" i="5"/>
  <c r="J64" i="5"/>
  <c r="G46" i="5"/>
  <c r="P46" i="5"/>
  <c r="S46" i="5"/>
  <c r="M46" i="5"/>
  <c r="J46" i="5"/>
  <c r="G44" i="5"/>
  <c r="P44" i="5"/>
  <c r="S44" i="5"/>
  <c r="M44" i="5"/>
  <c r="J44" i="5"/>
  <c r="D66" i="8"/>
  <c r="D65" i="8"/>
  <c r="D64" i="8"/>
  <c r="D61" i="8"/>
  <c r="D46" i="8"/>
  <c r="D23" i="8"/>
  <c r="E77" i="1"/>
  <c r="H64" i="8"/>
  <c r="F41" i="17"/>
  <c r="K27" i="17"/>
  <c r="E29" i="17"/>
  <c r="H66" i="8"/>
  <c r="H65" i="8"/>
  <c r="H61" i="8"/>
  <c r="H57" i="8"/>
  <c r="H53" i="8"/>
  <c r="H43" i="8"/>
  <c r="H39" i="8"/>
  <c r="H35" i="8"/>
  <c r="H31" i="8"/>
  <c r="H27" i="8"/>
  <c r="H19" i="8"/>
  <c r="H17" i="8"/>
  <c r="H13" i="8"/>
  <c r="D62" i="8"/>
  <c r="D60" i="8"/>
  <c r="I11" i="17"/>
  <c r="M11" i="17" s="1"/>
  <c r="K11" i="17"/>
  <c r="I35" i="17"/>
  <c r="M35" i="17" s="1"/>
  <c r="K35" i="17"/>
  <c r="H59" i="17"/>
  <c r="L59" i="17" s="1"/>
  <c r="F60" i="17"/>
  <c r="F15" i="11"/>
  <c r="K16" i="17"/>
  <c r="K41" i="17"/>
  <c r="I54" i="12" l="1"/>
  <c r="G53" i="11"/>
  <c r="C16" i="22"/>
  <c r="C13" i="22"/>
  <c r="I27" i="12"/>
  <c r="I66" i="8"/>
  <c r="L66" i="8" s="1"/>
  <c r="L16" i="3"/>
  <c r="I75" i="12"/>
  <c r="D38" i="12"/>
  <c r="D33" i="8"/>
  <c r="L20" i="3"/>
  <c r="E30" i="11"/>
  <c r="G30" i="11" s="1"/>
  <c r="L34" i="3"/>
  <c r="E28" i="11"/>
  <c r="G28" i="11" s="1"/>
  <c r="E14" i="11"/>
  <c r="D31" i="5"/>
  <c r="J31" i="5" s="1"/>
  <c r="D39" i="12"/>
  <c r="J18" i="1"/>
  <c r="J81" i="1" s="1"/>
  <c r="E39" i="11"/>
  <c r="G39" i="11" s="1"/>
  <c r="L17" i="3"/>
  <c r="F17" i="11"/>
  <c r="E35" i="11"/>
  <c r="G16" i="11"/>
  <c r="E37" i="11"/>
  <c r="G37" i="11" s="1"/>
  <c r="L32" i="3"/>
  <c r="E15" i="11"/>
  <c r="L37" i="3"/>
  <c r="L39" i="3"/>
  <c r="L35" i="3"/>
  <c r="L15" i="3"/>
  <c r="D37" i="5"/>
  <c r="G37" i="5" s="1"/>
  <c r="D39" i="8"/>
  <c r="D40" i="8"/>
  <c r="D31" i="8"/>
  <c r="D34" i="5"/>
  <c r="J34" i="5" s="1"/>
  <c r="D37" i="8"/>
  <c r="E57" i="11"/>
  <c r="G57" i="11" s="1"/>
  <c r="E54" i="11"/>
  <c r="G54" i="11" s="1"/>
  <c r="L55" i="3"/>
  <c r="E55" i="11"/>
  <c r="G55" i="11" s="1"/>
  <c r="L57" i="3"/>
  <c r="H68" i="1"/>
  <c r="D34" i="12"/>
  <c r="D37" i="12"/>
  <c r="D30" i="5"/>
  <c r="P30" i="5" s="1"/>
  <c r="D29" i="8"/>
  <c r="D32" i="8"/>
  <c r="D17" i="8"/>
  <c r="I17" i="8" s="1"/>
  <c r="L17" i="8" s="1"/>
  <c r="D17" i="12"/>
  <c r="D17" i="5"/>
  <c r="J17" i="5" s="1"/>
  <c r="M29" i="1"/>
  <c r="F34" i="12" s="1"/>
  <c r="D41" i="12"/>
  <c r="D35" i="12"/>
  <c r="D36" i="5"/>
  <c r="J36" i="5" s="1"/>
  <c r="D35" i="8"/>
  <c r="L41" i="8"/>
  <c r="F78" i="1"/>
  <c r="A74" i="3"/>
  <c r="A75" i="3" s="1"/>
  <c r="A72" i="3"/>
  <c r="A73" i="3" s="1"/>
  <c r="A73" i="5"/>
  <c r="A74" i="5" s="1"/>
  <c r="I65" i="8"/>
  <c r="L65" i="8" s="1"/>
  <c r="G79" i="1"/>
  <c r="E56" i="11"/>
  <c r="G56" i="11" s="1"/>
  <c r="E38" i="11"/>
  <c r="G38" i="11" s="1"/>
  <c r="E33" i="11"/>
  <c r="G33" i="11" s="1"/>
  <c r="E29" i="11"/>
  <c r="E19" i="11"/>
  <c r="C14" i="22" s="1"/>
  <c r="L56" i="3"/>
  <c r="E58" i="11"/>
  <c r="G58" i="11" s="1"/>
  <c r="E40" i="11"/>
  <c r="G40" i="11" s="1"/>
  <c r="E36" i="11"/>
  <c r="G36" i="11" s="1"/>
  <c r="E31" i="11"/>
  <c r="G31" i="11" s="1"/>
  <c r="E27" i="11"/>
  <c r="G27" i="11" s="1"/>
  <c r="E17" i="11"/>
  <c r="L38" i="3"/>
  <c r="L58" i="3"/>
  <c r="L19" i="3"/>
  <c r="L29" i="3"/>
  <c r="L33" i="3"/>
  <c r="D49" i="5"/>
  <c r="D49" i="8"/>
  <c r="D57" i="12"/>
  <c r="D50" i="5"/>
  <c r="D50" i="8"/>
  <c r="D58" i="12"/>
  <c r="L59" i="8"/>
  <c r="I80" i="1"/>
  <c r="H80" i="1"/>
  <c r="D47" i="5"/>
  <c r="D47" i="8"/>
  <c r="M47" i="1"/>
  <c r="F55" i="12" s="1"/>
  <c r="D55" i="12"/>
  <c r="D51" i="5"/>
  <c r="D51" i="8"/>
  <c r="D59" i="12"/>
  <c r="I79" i="1"/>
  <c r="J21" i="1"/>
  <c r="M21" i="1" s="1"/>
  <c r="F22" i="12" s="1"/>
  <c r="D48" i="5"/>
  <c r="D48" i="8"/>
  <c r="D56" i="12"/>
  <c r="D52" i="5"/>
  <c r="D52" i="8"/>
  <c r="D60" i="12"/>
  <c r="D22" i="5"/>
  <c r="D22" i="8"/>
  <c r="D23" i="12"/>
  <c r="D26" i="5"/>
  <c r="D26" i="8"/>
  <c r="D29" i="12"/>
  <c r="M25" i="1"/>
  <c r="F28" i="12" s="1"/>
  <c r="D25" i="5"/>
  <c r="D28" i="12"/>
  <c r="D25" i="8"/>
  <c r="I23" i="8"/>
  <c r="E25" i="11"/>
  <c r="G25" i="11" s="1"/>
  <c r="L25" i="3"/>
  <c r="E47" i="11"/>
  <c r="G47" i="11" s="1"/>
  <c r="L47" i="3"/>
  <c r="E51" i="11"/>
  <c r="G51" i="11" s="1"/>
  <c r="L51" i="3"/>
  <c r="E22" i="11"/>
  <c r="G22" i="11" s="1"/>
  <c r="L22" i="3"/>
  <c r="E50" i="11"/>
  <c r="G50" i="11" s="1"/>
  <c r="L50" i="3"/>
  <c r="E21" i="11"/>
  <c r="G21" i="11" s="1"/>
  <c r="L21" i="3"/>
  <c r="E49" i="11"/>
  <c r="G49" i="11" s="1"/>
  <c r="L49" i="3"/>
  <c r="E26" i="11"/>
  <c r="G26" i="11" s="1"/>
  <c r="L26" i="3"/>
  <c r="E48" i="11"/>
  <c r="G48" i="11" s="1"/>
  <c r="L48" i="3"/>
  <c r="E52" i="11"/>
  <c r="G52" i="11" s="1"/>
  <c r="L52" i="3"/>
  <c r="L23" i="8"/>
  <c r="I59" i="8"/>
  <c r="M35" i="1"/>
  <c r="F41" i="12" s="1"/>
  <c r="D45" i="12"/>
  <c r="D40" i="5"/>
  <c r="M40" i="5" s="1"/>
  <c r="D36" i="8"/>
  <c r="D14" i="8"/>
  <c r="I14" i="8" s="1"/>
  <c r="L14" i="8" s="1"/>
  <c r="J78" i="1"/>
  <c r="J80" i="1"/>
  <c r="M14" i="1"/>
  <c r="F14" i="12" s="1"/>
  <c r="D14" i="5"/>
  <c r="P14" i="5" s="1"/>
  <c r="D14" i="12"/>
  <c r="F83" i="1"/>
  <c r="F76" i="1"/>
  <c r="I84" i="1"/>
  <c r="I76" i="1"/>
  <c r="M23" i="5"/>
  <c r="J23" i="5"/>
  <c r="G23" i="5"/>
  <c r="P23" i="5"/>
  <c r="D38" i="5"/>
  <c r="D44" i="12"/>
  <c r="M17" i="1"/>
  <c r="F17" i="12" s="1"/>
  <c r="H83" i="1"/>
  <c r="H76" i="1"/>
  <c r="F18" i="11"/>
  <c r="G18" i="11" s="1"/>
  <c r="F14" i="11"/>
  <c r="L18" i="3"/>
  <c r="L14" i="3"/>
  <c r="I41" i="8"/>
  <c r="D16" i="5"/>
  <c r="D16" i="8"/>
  <c r="I16" i="8" s="1"/>
  <c r="L16" i="8" s="1"/>
  <c r="M16" i="1"/>
  <c r="F16" i="12" s="1"/>
  <c r="D16" i="12"/>
  <c r="H41" i="17"/>
  <c r="L41" i="17" s="1"/>
  <c r="F42" i="17"/>
  <c r="H42" i="17" s="1"/>
  <c r="L42" i="17" s="1"/>
  <c r="D62" i="12"/>
  <c r="D53" i="8"/>
  <c r="M53" i="1"/>
  <c r="F62" i="12" s="1"/>
  <c r="D53" i="5"/>
  <c r="D64" i="12"/>
  <c r="D55" i="8"/>
  <c r="D55" i="5"/>
  <c r="D66" i="12"/>
  <c r="D57" i="8"/>
  <c r="D57" i="5"/>
  <c r="M15" i="1"/>
  <c r="F15" i="12" s="1"/>
  <c r="D15" i="12"/>
  <c r="D15" i="5"/>
  <c r="D15" i="8"/>
  <c r="I15" i="8" s="1"/>
  <c r="L15" i="8" s="1"/>
  <c r="D27" i="5"/>
  <c r="D31" i="12"/>
  <c r="D27" i="8"/>
  <c r="P29" i="5"/>
  <c r="J29" i="5"/>
  <c r="G29" i="5"/>
  <c r="S29" i="5"/>
  <c r="M29" i="5"/>
  <c r="P35" i="5"/>
  <c r="J35" i="5"/>
  <c r="G35" i="5"/>
  <c r="S35" i="5"/>
  <c r="M35" i="5"/>
  <c r="P39" i="5"/>
  <c r="J39" i="5"/>
  <c r="G39" i="5"/>
  <c r="S39" i="5"/>
  <c r="M39" i="5"/>
  <c r="M13" i="1"/>
  <c r="F13" i="12" s="1"/>
  <c r="I13" i="12" s="1"/>
  <c r="D13" i="12"/>
  <c r="D13" i="8"/>
  <c r="D13" i="5"/>
  <c r="P32" i="5"/>
  <c r="S32" i="5"/>
  <c r="J32" i="5"/>
  <c r="M32" i="5"/>
  <c r="G32" i="5"/>
  <c r="H60" i="17"/>
  <c r="L60" i="17" s="1"/>
  <c r="I68" i="1"/>
  <c r="D28" i="5"/>
  <c r="D32" i="12"/>
  <c r="D28" i="8"/>
  <c r="D54" i="5"/>
  <c r="D63" i="12"/>
  <c r="D54" i="8"/>
  <c r="D56" i="5"/>
  <c r="D65" i="12"/>
  <c r="D56" i="8"/>
  <c r="D58" i="5"/>
  <c r="D67" i="12"/>
  <c r="D58" i="8"/>
  <c r="P33" i="5"/>
  <c r="J33" i="5"/>
  <c r="G33" i="5"/>
  <c r="S33" i="5"/>
  <c r="M33" i="5"/>
  <c r="F68" i="1"/>
  <c r="P37" i="5" l="1"/>
  <c r="G35" i="11"/>
  <c r="C15" i="22"/>
  <c r="G15" i="11"/>
  <c r="C12" i="22"/>
  <c r="M37" i="5"/>
  <c r="S37" i="5"/>
  <c r="P34" i="5"/>
  <c r="G34" i="5"/>
  <c r="J37" i="5"/>
  <c r="I14" i="12"/>
  <c r="G30" i="5"/>
  <c r="D18" i="12"/>
  <c r="G14" i="11"/>
  <c r="M34" i="5"/>
  <c r="S34" i="5"/>
  <c r="M31" i="5"/>
  <c r="G14" i="5"/>
  <c r="G31" i="5"/>
  <c r="D18" i="8"/>
  <c r="I18" i="8" s="1"/>
  <c r="L18" i="8" s="1"/>
  <c r="B89" i="19"/>
  <c r="I47" i="12"/>
  <c r="C89" i="19" s="1"/>
  <c r="I24" i="12"/>
  <c r="S31" i="5"/>
  <c r="I40" i="12"/>
  <c r="M18" i="1"/>
  <c r="F18" i="12" s="1"/>
  <c r="I68" i="12"/>
  <c r="C90" i="19" s="1"/>
  <c r="I61" i="12"/>
  <c r="P31" i="5"/>
  <c r="I30" i="12"/>
  <c r="D18" i="5"/>
  <c r="J18" i="5" s="1"/>
  <c r="G17" i="11"/>
  <c r="I35" i="8"/>
  <c r="S14" i="5"/>
  <c r="M14" i="5"/>
  <c r="P17" i="5"/>
  <c r="M17" i="5"/>
  <c r="M30" i="5"/>
  <c r="J14" i="5"/>
  <c r="S17" i="5"/>
  <c r="G17" i="5"/>
  <c r="L29" i="8"/>
  <c r="L35" i="8"/>
  <c r="S30" i="5"/>
  <c r="J30" i="5"/>
  <c r="I29" i="8"/>
  <c r="S36" i="5"/>
  <c r="P36" i="5"/>
  <c r="M36" i="5"/>
  <c r="G36" i="5"/>
  <c r="J84" i="1"/>
  <c r="F77" i="1"/>
  <c r="I17" i="12"/>
  <c r="I85" i="1"/>
  <c r="G19" i="11"/>
  <c r="G29" i="11"/>
  <c r="I25" i="8"/>
  <c r="L25" i="8"/>
  <c r="M25" i="5"/>
  <c r="G25" i="5"/>
  <c r="S25" i="5"/>
  <c r="J25" i="5"/>
  <c r="P25" i="5"/>
  <c r="M26" i="5"/>
  <c r="G26" i="5"/>
  <c r="S26" i="5"/>
  <c r="J26" i="5"/>
  <c r="P26" i="5"/>
  <c r="M52" i="5"/>
  <c r="G52" i="5"/>
  <c r="S52" i="5"/>
  <c r="J52" i="5"/>
  <c r="P52" i="5"/>
  <c r="D21" i="5"/>
  <c r="D22" i="12"/>
  <c r="D21" i="8"/>
  <c r="M51" i="5"/>
  <c r="G51" i="5"/>
  <c r="S51" i="5"/>
  <c r="J51" i="5"/>
  <c r="P51" i="5"/>
  <c r="M47" i="5"/>
  <c r="G47" i="5"/>
  <c r="S47" i="5"/>
  <c r="J47" i="5"/>
  <c r="P47" i="5"/>
  <c r="M49" i="5"/>
  <c r="G49" i="5"/>
  <c r="S49" i="5"/>
  <c r="J49" i="5"/>
  <c r="P49" i="5"/>
  <c r="M22" i="5"/>
  <c r="G22" i="5"/>
  <c r="S22" i="5"/>
  <c r="J22" i="5"/>
  <c r="P22" i="5"/>
  <c r="M48" i="5"/>
  <c r="G48" i="5"/>
  <c r="S48" i="5"/>
  <c r="J48" i="5"/>
  <c r="P48" i="5"/>
  <c r="I47" i="8"/>
  <c r="L47" i="8"/>
  <c r="M50" i="5"/>
  <c r="G50" i="5"/>
  <c r="S50" i="5"/>
  <c r="J50" i="5"/>
  <c r="P50" i="5"/>
  <c r="S40" i="5"/>
  <c r="P40" i="5"/>
  <c r="G40" i="5"/>
  <c r="F85" i="1"/>
  <c r="F82" i="1"/>
  <c r="H77" i="1"/>
  <c r="H82" i="1"/>
  <c r="S38" i="5"/>
  <c r="M38" i="5"/>
  <c r="P38" i="5"/>
  <c r="J38" i="5"/>
  <c r="G38" i="5"/>
  <c r="I77" i="1"/>
  <c r="I82" i="1"/>
  <c r="H85" i="1"/>
  <c r="B88" i="19"/>
  <c r="I16" i="12"/>
  <c r="C88" i="19" s="1"/>
  <c r="J16" i="5"/>
  <c r="G16" i="5"/>
  <c r="S16" i="5"/>
  <c r="M16" i="5"/>
  <c r="P16" i="5"/>
  <c r="J56" i="5"/>
  <c r="M56" i="5"/>
  <c r="G56" i="5"/>
  <c r="P56" i="5"/>
  <c r="S56" i="5"/>
  <c r="J28" i="5"/>
  <c r="M28" i="5"/>
  <c r="G28" i="5"/>
  <c r="P28" i="5"/>
  <c r="S28" i="5"/>
  <c r="J13" i="5"/>
  <c r="M13" i="5"/>
  <c r="G13" i="5"/>
  <c r="P13" i="5"/>
  <c r="S13" i="5"/>
  <c r="S27" i="5"/>
  <c r="M27" i="5"/>
  <c r="P27" i="5"/>
  <c r="J27" i="5"/>
  <c r="G27" i="5"/>
  <c r="P15" i="5"/>
  <c r="J15" i="5"/>
  <c r="G15" i="5"/>
  <c r="S15" i="5"/>
  <c r="M15" i="5"/>
  <c r="B87" i="19"/>
  <c r="I15" i="12"/>
  <c r="C87" i="19" s="1"/>
  <c r="S55" i="5"/>
  <c r="M55" i="5"/>
  <c r="J55" i="5"/>
  <c r="P55" i="5"/>
  <c r="G55" i="5"/>
  <c r="B90" i="19"/>
  <c r="P58" i="5"/>
  <c r="S58" i="5"/>
  <c r="J58" i="5"/>
  <c r="M58" i="5"/>
  <c r="G58" i="5"/>
  <c r="P54" i="5"/>
  <c r="S54" i="5"/>
  <c r="J54" i="5"/>
  <c r="M54" i="5"/>
  <c r="G54" i="5"/>
  <c r="I13" i="8"/>
  <c r="I27" i="8"/>
  <c r="L27" i="8"/>
  <c r="P57" i="5"/>
  <c r="J57" i="5"/>
  <c r="G57" i="5"/>
  <c r="S57" i="5"/>
  <c r="M57" i="5"/>
  <c r="P53" i="5"/>
  <c r="J53" i="5"/>
  <c r="G53" i="5"/>
  <c r="M53" i="5"/>
  <c r="S53" i="5"/>
  <c r="I53" i="8"/>
  <c r="L53" i="8"/>
  <c r="S18" i="5" l="1"/>
  <c r="I18" i="12"/>
  <c r="P18" i="5"/>
  <c r="M18" i="5"/>
  <c r="G18" i="5"/>
  <c r="L21" i="8"/>
  <c r="I21" i="8"/>
  <c r="M21" i="5"/>
  <c r="G21" i="5"/>
  <c r="S21" i="5"/>
  <c r="J21" i="5"/>
  <c r="P21" i="5"/>
  <c r="L13" i="8"/>
  <c r="J20" i="1" l="1"/>
  <c r="D20" i="8" s="1"/>
  <c r="G68" i="1"/>
  <c r="G83" i="1"/>
  <c r="G76" i="1"/>
  <c r="J19" i="1"/>
  <c r="D19" i="5" l="1"/>
  <c r="J79" i="1"/>
  <c r="G77" i="1"/>
  <c r="G82" i="1"/>
  <c r="D19" i="12"/>
  <c r="J68" i="1"/>
  <c r="J76" i="1"/>
  <c r="J83" i="1"/>
  <c r="D19" i="8"/>
  <c r="M19" i="1"/>
  <c r="F19" i="12" s="1"/>
  <c r="G85" i="1"/>
  <c r="D20" i="12"/>
  <c r="D20" i="5"/>
  <c r="S19" i="5" l="1"/>
  <c r="D69" i="5"/>
  <c r="D70" i="5" s="1"/>
  <c r="I21" i="12"/>
  <c r="M19" i="5"/>
  <c r="P19" i="5"/>
  <c r="G19" i="5"/>
  <c r="J19" i="5"/>
  <c r="J77" i="1"/>
  <c r="J82" i="1"/>
  <c r="J85" i="1"/>
  <c r="J20" i="5"/>
  <c r="M20" i="5"/>
  <c r="S20" i="5"/>
  <c r="S69" i="5" s="1"/>
  <c r="T69" i="5" s="1"/>
  <c r="P20" i="5"/>
  <c r="G20" i="5"/>
  <c r="I19" i="8"/>
  <c r="I69" i="8" s="1"/>
  <c r="D69" i="8"/>
  <c r="L19" i="8"/>
  <c r="N69" i="8" s="1"/>
  <c r="W69" i="8" l="1"/>
  <c r="X13" i="8" s="1"/>
  <c r="Y13" i="8" s="1"/>
  <c r="M69" i="5"/>
  <c r="N69" i="5" s="1"/>
  <c r="N25" i="5" s="1"/>
  <c r="H25" i="7" s="1"/>
  <c r="F21" i="44" s="1"/>
  <c r="J69" i="5"/>
  <c r="P69" i="5"/>
  <c r="Q69" i="5" s="1"/>
  <c r="G69" i="5"/>
  <c r="Z69" i="8"/>
  <c r="Q69" i="8"/>
  <c r="R19" i="8" s="1"/>
  <c r="T69" i="8"/>
  <c r="L69" i="8"/>
  <c r="H69" i="5" l="1"/>
  <c r="H13" i="5" s="1"/>
  <c r="K69" i="5"/>
  <c r="K13" i="5" s="1"/>
  <c r="G13" i="7" s="1"/>
  <c r="E13" i="44" s="1"/>
  <c r="X66" i="8"/>
  <c r="Y66" i="8" s="1"/>
  <c r="W66" i="7" s="1"/>
  <c r="P77" i="12" s="1"/>
  <c r="Q77" i="12" s="1"/>
  <c r="R77" i="12" s="1"/>
  <c r="X65" i="8"/>
  <c r="Y65" i="8" s="1"/>
  <c r="W65" i="7" s="1"/>
  <c r="P76" i="12" s="1"/>
  <c r="Q76" i="12" s="1"/>
  <c r="R76" i="12" s="1"/>
  <c r="X17" i="8"/>
  <c r="Y17" i="8" s="1"/>
  <c r="W17" i="7" s="1"/>
  <c r="P17" i="12" s="1"/>
  <c r="Q17" i="12" s="1"/>
  <c r="R17" i="12" s="1"/>
  <c r="X16" i="8"/>
  <c r="Y16" i="8" s="1"/>
  <c r="W16" i="7" s="1"/>
  <c r="P16" i="12" s="1"/>
  <c r="Q16" i="12" s="1"/>
  <c r="R16" i="12" s="1"/>
  <c r="X23" i="8"/>
  <c r="X41" i="8"/>
  <c r="X14" i="8"/>
  <c r="Y14" i="8" s="1"/>
  <c r="W14" i="7" s="1"/>
  <c r="P14" i="12" s="1"/>
  <c r="Q14" i="12" s="1"/>
  <c r="R14" i="12" s="1"/>
  <c r="X59" i="8"/>
  <c r="X18" i="8"/>
  <c r="Y18" i="8" s="1"/>
  <c r="W18" i="7" s="1"/>
  <c r="P18" i="12" s="1"/>
  <c r="Q18" i="12" s="1"/>
  <c r="R18" i="12" s="1"/>
  <c r="X15" i="8"/>
  <c r="Y15" i="8" s="1"/>
  <c r="W15" i="7" s="1"/>
  <c r="P15" i="12" s="1"/>
  <c r="Q15" i="12" s="1"/>
  <c r="R15" i="12" s="1"/>
  <c r="X47" i="8"/>
  <c r="X53" i="8"/>
  <c r="X25" i="8"/>
  <c r="X29" i="8"/>
  <c r="X27" i="8"/>
  <c r="X35" i="8"/>
  <c r="X21" i="8"/>
  <c r="X19" i="8"/>
  <c r="U17" i="8"/>
  <c r="V17" i="8" s="1"/>
  <c r="V17" i="7" s="1"/>
  <c r="I17" i="44" s="1"/>
  <c r="U16" i="8"/>
  <c r="V16" i="8" s="1"/>
  <c r="V16" i="7" s="1"/>
  <c r="I16" i="44" s="1"/>
  <c r="U23" i="8"/>
  <c r="U18" i="8"/>
  <c r="V18" i="8" s="1"/>
  <c r="V18" i="7" s="1"/>
  <c r="I18" i="44" s="1"/>
  <c r="U59" i="8"/>
  <c r="U41" i="8"/>
  <c r="U14" i="8"/>
  <c r="V14" i="8" s="1"/>
  <c r="V14" i="7" s="1"/>
  <c r="I14" i="44" s="1"/>
  <c r="U15" i="8"/>
  <c r="V15" i="8" s="1"/>
  <c r="V15" i="7" s="1"/>
  <c r="I15" i="44" s="1"/>
  <c r="U47" i="8"/>
  <c r="U53" i="8"/>
  <c r="U25" i="8"/>
  <c r="U29" i="8"/>
  <c r="U27" i="8"/>
  <c r="U35" i="8"/>
  <c r="U13" i="8"/>
  <c r="V13" i="8" s="1"/>
  <c r="U21" i="8"/>
  <c r="U19" i="8"/>
  <c r="K24" i="5"/>
  <c r="G24" i="7" s="1"/>
  <c r="E24" i="44" s="1"/>
  <c r="N42" i="5"/>
  <c r="H42" i="7" s="1"/>
  <c r="F42" i="44" s="1"/>
  <c r="N23" i="5"/>
  <c r="H23" i="7" s="1"/>
  <c r="F23" i="44" s="1"/>
  <c r="N58" i="5"/>
  <c r="H58" i="7" s="1"/>
  <c r="F58" i="44" s="1"/>
  <c r="N26" i="5"/>
  <c r="H26" i="7" s="1"/>
  <c r="F22" i="44" s="1"/>
  <c r="N18" i="5"/>
  <c r="H18" i="7" s="1"/>
  <c r="F18" i="44" s="1"/>
  <c r="N49" i="5"/>
  <c r="H49" i="7" s="1"/>
  <c r="F49" i="44" s="1"/>
  <c r="N21" i="5"/>
  <c r="H21" i="7" s="1"/>
  <c r="F25" i="44" s="1"/>
  <c r="N13" i="5"/>
  <c r="H13" i="7" s="1"/>
  <c r="F13" i="44" s="1"/>
  <c r="N20" i="5"/>
  <c r="H20" i="7" s="1"/>
  <c r="F20" i="44" s="1"/>
  <c r="K33" i="5"/>
  <c r="G33" i="7" s="1"/>
  <c r="E33" i="44" s="1"/>
  <c r="K66" i="5"/>
  <c r="G66" i="7" s="1"/>
  <c r="E66" i="44" s="1"/>
  <c r="K36" i="5"/>
  <c r="G36" i="7" s="1"/>
  <c r="E36" i="44" s="1"/>
  <c r="K37" i="5"/>
  <c r="G37" i="7" s="1"/>
  <c r="E37" i="44" s="1"/>
  <c r="K19" i="5"/>
  <c r="G19" i="7" s="1"/>
  <c r="E19" i="44" s="1"/>
  <c r="K16" i="5"/>
  <c r="G16" i="7" s="1"/>
  <c r="E16" i="44" s="1"/>
  <c r="K51" i="5"/>
  <c r="G51" i="7" s="1"/>
  <c r="E51" i="44" s="1"/>
  <c r="N16" i="5"/>
  <c r="H16" i="7" s="1"/>
  <c r="F16" i="44" s="1"/>
  <c r="N57" i="5"/>
  <c r="H57" i="7" s="1"/>
  <c r="F57" i="44" s="1"/>
  <c r="K43" i="5"/>
  <c r="G43" i="7" s="1"/>
  <c r="E43" i="44" s="1"/>
  <c r="K20" i="5"/>
  <c r="G20" i="7" s="1"/>
  <c r="E20" i="44" s="1"/>
  <c r="K21" i="5"/>
  <c r="G21" i="7" s="1"/>
  <c r="E25" i="44" s="1"/>
  <c r="K53" i="5"/>
  <c r="G53" i="7" s="1"/>
  <c r="E53" i="44" s="1"/>
  <c r="K60" i="5"/>
  <c r="G60" i="7" s="1"/>
  <c r="E60" i="44" s="1"/>
  <c r="K31" i="5"/>
  <c r="G31" i="7" s="1"/>
  <c r="E31" i="44" s="1"/>
  <c r="K49" i="5"/>
  <c r="G49" i="7" s="1"/>
  <c r="E49" i="44" s="1"/>
  <c r="N34" i="5"/>
  <c r="H34" i="7" s="1"/>
  <c r="F34" i="44" s="1"/>
  <c r="N35" i="5"/>
  <c r="H35" i="7" s="1"/>
  <c r="F35" i="44" s="1"/>
  <c r="N66" i="5"/>
  <c r="H66" i="7" s="1"/>
  <c r="F66" i="44" s="1"/>
  <c r="N61" i="5"/>
  <c r="H61" i="7" s="1"/>
  <c r="F61" i="44" s="1"/>
  <c r="N65" i="5"/>
  <c r="H65" i="7" s="1"/>
  <c r="F65" i="44" s="1"/>
  <c r="N41" i="5"/>
  <c r="H41" i="7" s="1"/>
  <c r="F41" i="44" s="1"/>
  <c r="N37" i="5"/>
  <c r="H37" i="7" s="1"/>
  <c r="F37" i="44" s="1"/>
  <c r="N19" i="5"/>
  <c r="H19" i="7" s="1"/>
  <c r="F19" i="44" s="1"/>
  <c r="N17" i="5"/>
  <c r="H17" i="7" s="1"/>
  <c r="F17" i="44" s="1"/>
  <c r="N32" i="5"/>
  <c r="H32" i="7" s="1"/>
  <c r="F32" i="44" s="1"/>
  <c r="N59" i="5"/>
  <c r="H59" i="7" s="1"/>
  <c r="F59" i="44" s="1"/>
  <c r="N55" i="5"/>
  <c r="H55" i="7" s="1"/>
  <c r="F55" i="44" s="1"/>
  <c r="N45" i="5"/>
  <c r="H45" i="7" s="1"/>
  <c r="F45" i="44" s="1"/>
  <c r="N31" i="5"/>
  <c r="H31" i="7" s="1"/>
  <c r="F31" i="44" s="1"/>
  <c r="N50" i="5"/>
  <c r="H50" i="7" s="1"/>
  <c r="F50" i="44" s="1"/>
  <c r="N22" i="5"/>
  <c r="H22" i="7" s="1"/>
  <c r="F26" i="44" s="1"/>
  <c r="N15" i="5"/>
  <c r="H15" i="7" s="1"/>
  <c r="F15" i="44" s="1"/>
  <c r="N64" i="5"/>
  <c r="H64" i="7" s="1"/>
  <c r="F64" i="44" s="1"/>
  <c r="N24" i="5"/>
  <c r="H24" i="7" s="1"/>
  <c r="F24" i="44" s="1"/>
  <c r="N29" i="5"/>
  <c r="H29" i="7" s="1"/>
  <c r="F29" i="44" s="1"/>
  <c r="N43" i="5"/>
  <c r="H43" i="7" s="1"/>
  <c r="F43" i="44" s="1"/>
  <c r="N28" i="5"/>
  <c r="H28" i="7" s="1"/>
  <c r="F28" i="44" s="1"/>
  <c r="N63" i="5"/>
  <c r="H63" i="7" s="1"/>
  <c r="F63" i="44" s="1"/>
  <c r="N36" i="5"/>
  <c r="H36" i="7" s="1"/>
  <c r="F36" i="44" s="1"/>
  <c r="N54" i="5"/>
  <c r="H54" i="7" s="1"/>
  <c r="F54" i="44" s="1"/>
  <c r="N33" i="5"/>
  <c r="H33" i="7" s="1"/>
  <c r="F33" i="44" s="1"/>
  <c r="N53" i="5"/>
  <c r="H53" i="7" s="1"/>
  <c r="F53" i="44" s="1"/>
  <c r="N52" i="5"/>
  <c r="H52" i="7" s="1"/>
  <c r="F52" i="44" s="1"/>
  <c r="N40" i="5"/>
  <c r="H40" i="7" s="1"/>
  <c r="F40" i="44" s="1"/>
  <c r="N27" i="5"/>
  <c r="H27" i="7" s="1"/>
  <c r="F27" i="44" s="1"/>
  <c r="N30" i="5"/>
  <c r="H30" i="7" s="1"/>
  <c r="F30" i="44" s="1"/>
  <c r="N46" i="5"/>
  <c r="H46" i="7" s="1"/>
  <c r="F46" i="44" s="1"/>
  <c r="N62" i="5"/>
  <c r="H62" i="7" s="1"/>
  <c r="F62" i="44" s="1"/>
  <c r="N44" i="5"/>
  <c r="H44" i="7" s="1"/>
  <c r="F44" i="44" s="1"/>
  <c r="N14" i="5"/>
  <c r="H14" i="7" s="1"/>
  <c r="F14" i="44" s="1"/>
  <c r="N38" i="5"/>
  <c r="H38" i="7" s="1"/>
  <c r="F38" i="44" s="1"/>
  <c r="N56" i="5"/>
  <c r="H56" i="7" s="1"/>
  <c r="F56" i="44" s="1"/>
  <c r="N39" i="5"/>
  <c r="H39" i="7" s="1"/>
  <c r="F39" i="44" s="1"/>
  <c r="N60" i="5"/>
  <c r="H60" i="7" s="1"/>
  <c r="F60" i="44" s="1"/>
  <c r="N48" i="5"/>
  <c r="H48" i="7" s="1"/>
  <c r="F48" i="44" s="1"/>
  <c r="K32" i="5"/>
  <c r="G32" i="7" s="1"/>
  <c r="E32" i="44" s="1"/>
  <c r="K23" i="5"/>
  <c r="G23" i="7" s="1"/>
  <c r="E23" i="44" s="1"/>
  <c r="K38" i="5"/>
  <c r="G38" i="7" s="1"/>
  <c r="E38" i="44" s="1"/>
  <c r="K34" i="5"/>
  <c r="G34" i="7" s="1"/>
  <c r="E34" i="44" s="1"/>
  <c r="K61" i="5"/>
  <c r="G61" i="7" s="1"/>
  <c r="E61" i="44" s="1"/>
  <c r="K25" i="5"/>
  <c r="G25" i="7" s="1"/>
  <c r="E21" i="44" s="1"/>
  <c r="K63" i="5"/>
  <c r="G63" i="7" s="1"/>
  <c r="E63" i="44" s="1"/>
  <c r="K58" i="5"/>
  <c r="G58" i="7" s="1"/>
  <c r="E58" i="44" s="1"/>
  <c r="K28" i="5"/>
  <c r="G28" i="7" s="1"/>
  <c r="E28" i="44" s="1"/>
  <c r="K46" i="5"/>
  <c r="G46" i="7" s="1"/>
  <c r="E46" i="44" s="1"/>
  <c r="K65" i="5"/>
  <c r="G65" i="7" s="1"/>
  <c r="E65" i="44" s="1"/>
  <c r="K57" i="5"/>
  <c r="G57" i="7" s="1"/>
  <c r="E57" i="44" s="1"/>
  <c r="K41" i="5"/>
  <c r="G41" i="7" s="1"/>
  <c r="E41" i="44" s="1"/>
  <c r="K39" i="5"/>
  <c r="G39" i="7" s="1"/>
  <c r="E39" i="44" s="1"/>
  <c r="H28" i="5"/>
  <c r="F28" i="7" s="1"/>
  <c r="K50" i="5"/>
  <c r="G50" i="7" s="1"/>
  <c r="E50" i="44" s="1"/>
  <c r="K22" i="5"/>
  <c r="G22" i="7" s="1"/>
  <c r="E26" i="44" s="1"/>
  <c r="K14" i="5"/>
  <c r="G14" i="7" s="1"/>
  <c r="E14" i="44" s="1"/>
  <c r="K64" i="5"/>
  <c r="G64" i="7" s="1"/>
  <c r="E64" i="44" s="1"/>
  <c r="K44" i="5"/>
  <c r="G44" i="7" s="1"/>
  <c r="E44" i="44" s="1"/>
  <c r="K29" i="5"/>
  <c r="G29" i="7" s="1"/>
  <c r="E29" i="44" s="1"/>
  <c r="K45" i="5"/>
  <c r="G45" i="7" s="1"/>
  <c r="E45" i="44" s="1"/>
  <c r="K54" i="5"/>
  <c r="G54" i="7" s="1"/>
  <c r="E54" i="44" s="1"/>
  <c r="K55" i="5"/>
  <c r="G55" i="7" s="1"/>
  <c r="E55" i="44" s="1"/>
  <c r="K48" i="5"/>
  <c r="G48" i="7" s="1"/>
  <c r="E48" i="44" s="1"/>
  <c r="K52" i="5"/>
  <c r="G52" i="7" s="1"/>
  <c r="E52" i="44" s="1"/>
  <c r="H59" i="5"/>
  <c r="F59" i="7" s="1"/>
  <c r="H56" i="5"/>
  <c r="F56" i="7" s="1"/>
  <c r="H29" i="5"/>
  <c r="F29" i="7" s="1"/>
  <c r="H60" i="5"/>
  <c r="F60" i="7" s="1"/>
  <c r="H41" i="5"/>
  <c r="F41" i="7" s="1"/>
  <c r="H19" i="5"/>
  <c r="F19" i="7" s="1"/>
  <c r="H62" i="5"/>
  <c r="F62" i="7" s="1"/>
  <c r="H58" i="5"/>
  <c r="F58" i="7" s="1"/>
  <c r="H17" i="5"/>
  <c r="F17" i="7" s="1"/>
  <c r="H54" i="5"/>
  <c r="F54" i="7" s="1"/>
  <c r="H30" i="5"/>
  <c r="F30" i="7" s="1"/>
  <c r="H44" i="5"/>
  <c r="F44" i="7" s="1"/>
  <c r="H34" i="5"/>
  <c r="F34" i="7" s="1"/>
  <c r="H61" i="5"/>
  <c r="F61" i="7" s="1"/>
  <c r="H36" i="5"/>
  <c r="F36" i="7" s="1"/>
  <c r="H42" i="5"/>
  <c r="F42" i="7" s="1"/>
  <c r="N47" i="5"/>
  <c r="H47" i="7" s="1"/>
  <c r="F47" i="44" s="1"/>
  <c r="N51" i="5"/>
  <c r="H51" i="7" s="1"/>
  <c r="F51" i="44" s="1"/>
  <c r="H53" i="5"/>
  <c r="F53" i="7" s="1"/>
  <c r="H46" i="5"/>
  <c r="F46" i="7" s="1"/>
  <c r="H20" i="5"/>
  <c r="F20" i="7" s="1"/>
  <c r="H40" i="5"/>
  <c r="F40" i="7" s="1"/>
  <c r="H37" i="5"/>
  <c r="F37" i="7" s="1"/>
  <c r="H57" i="5"/>
  <c r="F57" i="7" s="1"/>
  <c r="H63" i="5"/>
  <c r="F63" i="7" s="1"/>
  <c r="H35" i="5"/>
  <c r="F35" i="7" s="1"/>
  <c r="H66" i="5"/>
  <c r="F66" i="7" s="1"/>
  <c r="H31" i="5"/>
  <c r="F31" i="7" s="1"/>
  <c r="H15" i="5"/>
  <c r="F15" i="7" s="1"/>
  <c r="F13" i="7"/>
  <c r="H45" i="5"/>
  <c r="F45" i="7" s="1"/>
  <c r="H64" i="5"/>
  <c r="F64" i="7" s="1"/>
  <c r="H33" i="5"/>
  <c r="F33" i="7" s="1"/>
  <c r="H55" i="5"/>
  <c r="F55" i="7" s="1"/>
  <c r="H65" i="5"/>
  <c r="F65" i="7" s="1"/>
  <c r="H27" i="5"/>
  <c r="F27" i="7" s="1"/>
  <c r="H21" i="5"/>
  <c r="F21" i="7" s="1"/>
  <c r="H25" i="5"/>
  <c r="F25" i="7" s="1"/>
  <c r="H48" i="5"/>
  <c r="F48" i="7" s="1"/>
  <c r="H50" i="5"/>
  <c r="F50" i="7" s="1"/>
  <c r="H22" i="5"/>
  <c r="F22" i="7" s="1"/>
  <c r="S20" i="8"/>
  <c r="L20" i="7" s="1"/>
  <c r="S19" i="8"/>
  <c r="L19" i="7" s="1"/>
  <c r="O47" i="8"/>
  <c r="O25" i="8"/>
  <c r="O21" i="8"/>
  <c r="AA47" i="8"/>
  <c r="AA25" i="8"/>
  <c r="AA21" i="8"/>
  <c r="R25" i="8"/>
  <c r="R47" i="8"/>
  <c r="R21" i="8"/>
  <c r="U65" i="8"/>
  <c r="V65" i="8" s="1"/>
  <c r="V65" i="7" s="1"/>
  <c r="I65" i="44" s="1"/>
  <c r="U66" i="8"/>
  <c r="V66" i="8" s="1"/>
  <c r="V66" i="7" s="1"/>
  <c r="I66" i="44" s="1"/>
  <c r="O14" i="8"/>
  <c r="P14" i="8" s="1"/>
  <c r="O15" i="8"/>
  <c r="P15" i="8" s="1"/>
  <c r="O27" i="8"/>
  <c r="O23" i="8"/>
  <c r="O35" i="8"/>
  <c r="O65" i="8"/>
  <c r="P65" i="8" s="1"/>
  <c r="O66" i="8"/>
  <c r="P66" i="8" s="1"/>
  <c r="O29" i="8"/>
  <c r="O17" i="8"/>
  <c r="P17" i="8" s="1"/>
  <c r="O16" i="8"/>
  <c r="P16" i="8" s="1"/>
  <c r="O41" i="8"/>
  <c r="O18" i="8"/>
  <c r="P18" i="8" s="1"/>
  <c r="O13" i="8"/>
  <c r="P13" i="8" s="1"/>
  <c r="K13" i="7" s="1"/>
  <c r="O53" i="8"/>
  <c r="O59" i="8"/>
  <c r="AA65" i="8"/>
  <c r="AA17" i="8"/>
  <c r="AA13" i="8"/>
  <c r="AB13" i="8" s="1"/>
  <c r="U13" i="3" s="1"/>
  <c r="AA14" i="8"/>
  <c r="AA15" i="8"/>
  <c r="AA18" i="8"/>
  <c r="AA41" i="8"/>
  <c r="AA35" i="8"/>
  <c r="AA29" i="8"/>
  <c r="AA59" i="8"/>
  <c r="AA66" i="8"/>
  <c r="AA23" i="8"/>
  <c r="AA27" i="8"/>
  <c r="AA16" i="8"/>
  <c r="AA53" i="8"/>
  <c r="R17" i="8"/>
  <c r="S17" i="8" s="1"/>
  <c r="R14" i="8"/>
  <c r="S14" i="8" s="1"/>
  <c r="R66" i="8"/>
  <c r="S66" i="8" s="1"/>
  <c r="R59" i="8"/>
  <c r="R13" i="8"/>
  <c r="S13" i="8" s="1"/>
  <c r="R15" i="8"/>
  <c r="S15" i="8" s="1"/>
  <c r="R16" i="8"/>
  <c r="S16" i="8" s="1"/>
  <c r="R27" i="8"/>
  <c r="R65" i="8"/>
  <c r="S65" i="8" s="1"/>
  <c r="R41" i="8"/>
  <c r="R29" i="8"/>
  <c r="R35" i="8"/>
  <c r="R18" i="8"/>
  <c r="S18" i="8" s="1"/>
  <c r="R23" i="8"/>
  <c r="R53" i="8"/>
  <c r="AA19" i="8"/>
  <c r="O19" i="8"/>
  <c r="P19" i="8" s="1"/>
  <c r="I41" i="7" l="1"/>
  <c r="I31" i="7"/>
  <c r="J31" i="7" s="1"/>
  <c r="H39" i="5"/>
  <c r="F39" i="7" s="1"/>
  <c r="H38" i="5"/>
  <c r="F38" i="7" s="1"/>
  <c r="H24" i="5"/>
  <c r="F24" i="7" s="1"/>
  <c r="H49" i="5"/>
  <c r="F49" i="7" s="1"/>
  <c r="AI49" i="7" s="1"/>
  <c r="H18" i="5"/>
  <c r="F18" i="7" s="1"/>
  <c r="K18" i="5"/>
  <c r="G18" i="7" s="1"/>
  <c r="E18" i="44" s="1"/>
  <c r="K27" i="5"/>
  <c r="G27" i="7" s="1"/>
  <c r="E27" i="44" s="1"/>
  <c r="K62" i="5"/>
  <c r="G62" i="7" s="1"/>
  <c r="E62" i="44" s="1"/>
  <c r="H47" i="5"/>
  <c r="F47" i="7" s="1"/>
  <c r="K59" i="5"/>
  <c r="G59" i="7" s="1"/>
  <c r="E59" i="44" s="1"/>
  <c r="K17" i="5"/>
  <c r="G17" i="7" s="1"/>
  <c r="E17" i="44" s="1"/>
  <c r="H52" i="5"/>
  <c r="F52" i="7" s="1"/>
  <c r="I52" i="7" s="1"/>
  <c r="J52" i="7" s="1"/>
  <c r="H16" i="5"/>
  <c r="F16" i="7" s="1"/>
  <c r="D16" i="44" s="1"/>
  <c r="H51" i="5"/>
  <c r="F51" i="7" s="1"/>
  <c r="AI51" i="7" s="1"/>
  <c r="H32" i="5"/>
  <c r="F32" i="7" s="1"/>
  <c r="I32" i="7" s="1"/>
  <c r="J32" i="7" s="1"/>
  <c r="H23" i="5"/>
  <c r="F23" i="7" s="1"/>
  <c r="D23" i="44" s="1"/>
  <c r="H43" i="5"/>
  <c r="F43" i="7" s="1"/>
  <c r="H14" i="5"/>
  <c r="F14" i="7" s="1"/>
  <c r="I14" i="7" s="1"/>
  <c r="J14" i="7" s="1"/>
  <c r="K35" i="5"/>
  <c r="G35" i="7" s="1"/>
  <c r="E35" i="44" s="1"/>
  <c r="K40" i="5"/>
  <c r="G40" i="7" s="1"/>
  <c r="E40" i="44" s="1"/>
  <c r="K30" i="5"/>
  <c r="G30" i="7" s="1"/>
  <c r="E30" i="44" s="1"/>
  <c r="K47" i="5"/>
  <c r="G47" i="7" s="1"/>
  <c r="E47" i="44" s="1"/>
  <c r="K42" i="5"/>
  <c r="G42" i="7" s="1"/>
  <c r="E42" i="44" s="1"/>
  <c r="K15" i="5"/>
  <c r="G15" i="7" s="1"/>
  <c r="H85" i="52" s="1"/>
  <c r="H115" i="52" s="1"/>
  <c r="K56" i="5"/>
  <c r="G56" i="7" s="1"/>
  <c r="E56" i="44" s="1"/>
  <c r="I25" i="7"/>
  <c r="J25" i="7" s="1"/>
  <c r="K26" i="5"/>
  <c r="G26" i="7" s="1"/>
  <c r="E22" i="44" s="1"/>
  <c r="I13" i="7"/>
  <c r="J13" i="7" s="1"/>
  <c r="H26" i="5"/>
  <c r="F26" i="7" s="1"/>
  <c r="I26" i="7" s="1"/>
  <c r="I37" i="7"/>
  <c r="J37" i="7" s="1"/>
  <c r="I36" i="7"/>
  <c r="J36" i="7" s="1"/>
  <c r="I66" i="7"/>
  <c r="J66" i="7" s="1"/>
  <c r="I24" i="7"/>
  <c r="J24" i="7" s="1"/>
  <c r="I20" i="7"/>
  <c r="J20" i="7" s="1"/>
  <c r="I22" i="7"/>
  <c r="J22" i="7" s="1"/>
  <c r="I64" i="7"/>
  <c r="J64" i="7" s="1"/>
  <c r="I35" i="7"/>
  <c r="J35" i="7" s="1"/>
  <c r="I28" i="7"/>
  <c r="J28" i="7" s="1"/>
  <c r="I63" i="7"/>
  <c r="J63" i="7" s="1"/>
  <c r="I44" i="7"/>
  <c r="J44" i="7" s="1"/>
  <c r="I19" i="7"/>
  <c r="J19" i="7" s="1"/>
  <c r="I48" i="7"/>
  <c r="J48" i="7" s="1"/>
  <c r="I61" i="7"/>
  <c r="J61" i="7" s="1"/>
  <c r="I53" i="7"/>
  <c r="J53" i="7" s="1"/>
  <c r="I55" i="7"/>
  <c r="J55" i="7" s="1"/>
  <c r="I57" i="7"/>
  <c r="J57" i="7" s="1"/>
  <c r="I29" i="7"/>
  <c r="J29" i="7" s="1"/>
  <c r="I39" i="7"/>
  <c r="J39" i="7" s="1"/>
  <c r="I33" i="7"/>
  <c r="J33" i="7" s="1"/>
  <c r="I38" i="7"/>
  <c r="J38" i="7" s="1"/>
  <c r="I58" i="7"/>
  <c r="J58" i="7" s="1"/>
  <c r="I56" i="7"/>
  <c r="J56" i="7" s="1"/>
  <c r="I21" i="7"/>
  <c r="I45" i="7"/>
  <c r="I43" i="7"/>
  <c r="I50" i="7"/>
  <c r="I17" i="7"/>
  <c r="J41" i="7"/>
  <c r="P13" i="11"/>
  <c r="I65" i="7"/>
  <c r="I46" i="7"/>
  <c r="I34" i="7"/>
  <c r="I54" i="7"/>
  <c r="I60" i="7"/>
  <c r="I59" i="7"/>
  <c r="AJ36" i="7"/>
  <c r="H19" i="44"/>
  <c r="H20" i="44"/>
  <c r="AI27" i="7"/>
  <c r="D13" i="44"/>
  <c r="D57" i="44"/>
  <c r="D46" i="44"/>
  <c r="D44" i="44"/>
  <c r="AI41" i="7"/>
  <c r="AI29" i="7"/>
  <c r="D59" i="44"/>
  <c r="D28" i="44"/>
  <c r="D47" i="44"/>
  <c r="D48" i="44"/>
  <c r="D39" i="44"/>
  <c r="D38" i="44"/>
  <c r="D66" i="44"/>
  <c r="D53" i="44"/>
  <c r="D36" i="44"/>
  <c r="D26" i="44"/>
  <c r="D21" i="44"/>
  <c r="D65" i="44"/>
  <c r="D64" i="44"/>
  <c r="D15" i="44"/>
  <c r="D35" i="44"/>
  <c r="D40" i="44"/>
  <c r="D61" i="44"/>
  <c r="D54" i="44"/>
  <c r="D62" i="44"/>
  <c r="D60" i="44"/>
  <c r="D50" i="44"/>
  <c r="D55" i="44"/>
  <c r="D31" i="44"/>
  <c r="AI37" i="7"/>
  <c r="D17" i="44"/>
  <c r="D33" i="44"/>
  <c r="D30" i="44"/>
  <c r="D58" i="44"/>
  <c r="D25" i="44"/>
  <c r="D45" i="44"/>
  <c r="D63" i="44"/>
  <c r="D24" i="44"/>
  <c r="D20" i="44"/>
  <c r="D42" i="44"/>
  <c r="D34" i="44"/>
  <c r="D43" i="44"/>
  <c r="D14" i="44"/>
  <c r="D56" i="44"/>
  <c r="Y52" i="8"/>
  <c r="W52" i="7" s="1"/>
  <c r="P60" i="12" s="1"/>
  <c r="Y50" i="8"/>
  <c r="W50" i="7" s="1"/>
  <c r="P58" i="12" s="1"/>
  <c r="Y47" i="8"/>
  <c r="W47" i="7" s="1"/>
  <c r="P55" i="12" s="1"/>
  <c r="Y49" i="8"/>
  <c r="W49" i="7" s="1"/>
  <c r="P57" i="12" s="1"/>
  <c r="Y51" i="8"/>
  <c r="W51" i="7" s="1"/>
  <c r="P59" i="12" s="1"/>
  <c r="Y48" i="8"/>
  <c r="W48" i="7" s="1"/>
  <c r="P56" i="12" s="1"/>
  <c r="AO17" i="7"/>
  <c r="J17" i="44"/>
  <c r="Y22" i="8"/>
  <c r="W22" i="7" s="1"/>
  <c r="P23" i="12" s="1"/>
  <c r="Y21" i="8"/>
  <c r="W21" i="7" s="1"/>
  <c r="P22" i="12" s="1"/>
  <c r="Q24" i="12" s="1"/>
  <c r="R24" i="12" s="1"/>
  <c r="Y31" i="8"/>
  <c r="W31" i="7" s="1"/>
  <c r="P36" i="12" s="1"/>
  <c r="Y32" i="8"/>
  <c r="W32" i="7" s="1"/>
  <c r="P37" i="12" s="1"/>
  <c r="Y30" i="8"/>
  <c r="W30" i="7" s="1"/>
  <c r="P35" i="12" s="1"/>
  <c r="Y29" i="8"/>
  <c r="W29" i="7" s="1"/>
  <c r="P34" i="12" s="1"/>
  <c r="Y34" i="8"/>
  <c r="W34" i="7" s="1"/>
  <c r="P39" i="12" s="1"/>
  <c r="Y33" i="8"/>
  <c r="W33" i="7" s="1"/>
  <c r="P38" i="12" s="1"/>
  <c r="AO65" i="7"/>
  <c r="J65" i="44"/>
  <c r="Y38" i="8"/>
  <c r="W38" i="7" s="1"/>
  <c r="P44" i="12" s="1"/>
  <c r="Y36" i="8"/>
  <c r="W36" i="7" s="1"/>
  <c r="P42" i="12" s="1"/>
  <c r="Y35" i="8"/>
  <c r="W35" i="7" s="1"/>
  <c r="P41" i="12" s="1"/>
  <c r="Y40" i="8"/>
  <c r="W40" i="7" s="1"/>
  <c r="P46" i="12" s="1"/>
  <c r="Y39" i="8"/>
  <c r="W39" i="7" s="1"/>
  <c r="P45" i="12" s="1"/>
  <c r="Y37" i="8"/>
  <c r="W37" i="7" s="1"/>
  <c r="P43" i="12" s="1"/>
  <c r="Y55" i="8"/>
  <c r="W55" i="7" s="1"/>
  <c r="P64" i="12" s="1"/>
  <c r="Y53" i="8"/>
  <c r="W53" i="7" s="1"/>
  <c r="P62" i="12" s="1"/>
  <c r="Y56" i="8"/>
  <c r="W56" i="7" s="1"/>
  <c r="P65" i="12" s="1"/>
  <c r="Y57" i="8"/>
  <c r="W57" i="7" s="1"/>
  <c r="P66" i="12" s="1"/>
  <c r="Y54" i="8"/>
  <c r="W54" i="7" s="1"/>
  <c r="P63" i="12" s="1"/>
  <c r="Y58" i="8"/>
  <c r="W58" i="7" s="1"/>
  <c r="P67" i="12" s="1"/>
  <c r="Y62" i="8"/>
  <c r="W62" i="7" s="1"/>
  <c r="P72" i="12" s="1"/>
  <c r="Y61" i="8"/>
  <c r="W61" i="7" s="1"/>
  <c r="P71" i="12" s="1"/>
  <c r="Y64" i="8"/>
  <c r="W64" i="7" s="1"/>
  <c r="P74" i="12" s="1"/>
  <c r="Y63" i="8"/>
  <c r="W63" i="7" s="1"/>
  <c r="P73" i="12" s="1"/>
  <c r="Y60" i="8"/>
  <c r="W60" i="7" s="1"/>
  <c r="P70" i="12" s="1"/>
  <c r="Y59" i="8"/>
  <c r="W59" i="7" s="1"/>
  <c r="P69" i="12" s="1"/>
  <c r="AO16" i="7"/>
  <c r="J16" i="44"/>
  <c r="Y20" i="8"/>
  <c r="W20" i="7" s="1"/>
  <c r="P20" i="12" s="1"/>
  <c r="Y19" i="8"/>
  <c r="W19" i="7" s="1"/>
  <c r="P19" i="12" s="1"/>
  <c r="Y28" i="8"/>
  <c r="W28" i="7" s="1"/>
  <c r="P32" i="12" s="1"/>
  <c r="Y27" i="8"/>
  <c r="W27" i="7" s="1"/>
  <c r="P31" i="12" s="1"/>
  <c r="Q33" i="12" s="1"/>
  <c r="R33" i="12" s="1"/>
  <c r="AO14" i="7"/>
  <c r="J14" i="44"/>
  <c r="AO15" i="7"/>
  <c r="J15" i="44"/>
  <c r="Y44" i="8"/>
  <c r="W44" i="7" s="1"/>
  <c r="P51" i="12" s="1"/>
  <c r="Y45" i="8"/>
  <c r="W45" i="7" s="1"/>
  <c r="P52" i="12" s="1"/>
  <c r="Y41" i="8"/>
  <c r="W41" i="7" s="1"/>
  <c r="P48" i="12" s="1"/>
  <c r="Y42" i="8"/>
  <c r="W42" i="7" s="1"/>
  <c r="P49" i="12" s="1"/>
  <c r="Y46" i="8"/>
  <c r="W46" i="7" s="1"/>
  <c r="P53" i="12" s="1"/>
  <c r="Y43" i="8"/>
  <c r="W43" i="7" s="1"/>
  <c r="P50" i="12" s="1"/>
  <c r="W13" i="7"/>
  <c r="X69" i="8"/>
  <c r="Y26" i="8"/>
  <c r="W26" i="7" s="1"/>
  <c r="P29" i="12" s="1"/>
  <c r="Y25" i="8"/>
  <c r="W25" i="7" s="1"/>
  <c r="P28" i="12" s="1"/>
  <c r="AO18" i="7"/>
  <c r="J18" i="44"/>
  <c r="Y23" i="8"/>
  <c r="W23" i="7" s="1"/>
  <c r="P25" i="12" s="1"/>
  <c r="Y24" i="8"/>
  <c r="W24" i="7" s="1"/>
  <c r="P26" i="12" s="1"/>
  <c r="AO66" i="7"/>
  <c r="J66" i="44"/>
  <c r="AJ26" i="7"/>
  <c r="AJ21" i="7"/>
  <c r="AJ13" i="7"/>
  <c r="AJ49" i="7"/>
  <c r="AJ53" i="7"/>
  <c r="AJ66" i="7"/>
  <c r="AB17" i="8"/>
  <c r="AA89" i="8"/>
  <c r="AB14" i="8"/>
  <c r="AA88" i="8"/>
  <c r="AA81" i="8"/>
  <c r="AA90" i="8"/>
  <c r="AJ20" i="7"/>
  <c r="AI60" i="7"/>
  <c r="AJ19" i="7"/>
  <c r="AJ37" i="7"/>
  <c r="AI34" i="7"/>
  <c r="AJ16" i="7"/>
  <c r="AI40" i="7"/>
  <c r="AI24" i="7"/>
  <c r="AJ17" i="7"/>
  <c r="AI63" i="7"/>
  <c r="AJ61" i="7"/>
  <c r="AI43" i="7"/>
  <c r="AI54" i="7"/>
  <c r="AJ34" i="7"/>
  <c r="AJ33" i="7"/>
  <c r="AJ58" i="7"/>
  <c r="AJ23" i="7"/>
  <c r="AJ48" i="7"/>
  <c r="AJ31" i="7"/>
  <c r="AJ64" i="7"/>
  <c r="AJ41" i="7"/>
  <c r="AJ46" i="7"/>
  <c r="AJ57" i="7"/>
  <c r="AJ44" i="7"/>
  <c r="AJ52" i="7"/>
  <c r="AJ29" i="7"/>
  <c r="AJ35" i="7"/>
  <c r="AI47" i="7"/>
  <c r="H126" i="52"/>
  <c r="H131" i="52" s="1"/>
  <c r="AI62" i="7"/>
  <c r="AI25" i="7"/>
  <c r="AI35" i="7"/>
  <c r="AJ65" i="7"/>
  <c r="AJ63" i="7"/>
  <c r="AI65" i="7"/>
  <c r="AJ56" i="7"/>
  <c r="AI22" i="7"/>
  <c r="AJ43" i="7"/>
  <c r="AJ32" i="7"/>
  <c r="AI15" i="7"/>
  <c r="AJ59" i="7"/>
  <c r="AJ60" i="7"/>
  <c r="AI31" i="7"/>
  <c r="AJ45" i="7"/>
  <c r="AJ50" i="7"/>
  <c r="AJ24" i="7"/>
  <c r="AI59" i="7"/>
  <c r="AI13" i="7"/>
  <c r="D29" i="44"/>
  <c r="AI55" i="7"/>
  <c r="AJ25" i="7"/>
  <c r="D41" i="44"/>
  <c r="D37" i="44"/>
  <c r="AI61" i="7"/>
  <c r="AJ54" i="7"/>
  <c r="AI64" i="7"/>
  <c r="AI23" i="7"/>
  <c r="AI30" i="7"/>
  <c r="AJ40" i="7"/>
  <c r="AJ22" i="7"/>
  <c r="D27" i="44"/>
  <c r="AI33" i="7"/>
  <c r="AJ38" i="7"/>
  <c r="AI57" i="7"/>
  <c r="AI44" i="7"/>
  <c r="AI50" i="7"/>
  <c r="AI46" i="7"/>
  <c r="AJ55" i="7"/>
  <c r="AI36" i="7"/>
  <c r="AJ39" i="7"/>
  <c r="AI28" i="7"/>
  <c r="AJ14" i="7"/>
  <c r="AI66" i="7"/>
  <c r="AI17" i="7"/>
  <c r="D49" i="44"/>
  <c r="AJ28" i="7"/>
  <c r="AI48" i="7"/>
  <c r="AI14" i="7"/>
  <c r="AI20" i="7"/>
  <c r="AI42" i="7"/>
  <c r="AI53" i="7"/>
  <c r="D19" i="44"/>
  <c r="AI56" i="7"/>
  <c r="AI39" i="7"/>
  <c r="AI45" i="7"/>
  <c r="AI38" i="7"/>
  <c r="AI58" i="7"/>
  <c r="AI19" i="7"/>
  <c r="AI21" i="7"/>
  <c r="AJ51" i="7"/>
  <c r="AI52" i="7"/>
  <c r="AB20" i="8"/>
  <c r="AB19" i="8"/>
  <c r="AB58" i="8"/>
  <c r="U58" i="3" s="1"/>
  <c r="AB56" i="8"/>
  <c r="U56" i="3" s="1"/>
  <c r="AB54" i="8"/>
  <c r="U54" i="3" s="1"/>
  <c r="AB57" i="8"/>
  <c r="U57" i="3" s="1"/>
  <c r="AB55" i="8"/>
  <c r="U55" i="3" s="1"/>
  <c r="AB53" i="8"/>
  <c r="AB66" i="8"/>
  <c r="U66" i="3" s="1"/>
  <c r="AB26" i="8"/>
  <c r="U26" i="3" s="1"/>
  <c r="AB25" i="8"/>
  <c r="AB28" i="8"/>
  <c r="AB27" i="8"/>
  <c r="AB34" i="8"/>
  <c r="AB32" i="8"/>
  <c r="AB30" i="8"/>
  <c r="AB33" i="8"/>
  <c r="AB31" i="8"/>
  <c r="AB29" i="8"/>
  <c r="AB46" i="8"/>
  <c r="AB44" i="8"/>
  <c r="AB42" i="8"/>
  <c r="AB45" i="8"/>
  <c r="AB43" i="8"/>
  <c r="AB41" i="8"/>
  <c r="AB15" i="8"/>
  <c r="U15" i="3" s="1"/>
  <c r="AB65" i="8"/>
  <c r="U65" i="3" s="1"/>
  <c r="AB16" i="8"/>
  <c r="U16" i="3" s="1"/>
  <c r="AB23" i="8"/>
  <c r="AB24" i="8"/>
  <c r="AB64" i="8"/>
  <c r="U64" i="3" s="1"/>
  <c r="AB62" i="8"/>
  <c r="U62" i="3" s="1"/>
  <c r="AB60" i="8"/>
  <c r="U60" i="3" s="1"/>
  <c r="AB63" i="8"/>
  <c r="U63" i="3" s="1"/>
  <c r="AB61" i="8"/>
  <c r="U61" i="3" s="1"/>
  <c r="AB59" i="8"/>
  <c r="U59" i="3" s="1"/>
  <c r="AB40" i="8"/>
  <c r="AB38" i="8"/>
  <c r="AB36" i="8"/>
  <c r="AB39" i="8"/>
  <c r="AB37" i="8"/>
  <c r="AB35" i="8"/>
  <c r="AA83" i="8"/>
  <c r="AB18" i="8"/>
  <c r="AB22" i="8"/>
  <c r="U22" i="3" s="1"/>
  <c r="AB21" i="8"/>
  <c r="AB52" i="8"/>
  <c r="U52" i="3" s="1"/>
  <c r="AB50" i="8"/>
  <c r="U50" i="3" s="1"/>
  <c r="AB48" i="8"/>
  <c r="U48" i="3" s="1"/>
  <c r="AB51" i="8"/>
  <c r="AB49" i="8"/>
  <c r="U49" i="3" s="1"/>
  <c r="AB47" i="8"/>
  <c r="U47" i="3" s="1"/>
  <c r="AA80" i="8"/>
  <c r="AA87" i="8" s="1"/>
  <c r="AA82" i="8"/>
  <c r="V20" i="8"/>
  <c r="V20" i="7" s="1"/>
  <c r="I20" i="44" s="1"/>
  <c r="V19" i="8"/>
  <c r="V19" i="7" s="1"/>
  <c r="I19" i="44" s="1"/>
  <c r="S40" i="8"/>
  <c r="L40" i="7" s="1"/>
  <c r="S38" i="8"/>
  <c r="L38" i="7" s="1"/>
  <c r="S36" i="8"/>
  <c r="L36" i="7" s="1"/>
  <c r="S39" i="8"/>
  <c r="L39" i="7" s="1"/>
  <c r="S37" i="8"/>
  <c r="L37" i="7" s="1"/>
  <c r="S35" i="8"/>
  <c r="L35" i="7" s="1"/>
  <c r="S64" i="8"/>
  <c r="L64" i="7" s="1"/>
  <c r="S62" i="8"/>
  <c r="L62" i="7" s="1"/>
  <c r="S60" i="8"/>
  <c r="L60" i="7" s="1"/>
  <c r="S63" i="8"/>
  <c r="L63" i="7" s="1"/>
  <c r="S61" i="8"/>
  <c r="L61" i="7" s="1"/>
  <c r="S59" i="8"/>
  <c r="L59" i="7" s="1"/>
  <c r="P24" i="8"/>
  <c r="P23" i="8"/>
  <c r="V58" i="8"/>
  <c r="V58" i="7" s="1"/>
  <c r="I58" i="44" s="1"/>
  <c r="V56" i="8"/>
  <c r="V56" i="7" s="1"/>
  <c r="I56" i="44" s="1"/>
  <c r="V54" i="8"/>
  <c r="V54" i="7" s="1"/>
  <c r="I54" i="44" s="1"/>
  <c r="V57" i="8"/>
  <c r="V57" i="7" s="1"/>
  <c r="I57" i="44" s="1"/>
  <c r="V53" i="8"/>
  <c r="V53" i="7" s="1"/>
  <c r="I53" i="44" s="1"/>
  <c r="V55" i="8"/>
  <c r="V55" i="7" s="1"/>
  <c r="I55" i="44" s="1"/>
  <c r="V46" i="8"/>
  <c r="V46" i="7" s="1"/>
  <c r="I46" i="44" s="1"/>
  <c r="V44" i="8"/>
  <c r="V44" i="7" s="1"/>
  <c r="I44" i="44" s="1"/>
  <c r="V42" i="8"/>
  <c r="V42" i="7" s="1"/>
  <c r="I42" i="44" s="1"/>
  <c r="V45" i="8"/>
  <c r="V45" i="7" s="1"/>
  <c r="I45" i="44" s="1"/>
  <c r="V41" i="8"/>
  <c r="V41" i="7" s="1"/>
  <c r="I41" i="44" s="1"/>
  <c r="V43" i="8"/>
  <c r="V43" i="7" s="1"/>
  <c r="I43" i="44" s="1"/>
  <c r="V24" i="8"/>
  <c r="V24" i="7" s="1"/>
  <c r="I24" i="44" s="1"/>
  <c r="V23" i="8"/>
  <c r="V23" i="7" s="1"/>
  <c r="I23" i="44" s="1"/>
  <c r="V64" i="8"/>
  <c r="V64" i="7" s="1"/>
  <c r="I64" i="44" s="1"/>
  <c r="V62" i="8"/>
  <c r="V62" i="7" s="1"/>
  <c r="I62" i="44" s="1"/>
  <c r="V60" i="8"/>
  <c r="V60" i="7" s="1"/>
  <c r="I60" i="44" s="1"/>
  <c r="V61" i="8"/>
  <c r="V61" i="7" s="1"/>
  <c r="I61" i="44" s="1"/>
  <c r="V63" i="8"/>
  <c r="V63" i="7" s="1"/>
  <c r="I63" i="44" s="1"/>
  <c r="V59" i="8"/>
  <c r="V59" i="7" s="1"/>
  <c r="I59" i="44" s="1"/>
  <c r="V28" i="8"/>
  <c r="V28" i="7" s="1"/>
  <c r="I28" i="44" s="1"/>
  <c r="V27" i="8"/>
  <c r="V27" i="7" s="1"/>
  <c r="I27" i="44" s="1"/>
  <c r="S52" i="8"/>
  <c r="S50" i="8"/>
  <c r="L50" i="7" s="1"/>
  <c r="S48" i="8"/>
  <c r="L48" i="7" s="1"/>
  <c r="S51" i="8"/>
  <c r="L51" i="7" s="1"/>
  <c r="S49" i="8"/>
  <c r="L49" i="7" s="1"/>
  <c r="S47" i="8"/>
  <c r="L47" i="7" s="1"/>
  <c r="V22" i="8"/>
  <c r="V22" i="7" s="1"/>
  <c r="I26" i="44" s="1"/>
  <c r="V21" i="8"/>
  <c r="V21" i="7" s="1"/>
  <c r="I25" i="44" s="1"/>
  <c r="V26" i="8"/>
  <c r="V26" i="7" s="1"/>
  <c r="I22" i="44" s="1"/>
  <c r="V25" i="8"/>
  <c r="V25" i="7" s="1"/>
  <c r="I21" i="44" s="1"/>
  <c r="P22" i="8"/>
  <c r="K22" i="7" s="1"/>
  <c r="P21" i="8"/>
  <c r="K21" i="7" s="1"/>
  <c r="S24" i="8"/>
  <c r="L24" i="7" s="1"/>
  <c r="S23" i="8"/>
  <c r="L23" i="7" s="1"/>
  <c r="S46" i="8"/>
  <c r="L46" i="7" s="1"/>
  <c r="S44" i="8"/>
  <c r="L44" i="7" s="1"/>
  <c r="S42" i="8"/>
  <c r="L42" i="7" s="1"/>
  <c r="S45" i="8"/>
  <c r="L45" i="7" s="1"/>
  <c r="S43" i="8"/>
  <c r="L43" i="7" s="1"/>
  <c r="S41" i="8"/>
  <c r="L41" i="7" s="1"/>
  <c r="S28" i="8"/>
  <c r="L28" i="7" s="1"/>
  <c r="S27" i="8"/>
  <c r="L27" i="7" s="1"/>
  <c r="P20" i="8"/>
  <c r="S58" i="8"/>
  <c r="L58" i="7" s="1"/>
  <c r="S56" i="8"/>
  <c r="L56" i="7" s="1"/>
  <c r="S54" i="8"/>
  <c r="L54" i="7" s="1"/>
  <c r="S57" i="8"/>
  <c r="L57" i="7" s="1"/>
  <c r="S55" i="8"/>
  <c r="L55" i="7" s="1"/>
  <c r="S53" i="8"/>
  <c r="L53" i="7" s="1"/>
  <c r="S34" i="8"/>
  <c r="L34" i="7" s="1"/>
  <c r="S32" i="8"/>
  <c r="L32" i="7" s="1"/>
  <c r="S30" i="8"/>
  <c r="L30" i="7" s="1"/>
  <c r="S33" i="8"/>
  <c r="L33" i="7" s="1"/>
  <c r="S31" i="8"/>
  <c r="L31" i="7" s="1"/>
  <c r="S29" i="8"/>
  <c r="L29" i="7" s="1"/>
  <c r="P28" i="8"/>
  <c r="P27" i="8"/>
  <c r="V34" i="8"/>
  <c r="V34" i="7" s="1"/>
  <c r="I34" i="44" s="1"/>
  <c r="V32" i="8"/>
  <c r="V32" i="7" s="1"/>
  <c r="I32" i="44" s="1"/>
  <c r="V30" i="8"/>
  <c r="V30" i="7" s="1"/>
  <c r="I30" i="44" s="1"/>
  <c r="V33" i="8"/>
  <c r="V33" i="7" s="1"/>
  <c r="I33" i="44" s="1"/>
  <c r="V31" i="8"/>
  <c r="V31" i="7" s="1"/>
  <c r="I31" i="44" s="1"/>
  <c r="V29" i="8"/>
  <c r="V29" i="7" s="1"/>
  <c r="I29" i="44" s="1"/>
  <c r="V40" i="8"/>
  <c r="V40" i="7" s="1"/>
  <c r="I40" i="44" s="1"/>
  <c r="V38" i="8"/>
  <c r="V38" i="7" s="1"/>
  <c r="I38" i="44" s="1"/>
  <c r="V36" i="8"/>
  <c r="V36" i="7" s="1"/>
  <c r="I36" i="44" s="1"/>
  <c r="V37" i="8"/>
  <c r="V37" i="7" s="1"/>
  <c r="I37" i="44" s="1"/>
  <c r="V39" i="8"/>
  <c r="V39" i="7" s="1"/>
  <c r="I39" i="44" s="1"/>
  <c r="V35" i="8"/>
  <c r="V35" i="7" s="1"/>
  <c r="I35" i="44" s="1"/>
  <c r="S22" i="8"/>
  <c r="L22" i="7" s="1"/>
  <c r="S21" i="8"/>
  <c r="L21" i="7" s="1"/>
  <c r="S26" i="8"/>
  <c r="L26" i="7" s="1"/>
  <c r="S25" i="8"/>
  <c r="V52" i="8"/>
  <c r="V52" i="7" s="1"/>
  <c r="I52" i="44" s="1"/>
  <c r="V50" i="8"/>
  <c r="V50" i="7" s="1"/>
  <c r="I50" i="44" s="1"/>
  <c r="V48" i="8"/>
  <c r="V48" i="7" s="1"/>
  <c r="I48" i="44" s="1"/>
  <c r="V49" i="8"/>
  <c r="V49" i="7" s="1"/>
  <c r="I49" i="44" s="1"/>
  <c r="V51" i="8"/>
  <c r="V51" i="7" s="1"/>
  <c r="I51" i="44" s="1"/>
  <c r="V47" i="8"/>
  <c r="V47" i="7" s="1"/>
  <c r="I47" i="44" s="1"/>
  <c r="P26" i="8"/>
  <c r="K26" i="7" s="1"/>
  <c r="P25" i="8"/>
  <c r="K25" i="7" s="1"/>
  <c r="P64" i="8"/>
  <c r="P62" i="8"/>
  <c r="P60" i="8"/>
  <c r="P63" i="8"/>
  <c r="P61" i="8"/>
  <c r="P59" i="8"/>
  <c r="P46" i="8"/>
  <c r="P44" i="8"/>
  <c r="P42" i="8"/>
  <c r="P45" i="8"/>
  <c r="P43" i="8"/>
  <c r="P41" i="8"/>
  <c r="P40" i="8"/>
  <c r="P38" i="8"/>
  <c r="P36" i="8"/>
  <c r="P39" i="8"/>
  <c r="P37" i="8"/>
  <c r="P35" i="8"/>
  <c r="U83" i="8"/>
  <c r="P52" i="8"/>
  <c r="K52" i="7" s="1"/>
  <c r="P50" i="8"/>
  <c r="P48" i="8"/>
  <c r="K48" i="7" s="1"/>
  <c r="P51" i="8"/>
  <c r="K51" i="7" s="1"/>
  <c r="P49" i="8"/>
  <c r="K49" i="7" s="1"/>
  <c r="P47" i="8"/>
  <c r="K47" i="7" s="1"/>
  <c r="P58" i="8"/>
  <c r="P56" i="8"/>
  <c r="P54" i="8"/>
  <c r="P57" i="8"/>
  <c r="P55" i="8"/>
  <c r="P53" i="8"/>
  <c r="P34" i="8"/>
  <c r="P32" i="8"/>
  <c r="P30" i="8"/>
  <c r="P33" i="8"/>
  <c r="P31" i="8"/>
  <c r="P29" i="8"/>
  <c r="R83" i="8"/>
  <c r="L65" i="7"/>
  <c r="AH65" i="7" s="1"/>
  <c r="L16" i="7"/>
  <c r="AH16" i="7" s="1"/>
  <c r="L15" i="7"/>
  <c r="AH15" i="7" s="1"/>
  <c r="L66" i="7"/>
  <c r="AH66" i="7" s="1"/>
  <c r="R81" i="8"/>
  <c r="K16" i="7"/>
  <c r="K65" i="7"/>
  <c r="K15" i="7"/>
  <c r="AV20" i="7"/>
  <c r="AV19" i="7"/>
  <c r="K66" i="7"/>
  <c r="R80" i="8"/>
  <c r="R82" i="8"/>
  <c r="O80" i="8"/>
  <c r="O82" i="8"/>
  <c r="O81" i="8"/>
  <c r="U80" i="8"/>
  <c r="U81" i="8"/>
  <c r="U82" i="8"/>
  <c r="L14" i="7"/>
  <c r="AH14" i="7" s="1"/>
  <c r="AA69" i="8"/>
  <c r="O83" i="8"/>
  <c r="L18" i="7"/>
  <c r="AH18" i="7" s="1"/>
  <c r="R69" i="8"/>
  <c r="L13" i="7"/>
  <c r="L17" i="7"/>
  <c r="AH17" i="7" s="1"/>
  <c r="O69" i="8"/>
  <c r="J13" i="12"/>
  <c r="K13" i="12" s="1"/>
  <c r="U69" i="8"/>
  <c r="V13" i="7"/>
  <c r="I13" i="44" s="1"/>
  <c r="AJ30" i="7" l="1"/>
  <c r="D52" i="44"/>
  <c r="I62" i="7"/>
  <c r="I40" i="7"/>
  <c r="I49" i="7"/>
  <c r="J49" i="7" s="1"/>
  <c r="D51" i="44"/>
  <c r="I42" i="7"/>
  <c r="J42" i="7" s="1"/>
  <c r="D32" i="44"/>
  <c r="I27" i="7"/>
  <c r="AJ15" i="7"/>
  <c r="AN37" i="7"/>
  <c r="C100" i="23"/>
  <c r="I16" i="7"/>
  <c r="AD16" i="7" s="1"/>
  <c r="N16" i="3" s="1"/>
  <c r="I18" i="7"/>
  <c r="J18" i="7" s="1"/>
  <c r="AI32" i="7"/>
  <c r="AN32" i="7" s="1"/>
  <c r="AJ42" i="7"/>
  <c r="AN42" i="7" s="1"/>
  <c r="AJ27" i="7"/>
  <c r="I51" i="7"/>
  <c r="AJ47" i="7"/>
  <c r="E15" i="44"/>
  <c r="I15" i="7"/>
  <c r="J15" i="7" s="1"/>
  <c r="I30" i="7"/>
  <c r="J30" i="7" s="1"/>
  <c r="I23" i="7"/>
  <c r="J23" i="7" s="1"/>
  <c r="AI18" i="7"/>
  <c r="AJ62" i="7"/>
  <c r="AN62" i="7" s="1"/>
  <c r="AJ18" i="7"/>
  <c r="D18" i="44"/>
  <c r="I47" i="7"/>
  <c r="J47" i="7" s="1"/>
  <c r="AI16" i="7"/>
  <c r="AN16" i="7" s="1"/>
  <c r="AI26" i="7"/>
  <c r="AN26" i="7" s="1"/>
  <c r="D22" i="44"/>
  <c r="AD13" i="7"/>
  <c r="N13" i="3" s="1"/>
  <c r="H13" i="11" s="1"/>
  <c r="S13" i="12"/>
  <c r="T13" i="12" s="1"/>
  <c r="U13" i="12" s="1"/>
  <c r="P13" i="12"/>
  <c r="Q13" i="12" s="1"/>
  <c r="R13" i="12" s="1"/>
  <c r="L13" i="12"/>
  <c r="AN49" i="7"/>
  <c r="Q40" i="12"/>
  <c r="R40" i="12" s="1"/>
  <c r="M23" i="12"/>
  <c r="Q68" i="12"/>
  <c r="R68" i="12" s="1"/>
  <c r="AN54" i="7"/>
  <c r="Q47" i="12"/>
  <c r="R47" i="12" s="1"/>
  <c r="Q27" i="12"/>
  <c r="R27" i="12" s="1"/>
  <c r="Q61" i="12"/>
  <c r="R61" i="12" s="1"/>
  <c r="Q54" i="12"/>
  <c r="R54" i="12" s="1"/>
  <c r="AD26" i="7"/>
  <c r="AG26" i="7" s="1"/>
  <c r="Q30" i="12"/>
  <c r="R30" i="12" s="1"/>
  <c r="Q21" i="12"/>
  <c r="R21" i="12" s="1"/>
  <c r="Q75" i="12"/>
  <c r="R75" i="12" s="1"/>
  <c r="AD48" i="7"/>
  <c r="N48" i="3" s="1"/>
  <c r="V48" i="3" s="1"/>
  <c r="D44" i="34" s="1"/>
  <c r="AD65" i="7"/>
  <c r="AD49" i="7"/>
  <c r="N49" i="3" s="1"/>
  <c r="V49" i="3" s="1"/>
  <c r="E44" i="34" s="1"/>
  <c r="AD51" i="7"/>
  <c r="N51" i="3" s="1"/>
  <c r="AH20" i="7"/>
  <c r="AH34" i="7"/>
  <c r="AH31" i="7"/>
  <c r="AD21" i="7"/>
  <c r="N21" i="3" s="1"/>
  <c r="AD66" i="7"/>
  <c r="AD22" i="7"/>
  <c r="N22" i="3" s="1"/>
  <c r="AH24" i="7"/>
  <c r="AH19" i="7"/>
  <c r="AH61" i="7"/>
  <c r="AH37" i="7"/>
  <c r="AH36" i="7"/>
  <c r="AH32" i="7"/>
  <c r="AH43" i="7"/>
  <c r="AH59" i="7"/>
  <c r="AH57" i="7"/>
  <c r="AH49" i="7"/>
  <c r="AH23" i="7"/>
  <c r="AH46" i="7"/>
  <c r="AH62" i="7"/>
  <c r="AH39" i="7"/>
  <c r="AH47" i="7"/>
  <c r="AH42" i="7"/>
  <c r="AH27" i="7"/>
  <c r="AH63" i="7"/>
  <c r="AH53" i="7"/>
  <c r="AH40" i="7"/>
  <c r="AH29" i="7"/>
  <c r="AH21" i="7"/>
  <c r="AH48" i="7"/>
  <c r="AH50" i="7"/>
  <c r="AH45" i="7"/>
  <c r="AH33" i="7"/>
  <c r="AH26" i="7"/>
  <c r="AH44" i="7"/>
  <c r="AH60" i="7"/>
  <c r="AH56" i="7"/>
  <c r="AH38" i="7"/>
  <c r="AH13" i="7"/>
  <c r="AH41" i="7"/>
  <c r="AH28" i="7"/>
  <c r="AH64" i="7"/>
  <c r="AH54" i="7"/>
  <c r="AH55" i="7"/>
  <c r="AH35" i="7"/>
  <c r="AH30" i="7"/>
  <c r="AH22" i="7"/>
  <c r="AH51" i="7"/>
  <c r="P57" i="11"/>
  <c r="S66" i="12" s="1"/>
  <c r="J59" i="7"/>
  <c r="P49" i="11"/>
  <c r="S57" i="12" s="1"/>
  <c r="P52" i="11"/>
  <c r="S60" i="12" s="1"/>
  <c r="P61" i="11"/>
  <c r="S71" i="12" s="1"/>
  <c r="P64" i="11"/>
  <c r="S74" i="12" s="1"/>
  <c r="P65" i="11"/>
  <c r="P55" i="11"/>
  <c r="S64" i="12" s="1"/>
  <c r="P58" i="11"/>
  <c r="S67" i="12" s="1"/>
  <c r="J54" i="7"/>
  <c r="J46" i="7"/>
  <c r="J65" i="7"/>
  <c r="P63" i="11"/>
  <c r="S73" i="12" s="1"/>
  <c r="P26" i="11"/>
  <c r="J34" i="7"/>
  <c r="J17" i="7"/>
  <c r="J21" i="7"/>
  <c r="P48" i="11"/>
  <c r="S56" i="12" s="1"/>
  <c r="P22" i="11"/>
  <c r="S23" i="12" s="1"/>
  <c r="P60" i="11"/>
  <c r="P66" i="11"/>
  <c r="P54" i="11"/>
  <c r="J26" i="7"/>
  <c r="J60" i="7"/>
  <c r="J40" i="7"/>
  <c r="J27" i="7"/>
  <c r="J51" i="7"/>
  <c r="P15" i="11"/>
  <c r="P47" i="11"/>
  <c r="P50" i="11"/>
  <c r="P59" i="11"/>
  <c r="P62" i="11"/>
  <c r="P16" i="11"/>
  <c r="P56" i="11"/>
  <c r="S65" i="12" s="1"/>
  <c r="J62" i="7"/>
  <c r="J50" i="7"/>
  <c r="J43" i="7"/>
  <c r="J45" i="7"/>
  <c r="AN51" i="7"/>
  <c r="AN30" i="7"/>
  <c r="AN22" i="7"/>
  <c r="AN24" i="7"/>
  <c r="AN60" i="7"/>
  <c r="AN33" i="7"/>
  <c r="AN15" i="7"/>
  <c r="AN27" i="7"/>
  <c r="AN17" i="7"/>
  <c r="AN28" i="7"/>
  <c r="AN56" i="7"/>
  <c r="AN64" i="7"/>
  <c r="AN58" i="7"/>
  <c r="AN53" i="7"/>
  <c r="AN14" i="7"/>
  <c r="AN57" i="7"/>
  <c r="H123" i="52"/>
  <c r="AN38" i="7"/>
  <c r="AN40" i="7"/>
  <c r="AN50" i="7"/>
  <c r="AN59" i="7"/>
  <c r="AN43" i="7"/>
  <c r="AN63" i="7"/>
  <c r="AN29" i="7"/>
  <c r="AN46" i="7"/>
  <c r="AN48" i="7"/>
  <c r="AN34" i="7"/>
  <c r="AN61" i="7"/>
  <c r="AN19" i="7"/>
  <c r="AN13" i="7"/>
  <c r="AN44" i="7"/>
  <c r="AN20" i="7"/>
  <c r="AN55" i="7"/>
  <c r="AN47" i="7"/>
  <c r="AN35" i="7"/>
  <c r="AN31" i="7"/>
  <c r="AN39" i="7"/>
  <c r="AN25" i="7"/>
  <c r="AN45" i="7"/>
  <c r="AN65" i="7"/>
  <c r="AN52" i="7"/>
  <c r="AN41" i="7"/>
  <c r="AN23" i="7"/>
  <c r="AN66" i="7"/>
  <c r="AN21" i="7"/>
  <c r="AN36" i="7"/>
  <c r="M20" i="12"/>
  <c r="J29" i="12"/>
  <c r="AK26" i="7"/>
  <c r="D100" i="23"/>
  <c r="D102" i="23" s="1"/>
  <c r="AK15" i="7"/>
  <c r="AK21" i="7"/>
  <c r="J77" i="12"/>
  <c r="K77" i="12" s="1"/>
  <c r="L77" i="12" s="1"/>
  <c r="AK66" i="7"/>
  <c r="J76" i="12"/>
  <c r="K76" i="12" s="1"/>
  <c r="L76" i="12" s="1"/>
  <c r="AK65" i="7"/>
  <c r="J55" i="12"/>
  <c r="AK47" i="7"/>
  <c r="J23" i="12"/>
  <c r="AK22" i="7"/>
  <c r="J59" i="12"/>
  <c r="AK51" i="7"/>
  <c r="AK13" i="7"/>
  <c r="J56" i="12"/>
  <c r="AK48" i="7"/>
  <c r="J16" i="12"/>
  <c r="K16" i="12" s="1"/>
  <c r="AK16" i="7"/>
  <c r="J57" i="12"/>
  <c r="AK49" i="7"/>
  <c r="J60" i="12"/>
  <c r="J28" i="12"/>
  <c r="H14" i="44"/>
  <c r="M14" i="12"/>
  <c r="N14" i="12" s="1"/>
  <c r="H66" i="44"/>
  <c r="M77" i="12"/>
  <c r="N77" i="12" s="1"/>
  <c r="H25" i="44"/>
  <c r="M22" i="12"/>
  <c r="N24" i="12" s="1"/>
  <c r="H29" i="44"/>
  <c r="M34" i="12"/>
  <c r="H41" i="44"/>
  <c r="M48" i="12"/>
  <c r="H51" i="44"/>
  <c r="M59" i="12"/>
  <c r="H59" i="44"/>
  <c r="M69" i="12"/>
  <c r="H39" i="44"/>
  <c r="M45" i="12"/>
  <c r="H15" i="44"/>
  <c r="M15" i="12"/>
  <c r="N15" i="12" s="1"/>
  <c r="H31" i="44"/>
  <c r="M36" i="12"/>
  <c r="H34" i="44"/>
  <c r="M39" i="12"/>
  <c r="H54" i="44"/>
  <c r="M63" i="12"/>
  <c r="H43" i="44"/>
  <c r="M50" i="12"/>
  <c r="H46" i="44"/>
  <c r="M53" i="12"/>
  <c r="H48" i="44"/>
  <c r="M56" i="12"/>
  <c r="H61" i="44"/>
  <c r="M71" i="12"/>
  <c r="H64" i="44"/>
  <c r="M74" i="12"/>
  <c r="H36" i="44"/>
  <c r="M42" i="12"/>
  <c r="H32" i="44"/>
  <c r="M37" i="12"/>
  <c r="H62" i="44"/>
  <c r="M72" i="12"/>
  <c r="H17" i="44"/>
  <c r="M17" i="12"/>
  <c r="N17" i="12" s="1"/>
  <c r="H33" i="44"/>
  <c r="M38" i="12"/>
  <c r="H53" i="44"/>
  <c r="M62" i="12"/>
  <c r="H56" i="44"/>
  <c r="M65" i="12"/>
  <c r="H27" i="44"/>
  <c r="M31" i="12"/>
  <c r="N33" i="12" s="1"/>
  <c r="H45" i="44"/>
  <c r="M52" i="12"/>
  <c r="H23" i="44"/>
  <c r="M25" i="12"/>
  <c r="H47" i="44"/>
  <c r="M55" i="12"/>
  <c r="H50" i="44"/>
  <c r="M58" i="12"/>
  <c r="H63" i="44"/>
  <c r="M73" i="12"/>
  <c r="H35" i="44"/>
  <c r="M41" i="12"/>
  <c r="H38" i="44"/>
  <c r="M44" i="12"/>
  <c r="M19" i="12"/>
  <c r="H57" i="44"/>
  <c r="M66" i="12"/>
  <c r="H44" i="44"/>
  <c r="M51" i="12"/>
  <c r="H18" i="44"/>
  <c r="M18" i="12"/>
  <c r="N18" i="12" s="1"/>
  <c r="H16" i="44"/>
  <c r="M16" i="12"/>
  <c r="N16" i="12" s="1"/>
  <c r="H13" i="44"/>
  <c r="M13" i="12"/>
  <c r="N13" i="12" s="1"/>
  <c r="H65" i="44"/>
  <c r="M76" i="12"/>
  <c r="N76" i="12" s="1"/>
  <c r="H22" i="44"/>
  <c r="M29" i="12"/>
  <c r="H30" i="44"/>
  <c r="M35" i="12"/>
  <c r="H55" i="44"/>
  <c r="M64" i="12"/>
  <c r="H58" i="44"/>
  <c r="M67" i="12"/>
  <c r="H28" i="44"/>
  <c r="M32" i="12"/>
  <c r="H42" i="44"/>
  <c r="M49" i="12"/>
  <c r="H24" i="44"/>
  <c r="M26" i="12"/>
  <c r="H49" i="44"/>
  <c r="M57" i="12"/>
  <c r="H60" i="44"/>
  <c r="M70" i="12"/>
  <c r="H37" i="44"/>
  <c r="M43" i="12"/>
  <c r="H40" i="44"/>
  <c r="M46" i="12"/>
  <c r="J22" i="12"/>
  <c r="K24" i="12" s="1"/>
  <c r="L24" i="12" s="1"/>
  <c r="J15" i="12"/>
  <c r="K15" i="12" s="1"/>
  <c r="L15" i="12" s="1"/>
  <c r="U39" i="3"/>
  <c r="P39" i="11" s="1"/>
  <c r="S45" i="12" s="1"/>
  <c r="U43" i="3"/>
  <c r="P43" i="11" s="1"/>
  <c r="U30" i="3"/>
  <c r="P30" i="11" s="1"/>
  <c r="U53" i="3"/>
  <c r="P53" i="11" s="1"/>
  <c r="S62" i="12" s="1"/>
  <c r="U36" i="3"/>
  <c r="P36" i="11" s="1"/>
  <c r="S42" i="12" s="1"/>
  <c r="U29" i="3"/>
  <c r="P29" i="11" s="1"/>
  <c r="S34" i="12" s="1"/>
  <c r="U25" i="3"/>
  <c r="P25" i="11" s="1"/>
  <c r="S28" i="12" s="1"/>
  <c r="U51" i="3"/>
  <c r="P51" i="11" s="1"/>
  <c r="U21" i="3"/>
  <c r="P21" i="11" s="1"/>
  <c r="U35" i="3"/>
  <c r="P35" i="11" s="1"/>
  <c r="S41" i="12" s="1"/>
  <c r="U38" i="3"/>
  <c r="P38" i="11" s="1"/>
  <c r="S44" i="12" s="1"/>
  <c r="U24" i="3"/>
  <c r="P24" i="11" s="1"/>
  <c r="S26" i="12" s="1"/>
  <c r="U42" i="3"/>
  <c r="P42" i="11" s="1"/>
  <c r="U31" i="3"/>
  <c r="P31" i="11" s="1"/>
  <c r="S36" i="12" s="1"/>
  <c r="U34" i="3"/>
  <c r="P34" i="11" s="1"/>
  <c r="U19" i="3"/>
  <c r="P19" i="11" s="1"/>
  <c r="S19" i="12" s="1"/>
  <c r="U18" i="3"/>
  <c r="P18" i="11" s="1"/>
  <c r="U46" i="3"/>
  <c r="P46" i="11" s="1"/>
  <c r="U28" i="3"/>
  <c r="P28" i="11" s="1"/>
  <c r="S32" i="12" s="1"/>
  <c r="U45" i="3"/>
  <c r="P45" i="11" s="1"/>
  <c r="U32" i="3"/>
  <c r="P32" i="11" s="1"/>
  <c r="S37" i="12" s="1"/>
  <c r="U17" i="3"/>
  <c r="P17" i="11" s="1"/>
  <c r="U37" i="3"/>
  <c r="P37" i="11" s="1"/>
  <c r="S43" i="12" s="1"/>
  <c r="U40" i="3"/>
  <c r="P40" i="11" s="1"/>
  <c r="U23" i="3"/>
  <c r="P23" i="11" s="1"/>
  <c r="U41" i="3"/>
  <c r="P41" i="11" s="1"/>
  <c r="S48" i="12" s="1"/>
  <c r="U44" i="3"/>
  <c r="P44" i="11" s="1"/>
  <c r="S51" i="12" s="1"/>
  <c r="U33" i="3"/>
  <c r="P33" i="11" s="1"/>
  <c r="S38" i="12" s="1"/>
  <c r="U27" i="3"/>
  <c r="P27" i="11" s="1"/>
  <c r="U20" i="3"/>
  <c r="P20" i="11" s="1"/>
  <c r="S20" i="12" s="1"/>
  <c r="U14" i="3"/>
  <c r="P14" i="11" s="1"/>
  <c r="S14" i="12" s="1"/>
  <c r="Z13" i="12"/>
  <c r="AA13" i="12" s="1"/>
  <c r="AB13" i="12" s="1"/>
  <c r="AH58" i="7"/>
  <c r="Z16" i="12"/>
  <c r="AA16" i="12" s="1"/>
  <c r="AB16" i="12" s="1"/>
  <c r="AO26" i="7"/>
  <c r="J26" i="44"/>
  <c r="AO44" i="7"/>
  <c r="J44" i="44"/>
  <c r="AO60" i="7"/>
  <c r="J60" i="44"/>
  <c r="AO56" i="7"/>
  <c r="J56" i="44"/>
  <c r="AO38" i="7"/>
  <c r="J38" i="44"/>
  <c r="AO31" i="7"/>
  <c r="J31" i="44"/>
  <c r="AO47" i="7"/>
  <c r="J47" i="44"/>
  <c r="AO42" i="7"/>
  <c r="J42" i="44"/>
  <c r="AO27" i="7"/>
  <c r="J27" i="44"/>
  <c r="AO63" i="7"/>
  <c r="J63" i="44"/>
  <c r="AO53" i="7"/>
  <c r="J53" i="44"/>
  <c r="AO21" i="7"/>
  <c r="J21" i="44"/>
  <c r="AO50" i="7"/>
  <c r="J50" i="44"/>
  <c r="AO24" i="7"/>
  <c r="J24" i="44"/>
  <c r="AO25" i="7"/>
  <c r="J25" i="44"/>
  <c r="AO43" i="7"/>
  <c r="J43" i="44"/>
  <c r="AO45" i="7"/>
  <c r="J45" i="44"/>
  <c r="AO19" i="7"/>
  <c r="J19" i="44"/>
  <c r="AO59" i="7"/>
  <c r="J59" i="44"/>
  <c r="AO61" i="7"/>
  <c r="J61" i="44"/>
  <c r="AO57" i="7"/>
  <c r="J57" i="44"/>
  <c r="AO37" i="7"/>
  <c r="J37" i="44"/>
  <c r="AO36" i="7"/>
  <c r="J36" i="44"/>
  <c r="AO33" i="7"/>
  <c r="J33" i="44"/>
  <c r="AO32" i="7"/>
  <c r="J32" i="44"/>
  <c r="AO49" i="7"/>
  <c r="J49" i="44"/>
  <c r="AO23" i="7"/>
  <c r="J23" i="44"/>
  <c r="AO46" i="7"/>
  <c r="J46" i="44"/>
  <c r="AO20" i="7"/>
  <c r="J20" i="44"/>
  <c r="AO62" i="7"/>
  <c r="J62" i="44"/>
  <c r="AO39" i="7"/>
  <c r="J39" i="44"/>
  <c r="AO34" i="7"/>
  <c r="J34" i="44"/>
  <c r="AO58" i="7"/>
  <c r="J58" i="44"/>
  <c r="AO40" i="7"/>
  <c r="J40" i="44"/>
  <c r="AO29" i="7"/>
  <c r="J29" i="44"/>
  <c r="AO48" i="7"/>
  <c r="J48" i="44"/>
  <c r="AO13" i="7"/>
  <c r="J13" i="44"/>
  <c r="AO41" i="7"/>
  <c r="J41" i="44"/>
  <c r="AO28" i="7"/>
  <c r="J28" i="44"/>
  <c r="AO64" i="7"/>
  <c r="J64" i="44"/>
  <c r="AO54" i="7"/>
  <c r="J54" i="44"/>
  <c r="AO55" i="7"/>
  <c r="J55" i="44"/>
  <c r="AO35" i="7"/>
  <c r="J35" i="44"/>
  <c r="AO30" i="7"/>
  <c r="J30" i="44"/>
  <c r="AO22" i="7"/>
  <c r="J22" i="44"/>
  <c r="AO51" i="7"/>
  <c r="J51" i="44"/>
  <c r="AO52" i="7"/>
  <c r="J52" i="44"/>
  <c r="H120" i="52"/>
  <c r="H94" i="52"/>
  <c r="G66" i="44"/>
  <c r="Z77" i="12"/>
  <c r="AA77" i="12" s="1"/>
  <c r="G65" i="44"/>
  <c r="Z76" i="12"/>
  <c r="AA76" i="12" s="1"/>
  <c r="G49" i="44"/>
  <c r="Z57" i="12"/>
  <c r="G21" i="44"/>
  <c r="Z28" i="12"/>
  <c r="G51" i="44"/>
  <c r="Z59" i="12"/>
  <c r="G22" i="44"/>
  <c r="Z29" i="12"/>
  <c r="G47" i="44"/>
  <c r="Z55" i="12"/>
  <c r="G26" i="44"/>
  <c r="Z23" i="12"/>
  <c r="G52" i="44"/>
  <c r="Z60" i="12"/>
  <c r="G13" i="44"/>
  <c r="G15" i="44"/>
  <c r="Z15" i="12"/>
  <c r="AA15" i="12" s="1"/>
  <c r="AB15" i="12" s="1"/>
  <c r="G48" i="44"/>
  <c r="Z56" i="12"/>
  <c r="G25" i="44"/>
  <c r="Z22" i="12"/>
  <c r="AA24" i="12" s="1"/>
  <c r="AB24" i="12" s="1"/>
  <c r="H95" i="52"/>
  <c r="H106" i="52"/>
  <c r="H114" i="52"/>
  <c r="H119" i="52"/>
  <c r="H132" i="52"/>
  <c r="H127" i="52"/>
  <c r="H133" i="52"/>
  <c r="H101" i="52"/>
  <c r="H100" i="52"/>
  <c r="H86" i="52"/>
  <c r="H103" i="52"/>
  <c r="H122" i="52"/>
  <c r="H102" i="52"/>
  <c r="H121" i="52"/>
  <c r="H134" i="52"/>
  <c r="H135" i="52"/>
  <c r="H99" i="52"/>
  <c r="H118" i="52"/>
  <c r="H98" i="52"/>
  <c r="H130" i="52"/>
  <c r="G16" i="44"/>
  <c r="AV22" i="7"/>
  <c r="H26" i="44"/>
  <c r="AS66" i="7"/>
  <c r="AS65" i="7"/>
  <c r="AS16" i="7"/>
  <c r="AS15" i="7"/>
  <c r="AA84" i="8"/>
  <c r="AA85" i="8" s="1"/>
  <c r="AS49" i="7"/>
  <c r="AS48" i="7"/>
  <c r="AS26" i="7"/>
  <c r="AS47" i="7"/>
  <c r="AS52" i="7"/>
  <c r="AS22" i="7"/>
  <c r="AS50" i="7"/>
  <c r="O84" i="8"/>
  <c r="O85" i="8" s="1"/>
  <c r="AV66" i="7"/>
  <c r="AV16" i="7"/>
  <c r="AV21" i="7"/>
  <c r="AV15" i="7"/>
  <c r="AV65" i="7"/>
  <c r="K35" i="7"/>
  <c r="AD35" i="7" s="1"/>
  <c r="AW13" i="7"/>
  <c r="K14" i="7"/>
  <c r="AD14" i="7" s="1"/>
  <c r="K27" i="7"/>
  <c r="K38" i="7"/>
  <c r="AD38" i="7" s="1"/>
  <c r="K37" i="7"/>
  <c r="AD37" i="7" s="1"/>
  <c r="K40" i="7"/>
  <c r="AD40" i="7" s="1"/>
  <c r="K17" i="7"/>
  <c r="AD17" i="7" s="1"/>
  <c r="K46" i="7"/>
  <c r="AD46" i="7" s="1"/>
  <c r="K45" i="7"/>
  <c r="AD45" i="7" s="1"/>
  <c r="K41" i="7"/>
  <c r="AD41" i="7" s="1"/>
  <c r="AQ13" i="7"/>
  <c r="K63" i="7"/>
  <c r="AD63" i="7" s="1"/>
  <c r="K62" i="7"/>
  <c r="AD62" i="7" s="1"/>
  <c r="K59" i="7"/>
  <c r="AD59" i="7" s="1"/>
  <c r="AV13" i="7"/>
  <c r="AV32" i="7"/>
  <c r="AV30" i="7"/>
  <c r="AV29" i="7"/>
  <c r="AV54" i="7"/>
  <c r="AV55" i="7"/>
  <c r="AV58" i="7"/>
  <c r="K19" i="7"/>
  <c r="AD19" i="7" s="1"/>
  <c r="K23" i="7"/>
  <c r="K32" i="7"/>
  <c r="AD32" i="7" s="1"/>
  <c r="K34" i="7"/>
  <c r="AD34" i="7" s="1"/>
  <c r="K29" i="7"/>
  <c r="AD29" i="7" s="1"/>
  <c r="K53" i="7"/>
  <c r="AD53" i="7" s="1"/>
  <c r="K58" i="7"/>
  <c r="AD58" i="7" s="1"/>
  <c r="K56" i="7"/>
  <c r="AD56" i="7" s="1"/>
  <c r="AV60" i="7"/>
  <c r="AV64" i="7"/>
  <c r="AV59" i="7"/>
  <c r="AV28" i="7"/>
  <c r="AV44" i="7"/>
  <c r="AV41" i="7"/>
  <c r="AV42" i="7"/>
  <c r="AV35" i="7"/>
  <c r="AV40" i="7"/>
  <c r="AV39" i="7"/>
  <c r="AV24" i="7"/>
  <c r="AV26" i="7"/>
  <c r="AV51" i="7"/>
  <c r="L52" i="7"/>
  <c r="AK52" i="7" s="1"/>
  <c r="AV49" i="7"/>
  <c r="AW25" i="7"/>
  <c r="AW26" i="7"/>
  <c r="AW66" i="7"/>
  <c r="AW51" i="7"/>
  <c r="AW47" i="7"/>
  <c r="AW22" i="7"/>
  <c r="AW52" i="7"/>
  <c r="AW48" i="7"/>
  <c r="AW15" i="7"/>
  <c r="AW65" i="7"/>
  <c r="AW16" i="7"/>
  <c r="AW49" i="7"/>
  <c r="AW21" i="7"/>
  <c r="R84" i="8"/>
  <c r="R85" i="8" s="1"/>
  <c r="K28" i="7"/>
  <c r="AD28" i="7" s="1"/>
  <c r="K36" i="7"/>
  <c r="AD36" i="7" s="1"/>
  <c r="K39" i="7"/>
  <c r="AD39" i="7" s="1"/>
  <c r="K42" i="7"/>
  <c r="K44" i="7"/>
  <c r="AD44" i="7" s="1"/>
  <c r="K43" i="7"/>
  <c r="AD43" i="7" s="1"/>
  <c r="K64" i="7"/>
  <c r="AD64" i="7" s="1"/>
  <c r="K61" i="7"/>
  <c r="AD61" i="7" s="1"/>
  <c r="K60" i="7"/>
  <c r="AD60" i="7" s="1"/>
  <c r="AV17" i="7"/>
  <c r="AV31" i="7"/>
  <c r="AV34" i="7"/>
  <c r="AV33" i="7"/>
  <c r="AV18" i="7"/>
  <c r="AV56" i="7"/>
  <c r="AV53" i="7"/>
  <c r="AV57" i="7"/>
  <c r="K20" i="7"/>
  <c r="AD20" i="7" s="1"/>
  <c r="K24" i="7"/>
  <c r="AD24" i="7" s="1"/>
  <c r="K30" i="7"/>
  <c r="K31" i="7"/>
  <c r="AD31" i="7" s="1"/>
  <c r="K33" i="7"/>
  <c r="AD33" i="7" s="1"/>
  <c r="K18" i="7"/>
  <c r="K57" i="7"/>
  <c r="AD57" i="7" s="1"/>
  <c r="K55" i="7"/>
  <c r="AD55" i="7" s="1"/>
  <c r="K54" i="7"/>
  <c r="AD54" i="7" s="1"/>
  <c r="AV14" i="7"/>
  <c r="AV63" i="7"/>
  <c r="AV62" i="7"/>
  <c r="AV61" i="7"/>
  <c r="AV27" i="7"/>
  <c r="AV46" i="7"/>
  <c r="AV43" i="7"/>
  <c r="AV45" i="7"/>
  <c r="AV38" i="7"/>
  <c r="AV37" i="7"/>
  <c r="AV36" i="7"/>
  <c r="AV23" i="7"/>
  <c r="L25" i="7"/>
  <c r="AK25" i="7" s="1"/>
  <c r="AV48" i="7"/>
  <c r="AV47" i="7"/>
  <c r="AV50" i="7"/>
  <c r="K50" i="7"/>
  <c r="AD50" i="7" s="1"/>
  <c r="AQ25" i="7"/>
  <c r="AQ26" i="7"/>
  <c r="AQ66" i="7"/>
  <c r="AQ51" i="7"/>
  <c r="AQ47" i="7"/>
  <c r="AQ22" i="7"/>
  <c r="AQ52" i="7"/>
  <c r="AQ48" i="7"/>
  <c r="AQ15" i="7"/>
  <c r="AQ65" i="7"/>
  <c r="AQ16" i="7"/>
  <c r="AQ49" i="7"/>
  <c r="AQ21" i="7"/>
  <c r="U84" i="8"/>
  <c r="U85" i="8" s="1"/>
  <c r="AS63" i="7"/>
  <c r="AS64" i="7"/>
  <c r="AS59" i="7"/>
  <c r="AS56" i="7"/>
  <c r="AS55" i="7"/>
  <c r="AS58" i="7"/>
  <c r="AS61" i="7"/>
  <c r="AS62" i="7"/>
  <c r="AS60" i="7"/>
  <c r="AS13" i="7"/>
  <c r="AS57" i="7"/>
  <c r="AS54" i="7"/>
  <c r="V13" i="12" l="1"/>
  <c r="T21" i="12"/>
  <c r="S25" i="12"/>
  <c r="S49" i="12"/>
  <c r="AD42" i="7"/>
  <c r="AN18" i="7"/>
  <c r="J16" i="7"/>
  <c r="AD30" i="7"/>
  <c r="S35" i="12"/>
  <c r="S18" i="12"/>
  <c r="T18" i="12" s="1"/>
  <c r="U18" i="12" s="1"/>
  <c r="AD47" i="7"/>
  <c r="N47" i="3" s="1"/>
  <c r="V47" i="3" s="1"/>
  <c r="C44" i="34" s="1"/>
  <c r="AD18" i="7"/>
  <c r="N18" i="3" s="1"/>
  <c r="AD15" i="7"/>
  <c r="N15" i="3" s="1"/>
  <c r="AF15" i="3" s="1"/>
  <c r="D15" i="17" s="1"/>
  <c r="AD23" i="7"/>
  <c r="AG23" i="7" s="1"/>
  <c r="N68" i="12"/>
  <c r="O68" i="12" s="1"/>
  <c r="N75" i="12"/>
  <c r="S29" i="12"/>
  <c r="T30" i="12" s="1"/>
  <c r="U30" i="12" s="1"/>
  <c r="S50" i="12"/>
  <c r="S39" i="12"/>
  <c r="S53" i="12"/>
  <c r="AK27" i="7"/>
  <c r="AD27" i="7"/>
  <c r="AG27" i="7" s="1"/>
  <c r="S72" i="12"/>
  <c r="S59" i="12"/>
  <c r="S70" i="12"/>
  <c r="S16" i="12"/>
  <c r="T16" i="12" s="1"/>
  <c r="U16" i="12" s="1"/>
  <c r="S76" i="12"/>
  <c r="T76" i="12" s="1"/>
  <c r="U76" i="12" s="1"/>
  <c r="S58" i="12"/>
  <c r="S17" i="12"/>
  <c r="T17" i="12" s="1"/>
  <c r="U17" i="12" s="1"/>
  <c r="AD25" i="7"/>
  <c r="AD52" i="7"/>
  <c r="N52" i="3" s="1"/>
  <c r="AH52" i="7"/>
  <c r="S22" i="12"/>
  <c r="S77" i="12"/>
  <c r="T77" i="12" s="1"/>
  <c r="U77" i="12" s="1"/>
  <c r="S31" i="12"/>
  <c r="T33" i="12" s="1"/>
  <c r="U33" i="12" s="1"/>
  <c r="S55" i="12"/>
  <c r="T61" i="12" s="1"/>
  <c r="U61" i="12" s="1"/>
  <c r="S52" i="12"/>
  <c r="S46" i="12"/>
  <c r="S15" i="12"/>
  <c r="T15" i="12" s="1"/>
  <c r="U15" i="12" s="1"/>
  <c r="S63" i="12"/>
  <c r="T68" i="12" s="1"/>
  <c r="U68" i="12" s="1"/>
  <c r="S69" i="12"/>
  <c r="AH25" i="7"/>
  <c r="D12" i="22"/>
  <c r="E100" i="23" s="1"/>
  <c r="E102" i="23" s="1"/>
  <c r="AK18" i="7"/>
  <c r="AK14" i="7"/>
  <c r="N14" i="3"/>
  <c r="AK53" i="7"/>
  <c r="AG53" i="7"/>
  <c r="N21" i="12"/>
  <c r="O21" i="12" s="1"/>
  <c r="N61" i="12"/>
  <c r="O61" i="12" s="1"/>
  <c r="N40" i="12"/>
  <c r="O40" i="12" s="1"/>
  <c r="J36" i="12"/>
  <c r="AK31" i="7"/>
  <c r="J70" i="12"/>
  <c r="AK60" i="7"/>
  <c r="J32" i="12"/>
  <c r="AK28" i="7"/>
  <c r="J25" i="12"/>
  <c r="AK23" i="7"/>
  <c r="J17" i="12"/>
  <c r="K17" i="12" s="1"/>
  <c r="L17" i="12" s="1"/>
  <c r="AK17" i="7"/>
  <c r="N66" i="3"/>
  <c r="V66" i="3" s="1"/>
  <c r="AG66" i="7"/>
  <c r="J66" i="12"/>
  <c r="AK57" i="7"/>
  <c r="J35" i="12"/>
  <c r="AK30" i="7"/>
  <c r="J71" i="12"/>
  <c r="AK61" i="7"/>
  <c r="J49" i="12"/>
  <c r="AK42" i="7"/>
  <c r="J34" i="12"/>
  <c r="AK29" i="7"/>
  <c r="J19" i="12"/>
  <c r="AK19" i="7"/>
  <c r="J69" i="12"/>
  <c r="AK59" i="7"/>
  <c r="J48" i="12"/>
  <c r="AK41" i="7"/>
  <c r="J46" i="12"/>
  <c r="AK40" i="7"/>
  <c r="J64" i="12"/>
  <c r="AK55" i="7"/>
  <c r="J51" i="12"/>
  <c r="AK44" i="7"/>
  <c r="J58" i="12"/>
  <c r="K61" i="12" s="1"/>
  <c r="L61" i="12" s="1"/>
  <c r="AK50" i="7"/>
  <c r="J26" i="12"/>
  <c r="AK24" i="7"/>
  <c r="J74" i="12"/>
  <c r="AK64" i="7"/>
  <c r="J45" i="12"/>
  <c r="AK39" i="7"/>
  <c r="J65" i="12"/>
  <c r="AK56" i="7"/>
  <c r="J39" i="12"/>
  <c r="AK34" i="7"/>
  <c r="J72" i="12"/>
  <c r="AK62" i="7"/>
  <c r="J52" i="12"/>
  <c r="AK45" i="7"/>
  <c r="J43" i="12"/>
  <c r="AK37" i="7"/>
  <c r="J63" i="12"/>
  <c r="AK54" i="7"/>
  <c r="J38" i="12"/>
  <c r="AK33" i="7"/>
  <c r="J20" i="12"/>
  <c r="AK20" i="7"/>
  <c r="J50" i="12"/>
  <c r="AK43" i="7"/>
  <c r="J42" i="12"/>
  <c r="AK36" i="7"/>
  <c r="J67" i="12"/>
  <c r="AK58" i="7"/>
  <c r="J37" i="12"/>
  <c r="AK32" i="7"/>
  <c r="J73" i="12"/>
  <c r="AK63" i="7"/>
  <c r="J53" i="12"/>
  <c r="AK46" i="7"/>
  <c r="J44" i="12"/>
  <c r="AK38" i="7"/>
  <c r="J41" i="12"/>
  <c r="AK35" i="7"/>
  <c r="N65" i="3"/>
  <c r="V65" i="3" s="1"/>
  <c r="D29" i="38" s="1"/>
  <c r="AG65" i="7"/>
  <c r="D16" i="22"/>
  <c r="O77" i="12"/>
  <c r="O13" i="12"/>
  <c r="O18" i="12"/>
  <c r="N27" i="12"/>
  <c r="O33" i="12"/>
  <c r="O17" i="12"/>
  <c r="O15" i="12"/>
  <c r="O24" i="12"/>
  <c r="O14" i="12"/>
  <c r="O76" i="12"/>
  <c r="O16" i="12"/>
  <c r="M60" i="12"/>
  <c r="N47" i="12"/>
  <c r="N54" i="12"/>
  <c r="M28" i="12"/>
  <c r="N30" i="12" s="1"/>
  <c r="J31" i="12"/>
  <c r="K33" i="12" s="1"/>
  <c r="L33" i="12" s="1"/>
  <c r="J14" i="12"/>
  <c r="K14" i="12" s="1"/>
  <c r="L14" i="12" s="1"/>
  <c r="J62" i="12"/>
  <c r="J18" i="12"/>
  <c r="K18" i="12" s="1"/>
  <c r="L18" i="12" s="1"/>
  <c r="L16" i="12"/>
  <c r="AS53" i="7"/>
  <c r="K30" i="12"/>
  <c r="L30" i="12" s="1"/>
  <c r="AS44" i="7"/>
  <c r="AS28" i="7"/>
  <c r="AS34" i="7"/>
  <c r="AS25" i="7"/>
  <c r="AS20" i="7"/>
  <c r="AS17" i="7"/>
  <c r="AS46" i="7"/>
  <c r="AS35" i="7"/>
  <c r="AS30" i="7"/>
  <c r="AS27" i="7"/>
  <c r="AS23" i="7"/>
  <c r="AS32" i="7"/>
  <c r="AS18" i="7"/>
  <c r="AS42" i="7"/>
  <c r="AS21" i="7"/>
  <c r="AS36" i="7"/>
  <c r="AS43" i="7"/>
  <c r="AS14" i="7"/>
  <c r="AS37" i="7"/>
  <c r="AS38" i="7"/>
  <c r="AS41" i="7"/>
  <c r="AS31" i="7"/>
  <c r="AS29" i="7"/>
  <c r="AS33" i="7"/>
  <c r="AS40" i="7"/>
  <c r="AS45" i="7"/>
  <c r="AS19" i="7"/>
  <c r="AS24" i="7"/>
  <c r="AS51" i="7"/>
  <c r="AS39" i="7"/>
  <c r="V51" i="3"/>
  <c r="G44" i="34" s="1"/>
  <c r="AF21" i="3"/>
  <c r="V21" i="3"/>
  <c r="C46" i="32" s="1"/>
  <c r="V16" i="3"/>
  <c r="D56" i="28" s="1"/>
  <c r="V22" i="3"/>
  <c r="D46" i="32" s="1"/>
  <c r="BE22" i="7"/>
  <c r="BE47" i="7"/>
  <c r="BE48" i="7"/>
  <c r="BE51" i="7"/>
  <c r="BE21" i="7"/>
  <c r="BE16" i="7"/>
  <c r="BE49" i="7"/>
  <c r="AG54" i="7"/>
  <c r="N20" i="3"/>
  <c r="AG36" i="7"/>
  <c r="AG58" i="7"/>
  <c r="AG63" i="7"/>
  <c r="AG35" i="7"/>
  <c r="AG55" i="7"/>
  <c r="AG28" i="7"/>
  <c r="AG57" i="7"/>
  <c r="N30" i="3"/>
  <c r="AG61" i="7"/>
  <c r="N29" i="3"/>
  <c r="N19" i="3"/>
  <c r="AG59" i="7"/>
  <c r="N33" i="3"/>
  <c r="AG43" i="7"/>
  <c r="N32" i="3"/>
  <c r="AG38" i="7"/>
  <c r="N31" i="3"/>
  <c r="AG44" i="7"/>
  <c r="N17" i="3"/>
  <c r="AG24" i="7"/>
  <c r="AG64" i="7"/>
  <c r="AG39" i="7"/>
  <c r="AG56" i="7"/>
  <c r="N34" i="3"/>
  <c r="AG62" i="7"/>
  <c r="AG45" i="7"/>
  <c r="AG37" i="7"/>
  <c r="AG13" i="7"/>
  <c r="AE26" i="7"/>
  <c r="N26" i="3"/>
  <c r="AF51" i="3"/>
  <c r="AF48" i="3"/>
  <c r="D64" i="17" s="1"/>
  <c r="AF16" i="3"/>
  <c r="D18" i="17" s="1"/>
  <c r="AF49" i="3"/>
  <c r="AF22" i="3"/>
  <c r="D38" i="17" s="1"/>
  <c r="I115" i="52"/>
  <c r="BE26" i="7"/>
  <c r="AL66" i="7"/>
  <c r="BF66" i="7" s="1"/>
  <c r="BE66" i="7"/>
  <c r="AL13" i="7"/>
  <c r="BF13" i="7" s="1"/>
  <c r="BE13" i="7"/>
  <c r="I85" i="52"/>
  <c r="BE15" i="7"/>
  <c r="AL65" i="7"/>
  <c r="BF65" i="7" s="1"/>
  <c r="BE65" i="7"/>
  <c r="Z38" i="12"/>
  <c r="Z66" i="12"/>
  <c r="Z35" i="12"/>
  <c r="Z49" i="12"/>
  <c r="Z62" i="12"/>
  <c r="Z31" i="12"/>
  <c r="AA33" i="12" s="1"/>
  <c r="AB33" i="12" s="1"/>
  <c r="Z18" i="12"/>
  <c r="AA18" i="12" s="1"/>
  <c r="AB18" i="12" s="1"/>
  <c r="Z26" i="12"/>
  <c r="Z74" i="12"/>
  <c r="Z45" i="12"/>
  <c r="Z34" i="12"/>
  <c r="Z19" i="12"/>
  <c r="Z69" i="12"/>
  <c r="Z48" i="12"/>
  <c r="Z46" i="12"/>
  <c r="Z63" i="12"/>
  <c r="Z20" i="12"/>
  <c r="Z42" i="12"/>
  <c r="Z65" i="12"/>
  <c r="Z39" i="12"/>
  <c r="Z72" i="12"/>
  <c r="Z52" i="12"/>
  <c r="Z43" i="12"/>
  <c r="Z36" i="12"/>
  <c r="Z70" i="12"/>
  <c r="Z51" i="12"/>
  <c r="Z32" i="12"/>
  <c r="Z67" i="12"/>
  <c r="Z37" i="12"/>
  <c r="Z73" i="12"/>
  <c r="Z53" i="12"/>
  <c r="Z44" i="12"/>
  <c r="Z41" i="12"/>
  <c r="AX22" i="7"/>
  <c r="AM22" i="7" s="1"/>
  <c r="AA30" i="12"/>
  <c r="AB30" i="12" s="1"/>
  <c r="AE16" i="7"/>
  <c r="AG16" i="7"/>
  <c r="AG48" i="7"/>
  <c r="H49" i="11"/>
  <c r="Q49" i="11" s="1"/>
  <c r="AG49" i="7"/>
  <c r="AE51" i="7"/>
  <c r="AG51" i="7"/>
  <c r="AG21" i="7"/>
  <c r="AG22" i="7"/>
  <c r="AE47" i="7"/>
  <c r="AG47" i="7"/>
  <c r="G50" i="44"/>
  <c r="Z58" i="12"/>
  <c r="AA61" i="12" s="1"/>
  <c r="AB61" i="12" s="1"/>
  <c r="Z14" i="12"/>
  <c r="AA14" i="12" s="1"/>
  <c r="AB14" i="12" s="1"/>
  <c r="Z64" i="12"/>
  <c r="G43" i="44"/>
  <c r="O43" i="44" s="1"/>
  <c r="Z50" i="12"/>
  <c r="Z71" i="12"/>
  <c r="AX65" i="7"/>
  <c r="AM65" i="7" s="1"/>
  <c r="G23" i="44"/>
  <c r="Z25" i="12"/>
  <c r="Z17" i="12"/>
  <c r="AA17" i="12" s="1"/>
  <c r="AB17" i="12" s="1"/>
  <c r="AX13" i="7"/>
  <c r="AM13" i="7" s="1"/>
  <c r="AX21" i="7"/>
  <c r="AM21" i="7" s="1"/>
  <c r="AX15" i="7"/>
  <c r="AM15" i="7" s="1"/>
  <c r="AX66" i="7"/>
  <c r="AM66" i="7" s="1"/>
  <c r="AE21" i="7"/>
  <c r="G54" i="44"/>
  <c r="O54" i="44" s="1"/>
  <c r="G33" i="44"/>
  <c r="O33" i="44" s="1"/>
  <c r="G20" i="44"/>
  <c r="G36" i="44"/>
  <c r="O36" i="44" s="1"/>
  <c r="G56" i="44"/>
  <c r="G34" i="44"/>
  <c r="O34" i="44" s="1"/>
  <c r="G62" i="44"/>
  <c r="G45" i="44"/>
  <c r="G37" i="44"/>
  <c r="G55" i="44"/>
  <c r="G31" i="44"/>
  <c r="O31" i="44" s="1"/>
  <c r="G60" i="44"/>
  <c r="O60" i="44" s="1"/>
  <c r="G44" i="44"/>
  <c r="O44" i="44" s="1"/>
  <c r="G28" i="44"/>
  <c r="G58" i="44"/>
  <c r="G32" i="44"/>
  <c r="G63" i="44"/>
  <c r="G46" i="44"/>
  <c r="G38" i="44"/>
  <c r="G35" i="44"/>
  <c r="G57" i="44"/>
  <c r="O57" i="44" s="1"/>
  <c r="G30" i="44"/>
  <c r="O30" i="44" s="1"/>
  <c r="G61" i="44"/>
  <c r="O61" i="44" s="1"/>
  <c r="G42" i="44"/>
  <c r="O42" i="44" s="1"/>
  <c r="H52" i="44"/>
  <c r="O52" i="44" s="1"/>
  <c r="G53" i="44"/>
  <c r="G17" i="44"/>
  <c r="O17" i="44" s="1"/>
  <c r="G27" i="44"/>
  <c r="H21" i="44"/>
  <c r="O21" i="44" s="1"/>
  <c r="G18" i="44"/>
  <c r="O18" i="44" s="1"/>
  <c r="G24" i="44"/>
  <c r="G64" i="44"/>
  <c r="O64" i="44" s="1"/>
  <c r="G39" i="44"/>
  <c r="G29" i="44"/>
  <c r="G19" i="44"/>
  <c r="G59" i="44"/>
  <c r="G41" i="44"/>
  <c r="G40" i="44"/>
  <c r="O40" i="44" s="1"/>
  <c r="G14" i="44"/>
  <c r="AE22" i="7"/>
  <c r="O15" i="44"/>
  <c r="O22" i="44"/>
  <c r="Q22" i="44" s="1"/>
  <c r="AE48" i="7"/>
  <c r="AX16" i="7"/>
  <c r="AM16" i="7" s="1"/>
  <c r="O13" i="44"/>
  <c r="Q13" i="44" s="1"/>
  <c r="H51" i="11"/>
  <c r="N58" i="50"/>
  <c r="AL16" i="7"/>
  <c r="BF16" i="7" s="1"/>
  <c r="I86" i="52"/>
  <c r="O16" i="44"/>
  <c r="Q16" i="44" s="1"/>
  <c r="O65" i="44"/>
  <c r="Q65" i="44" s="1"/>
  <c r="O66" i="44"/>
  <c r="Q66" i="44" s="1"/>
  <c r="O47" i="44"/>
  <c r="Q47" i="44" s="1"/>
  <c r="N5" i="50"/>
  <c r="N61" i="50"/>
  <c r="AE49" i="7"/>
  <c r="O49" i="44"/>
  <c r="Q49" i="44" s="1"/>
  <c r="O51" i="44"/>
  <c r="Q51" i="44" s="1"/>
  <c r="O26" i="44"/>
  <c r="Q26" i="44" s="1"/>
  <c r="AX47" i="7"/>
  <c r="AM47" i="7" s="1"/>
  <c r="AX48" i="7"/>
  <c r="AM48" i="7" s="1"/>
  <c r="N59" i="50"/>
  <c r="AE65" i="7"/>
  <c r="O48" i="44"/>
  <c r="Q48" i="44" s="1"/>
  <c r="AL21" i="7"/>
  <c r="BF21" i="7" s="1"/>
  <c r="AL15" i="7"/>
  <c r="BF15" i="7" s="1"/>
  <c r="AL48" i="7"/>
  <c r="BF48" i="7" s="1"/>
  <c r="AL22" i="7"/>
  <c r="BF22" i="7" s="1"/>
  <c r="AL47" i="7"/>
  <c r="BF47" i="7" s="1"/>
  <c r="AE66" i="7"/>
  <c r="AL26" i="7"/>
  <c r="BF26" i="7" s="1"/>
  <c r="AW50" i="7"/>
  <c r="AW54" i="7"/>
  <c r="AW55" i="7"/>
  <c r="AW57" i="7"/>
  <c r="AW18" i="7"/>
  <c r="AW33" i="7"/>
  <c r="AW31" i="7"/>
  <c r="AW30" i="7"/>
  <c r="AW24" i="7"/>
  <c r="AX24" i="7" s="1"/>
  <c r="AW20" i="7"/>
  <c r="AW60" i="7"/>
  <c r="AX60" i="7" s="1"/>
  <c r="AW61" i="7"/>
  <c r="AX61" i="7" s="1"/>
  <c r="AW64" i="7"/>
  <c r="AX64" i="7" s="1"/>
  <c r="AW43" i="7"/>
  <c r="AX43" i="7" s="1"/>
  <c r="AW44" i="7"/>
  <c r="AX44" i="7" s="1"/>
  <c r="AW42" i="7"/>
  <c r="AX42" i="7" s="1"/>
  <c r="AW39" i="7"/>
  <c r="AW36" i="7"/>
  <c r="AW28" i="7"/>
  <c r="AW56" i="7"/>
  <c r="AW58" i="7"/>
  <c r="AW53" i="7"/>
  <c r="AW29" i="7"/>
  <c r="AW34" i="7"/>
  <c r="AW32" i="7"/>
  <c r="AW23" i="7"/>
  <c r="AX23" i="7" s="1"/>
  <c r="AW19" i="7"/>
  <c r="AW59" i="7"/>
  <c r="AX59" i="7" s="1"/>
  <c r="AW62" i="7"/>
  <c r="AX62" i="7" s="1"/>
  <c r="AW63" i="7"/>
  <c r="AX63" i="7" s="1"/>
  <c r="AW41" i="7"/>
  <c r="AX41" i="7" s="1"/>
  <c r="AW45" i="7"/>
  <c r="AX45" i="7" s="1"/>
  <c r="AW46" i="7"/>
  <c r="AX46" i="7" s="1"/>
  <c r="AW17" i="7"/>
  <c r="AW40" i="7"/>
  <c r="AW37" i="7"/>
  <c r="AW38" i="7"/>
  <c r="AW27" i="7"/>
  <c r="AW14" i="7"/>
  <c r="AW35" i="7"/>
  <c r="AL49" i="7"/>
  <c r="BF49" i="7" s="1"/>
  <c r="AL51" i="7"/>
  <c r="BF51" i="7" s="1"/>
  <c r="AQ50" i="7"/>
  <c r="O25" i="44"/>
  <c r="Q25" i="44" s="1"/>
  <c r="AV25" i="7"/>
  <c r="AQ54" i="7"/>
  <c r="AQ55" i="7"/>
  <c r="AQ57" i="7"/>
  <c r="AQ18" i="7"/>
  <c r="AQ33" i="7"/>
  <c r="AQ31" i="7"/>
  <c r="AQ30" i="7"/>
  <c r="AQ24" i="7"/>
  <c r="AQ20" i="7"/>
  <c r="AQ60" i="7"/>
  <c r="AQ61" i="7"/>
  <c r="AQ64" i="7"/>
  <c r="AQ43" i="7"/>
  <c r="AQ44" i="7"/>
  <c r="AQ42" i="7"/>
  <c r="AQ39" i="7"/>
  <c r="AQ36" i="7"/>
  <c r="AQ28" i="7"/>
  <c r="AV52" i="7"/>
  <c r="AQ56" i="7"/>
  <c r="AQ58" i="7"/>
  <c r="AQ53" i="7"/>
  <c r="AQ29" i="7"/>
  <c r="AQ34" i="7"/>
  <c r="AQ32" i="7"/>
  <c r="AQ23" i="7"/>
  <c r="AQ19" i="7"/>
  <c r="AQ59" i="7"/>
  <c r="AQ62" i="7"/>
  <c r="AQ63" i="7"/>
  <c r="AQ41" i="7"/>
  <c r="AQ45" i="7"/>
  <c r="AQ46" i="7"/>
  <c r="AQ17" i="7"/>
  <c r="AQ40" i="7"/>
  <c r="AQ37" i="7"/>
  <c r="AQ38" i="7"/>
  <c r="AQ27" i="7"/>
  <c r="AQ14" i="7"/>
  <c r="AQ35" i="7"/>
  <c r="AX49" i="7"/>
  <c r="AM49" i="7" s="1"/>
  <c r="AX51" i="7"/>
  <c r="AM51" i="7" s="1"/>
  <c r="AX26" i="7"/>
  <c r="AM26" i="7" s="1"/>
  <c r="AE13" i="7"/>
  <c r="W13" i="12" l="1"/>
  <c r="X13" i="12" s="1"/>
  <c r="T24" i="12"/>
  <c r="U24" i="12" s="1"/>
  <c r="Q15" i="44"/>
  <c r="V15" i="3"/>
  <c r="AG15" i="7"/>
  <c r="AE15" i="7"/>
  <c r="N57" i="50"/>
  <c r="AF47" i="3"/>
  <c r="D63" i="17" s="1"/>
  <c r="K47" i="12"/>
  <c r="L47" i="12" s="1"/>
  <c r="K68" i="12"/>
  <c r="L68" i="12" s="1"/>
  <c r="K21" i="12"/>
  <c r="L21" i="12" s="1"/>
  <c r="T75" i="12"/>
  <c r="U75" i="12" s="1"/>
  <c r="K54" i="12"/>
  <c r="L54" i="12" s="1"/>
  <c r="K75" i="12"/>
  <c r="L75" i="12" s="1"/>
  <c r="AF66" i="3"/>
  <c r="K27" i="12"/>
  <c r="L27" i="12" s="1"/>
  <c r="K40" i="12"/>
  <c r="L40" i="12" s="1"/>
  <c r="G78" i="17"/>
  <c r="H65" i="11"/>
  <c r="Q65" i="11" s="1"/>
  <c r="AF65" i="3"/>
  <c r="N41" i="3"/>
  <c r="V41" i="3" s="1"/>
  <c r="AG41" i="7"/>
  <c r="N42" i="3"/>
  <c r="H42" i="11" s="1"/>
  <c r="Q42" i="11" s="1"/>
  <c r="AG42" i="7"/>
  <c r="N25" i="3"/>
  <c r="AF25" i="3" s="1"/>
  <c r="D33" i="17" s="1"/>
  <c r="AG25" i="7"/>
  <c r="N46" i="3"/>
  <c r="AF46" i="3" s="1"/>
  <c r="AG46" i="7"/>
  <c r="N60" i="3"/>
  <c r="AF60" i="3" s="1"/>
  <c r="AG60" i="7"/>
  <c r="N40" i="3"/>
  <c r="AF40" i="3" s="1"/>
  <c r="D58" i="17" s="1"/>
  <c r="AG40" i="7"/>
  <c r="D13" i="22"/>
  <c r="T14" i="12"/>
  <c r="U14" i="12" s="1"/>
  <c r="T47" i="12"/>
  <c r="U47" i="12" s="1"/>
  <c r="D14" i="22"/>
  <c r="U21" i="12"/>
  <c r="D15" i="22"/>
  <c r="T40" i="12"/>
  <c r="U40" i="12" s="1"/>
  <c r="T54" i="12"/>
  <c r="U54" i="12" s="1"/>
  <c r="T27" i="12"/>
  <c r="U27" i="12" s="1"/>
  <c r="O30" i="12"/>
  <c r="O47" i="12"/>
  <c r="O27" i="12"/>
  <c r="O54" i="12"/>
  <c r="O75" i="12"/>
  <c r="H100" i="23"/>
  <c r="H102" i="23" s="1"/>
  <c r="Q51" i="11"/>
  <c r="V59" i="12" s="1"/>
  <c r="AF34" i="3"/>
  <c r="D52" i="17" s="1"/>
  <c r="V34" i="3"/>
  <c r="AF14" i="3"/>
  <c r="D13" i="17" s="1"/>
  <c r="V14" i="3"/>
  <c r="E58" i="26" s="1"/>
  <c r="AF19" i="3"/>
  <c r="V19" i="3"/>
  <c r="C46" i="31" s="1"/>
  <c r="AF17" i="3"/>
  <c r="D19" i="17" s="1"/>
  <c r="V17" i="3"/>
  <c r="AF33" i="3"/>
  <c r="D51" i="17" s="1"/>
  <c r="V33" i="3"/>
  <c r="AF52" i="3"/>
  <c r="V52" i="3"/>
  <c r="H44" i="34" s="1"/>
  <c r="AF29" i="3"/>
  <c r="V29" i="3"/>
  <c r="AF20" i="3"/>
  <c r="D32" i="17" s="1"/>
  <c r="V20" i="3"/>
  <c r="AF30" i="3"/>
  <c r="D48" i="17" s="1"/>
  <c r="V30" i="3"/>
  <c r="AF32" i="3"/>
  <c r="D50" i="17" s="1"/>
  <c r="V32" i="3"/>
  <c r="F50" i="33" s="1"/>
  <c r="AF13" i="3"/>
  <c r="D12" i="17" s="1"/>
  <c r="V13" i="3"/>
  <c r="AF31" i="3"/>
  <c r="D49" i="17" s="1"/>
  <c r="V31" i="3"/>
  <c r="V26" i="3"/>
  <c r="D47" i="31" s="1"/>
  <c r="AF18" i="3"/>
  <c r="D25" i="17" s="1"/>
  <c r="V18" i="3"/>
  <c r="C30" i="46" s="1"/>
  <c r="AX14" i="7"/>
  <c r="AM14" i="7" s="1"/>
  <c r="AX40" i="7"/>
  <c r="AM40" i="7" s="1"/>
  <c r="AX19" i="7"/>
  <c r="AM19" i="7" s="1"/>
  <c r="AX28" i="7"/>
  <c r="AM28" i="7" s="1"/>
  <c r="AX31" i="7"/>
  <c r="AM31" i="7" s="1"/>
  <c r="AX55" i="7"/>
  <c r="AM55" i="7" s="1"/>
  <c r="AX27" i="7"/>
  <c r="AM27" i="7" s="1"/>
  <c r="AX17" i="7"/>
  <c r="AM17" i="7" s="1"/>
  <c r="AX53" i="7"/>
  <c r="AM53" i="7" s="1"/>
  <c r="AX36" i="7"/>
  <c r="AM36" i="7" s="1"/>
  <c r="AX20" i="7"/>
  <c r="AM20" i="7" s="1"/>
  <c r="AX33" i="7"/>
  <c r="AM33" i="7" s="1"/>
  <c r="AX54" i="7"/>
  <c r="AM54" i="7" s="1"/>
  <c r="AX25" i="7"/>
  <c r="AM25" i="7" s="1"/>
  <c r="AX38" i="7"/>
  <c r="AM38" i="7" s="1"/>
  <c r="AX32" i="7"/>
  <c r="AM32" i="7" s="1"/>
  <c r="AX58" i="7"/>
  <c r="AM58" i="7" s="1"/>
  <c r="AX39" i="7"/>
  <c r="AM39" i="7" s="1"/>
  <c r="AX18" i="7"/>
  <c r="AM18" i="7" s="1"/>
  <c r="AX52" i="7"/>
  <c r="AM52" i="7" s="1"/>
  <c r="AX35" i="7"/>
  <c r="AM35" i="7" s="1"/>
  <c r="AX37" i="7"/>
  <c r="AM37" i="7" s="1"/>
  <c r="AX34" i="7"/>
  <c r="AM34" i="7" s="1"/>
  <c r="AX56" i="7"/>
  <c r="AM56" i="7" s="1"/>
  <c r="AX30" i="7"/>
  <c r="AM30" i="7" s="1"/>
  <c r="AX57" i="7"/>
  <c r="AM57" i="7" s="1"/>
  <c r="BE58" i="7"/>
  <c r="AX29" i="7"/>
  <c r="AM29" i="7" s="1"/>
  <c r="AX50" i="7"/>
  <c r="AM50" i="7" s="1"/>
  <c r="BE19" i="7"/>
  <c r="BE50" i="7"/>
  <c r="I135" i="52"/>
  <c r="AL58" i="7"/>
  <c r="BF58" i="7" s="1"/>
  <c r="H26" i="11"/>
  <c r="AF26" i="3"/>
  <c r="D34" i="17" s="1"/>
  <c r="N70" i="50"/>
  <c r="N57" i="3"/>
  <c r="V57" i="3" s="1"/>
  <c r="G45" i="34" s="1"/>
  <c r="AE59" i="7"/>
  <c r="N59" i="3"/>
  <c r="N89" i="50"/>
  <c r="N63" i="3"/>
  <c r="N64" i="3"/>
  <c r="N29" i="50"/>
  <c r="N27" i="3"/>
  <c r="AE35" i="7"/>
  <c r="N35" i="3"/>
  <c r="AE28" i="7"/>
  <c r="N28" i="3"/>
  <c r="N68" i="50"/>
  <c r="N55" i="3"/>
  <c r="V55" i="3" s="1"/>
  <c r="E45" i="34" s="1"/>
  <c r="N80" i="50"/>
  <c r="N45" i="3"/>
  <c r="V45" i="3" s="1"/>
  <c r="H75" i="37" s="1"/>
  <c r="N47" i="50"/>
  <c r="N36" i="3"/>
  <c r="N34" i="50"/>
  <c r="N23" i="3"/>
  <c r="AE61" i="7"/>
  <c r="N61" i="3"/>
  <c r="AG50" i="7"/>
  <c r="N50" i="3"/>
  <c r="V50" i="3" s="1"/>
  <c r="F44" i="34" s="1"/>
  <c r="N88" i="50"/>
  <c r="N62" i="3"/>
  <c r="N66" i="50"/>
  <c r="N53" i="3"/>
  <c r="V53" i="3" s="1"/>
  <c r="C45" i="34" s="1"/>
  <c r="AE39" i="7"/>
  <c r="N39" i="3"/>
  <c r="N22" i="50"/>
  <c r="N24" i="3"/>
  <c r="N49" i="50"/>
  <c r="N38" i="3"/>
  <c r="N71" i="50"/>
  <c r="N58" i="3"/>
  <c r="V58" i="3" s="1"/>
  <c r="H45" i="34" s="1"/>
  <c r="AE44" i="7"/>
  <c r="N44" i="3"/>
  <c r="V44" i="3" s="1"/>
  <c r="G75" i="37" s="1"/>
  <c r="N48" i="50"/>
  <c r="N37" i="3"/>
  <c r="N69" i="50"/>
  <c r="N56" i="3"/>
  <c r="V56" i="3" s="1"/>
  <c r="F45" i="34" s="1"/>
  <c r="N67" i="50"/>
  <c r="N54" i="3"/>
  <c r="V54" i="3" s="1"/>
  <c r="D45" i="34" s="1"/>
  <c r="AE43" i="7"/>
  <c r="N43" i="3"/>
  <c r="V43" i="3" s="1"/>
  <c r="F75" i="37" s="1"/>
  <c r="AI21" i="3"/>
  <c r="AK21" i="3" s="1"/>
  <c r="AG21" i="3"/>
  <c r="AH21" i="3" s="1"/>
  <c r="AI65" i="3"/>
  <c r="AK65" i="3" s="1"/>
  <c r="AI16" i="3"/>
  <c r="C46" i="42" s="1"/>
  <c r="AG16" i="3"/>
  <c r="AH16" i="3" s="1"/>
  <c r="AI51" i="3"/>
  <c r="AG51" i="3"/>
  <c r="AH51" i="3" s="1"/>
  <c r="AI22" i="3"/>
  <c r="AG22" i="3"/>
  <c r="AH22" i="3" s="1"/>
  <c r="AI49" i="3"/>
  <c r="AG49" i="3"/>
  <c r="AH49" i="3" s="1"/>
  <c r="AI66" i="3"/>
  <c r="AK66" i="3" s="1"/>
  <c r="AI48" i="3"/>
  <c r="AG48" i="3"/>
  <c r="AH48" i="3" s="1"/>
  <c r="AI47" i="3"/>
  <c r="V57" i="12"/>
  <c r="AA40" i="12"/>
  <c r="AB40" i="12" s="1"/>
  <c r="K16" i="50"/>
  <c r="I147" i="52"/>
  <c r="BE45" i="7"/>
  <c r="I139" i="52"/>
  <c r="BE23" i="7"/>
  <c r="I130" i="52"/>
  <c r="BE53" i="7"/>
  <c r="I144" i="52"/>
  <c r="BE42" i="7"/>
  <c r="I126" i="52"/>
  <c r="BE27" i="7"/>
  <c r="I120" i="52"/>
  <c r="BE37" i="7"/>
  <c r="I103" i="52"/>
  <c r="BE34" i="7"/>
  <c r="I122" i="52"/>
  <c r="BE39" i="7"/>
  <c r="I100" i="52"/>
  <c r="BE31" i="7"/>
  <c r="I133" i="52"/>
  <c r="BE56" i="7"/>
  <c r="AL14" i="7"/>
  <c r="BF14" i="7" s="1"/>
  <c r="BE14" i="7"/>
  <c r="I153" i="52"/>
  <c r="BE61" i="7"/>
  <c r="I134" i="52"/>
  <c r="BE57" i="7"/>
  <c r="AL63" i="7"/>
  <c r="BF63" i="7" s="1"/>
  <c r="BE63" i="7"/>
  <c r="I154" i="52"/>
  <c r="BE62" i="7"/>
  <c r="AL20" i="7"/>
  <c r="BF20" i="7" s="1"/>
  <c r="BE20" i="7"/>
  <c r="I121" i="52"/>
  <c r="BE38" i="7"/>
  <c r="I123" i="52"/>
  <c r="BE40" i="7"/>
  <c r="I119" i="52"/>
  <c r="BE36" i="7"/>
  <c r="I99" i="52"/>
  <c r="BE30" i="7"/>
  <c r="I118" i="52"/>
  <c r="BE35" i="7"/>
  <c r="I143" i="52"/>
  <c r="BE41" i="7"/>
  <c r="I98" i="52"/>
  <c r="BE29" i="7"/>
  <c r="I127" i="52"/>
  <c r="BE28" i="7"/>
  <c r="I146" i="52"/>
  <c r="BE44" i="7"/>
  <c r="I140" i="52"/>
  <c r="BE24" i="7"/>
  <c r="AL52" i="7"/>
  <c r="BF52" i="7" s="1"/>
  <c r="BE52" i="7"/>
  <c r="AL18" i="7"/>
  <c r="BF18" i="7" s="1"/>
  <c r="BE18" i="7"/>
  <c r="I131" i="52"/>
  <c r="BE54" i="7"/>
  <c r="AL64" i="7"/>
  <c r="BF64" i="7" s="1"/>
  <c r="BE64" i="7"/>
  <c r="AL17" i="7"/>
  <c r="BF17" i="7" s="1"/>
  <c r="BE17" i="7"/>
  <c r="I148" i="52"/>
  <c r="BE46" i="7"/>
  <c r="I101" i="52"/>
  <c r="BE32" i="7"/>
  <c r="I145" i="52"/>
  <c r="BE43" i="7"/>
  <c r="I102" i="52"/>
  <c r="BE33" i="7"/>
  <c r="I114" i="52"/>
  <c r="BE25" i="7"/>
  <c r="I152" i="52"/>
  <c r="BE60" i="7"/>
  <c r="AL59" i="7"/>
  <c r="BF59" i="7" s="1"/>
  <c r="BE59" i="7"/>
  <c r="I132" i="52"/>
  <c r="BE55" i="7"/>
  <c r="AA21" i="12"/>
  <c r="AB21" i="12" s="1"/>
  <c r="AA68" i="12"/>
  <c r="AB68" i="12" s="1"/>
  <c r="AA47" i="12"/>
  <c r="AB47" i="12" s="1"/>
  <c r="AA75" i="12"/>
  <c r="AB75" i="12" s="1"/>
  <c r="Q61" i="44"/>
  <c r="AA54" i="12"/>
  <c r="AB54" i="12" s="1"/>
  <c r="AA27" i="12"/>
  <c r="AB27" i="12" s="1"/>
  <c r="D65" i="17"/>
  <c r="D36" i="20"/>
  <c r="E37" i="17"/>
  <c r="F85" i="52"/>
  <c r="G85" i="52" s="1"/>
  <c r="D28" i="19"/>
  <c r="AL56" i="7"/>
  <c r="BF56" i="7" s="1"/>
  <c r="D37" i="17"/>
  <c r="AL54" i="7"/>
  <c r="BF54" i="7" s="1"/>
  <c r="H15" i="11"/>
  <c r="H21" i="11"/>
  <c r="Q21" i="11" s="1"/>
  <c r="AG19" i="7"/>
  <c r="N6" i="50"/>
  <c r="AG17" i="7"/>
  <c r="AE52" i="7"/>
  <c r="AG52" i="7"/>
  <c r="N42" i="50"/>
  <c r="AG31" i="7"/>
  <c r="AE14" i="7"/>
  <c r="AG14" i="7"/>
  <c r="K17" i="50"/>
  <c r="E64" i="17"/>
  <c r="H22" i="11"/>
  <c r="Q22" i="11" s="1"/>
  <c r="N17" i="50"/>
  <c r="AL57" i="7"/>
  <c r="BF57" i="7" s="1"/>
  <c r="H48" i="11"/>
  <c r="Q48" i="11" s="1"/>
  <c r="AE20" i="7"/>
  <c r="AG20" i="7"/>
  <c r="AE18" i="7"/>
  <c r="AG18" i="7"/>
  <c r="N41" i="50"/>
  <c r="AG30" i="7"/>
  <c r="N43" i="50"/>
  <c r="AG32" i="7"/>
  <c r="AE34" i="7"/>
  <c r="AG34" i="7"/>
  <c r="N44" i="50"/>
  <c r="AG33" i="7"/>
  <c r="N16" i="50"/>
  <c r="AE29" i="7"/>
  <c r="AG29" i="7"/>
  <c r="AL55" i="7"/>
  <c r="BF55" i="7" s="1"/>
  <c r="I106" i="52"/>
  <c r="N87" i="50"/>
  <c r="I155" i="52"/>
  <c r="Q17" i="44"/>
  <c r="Q52" i="44"/>
  <c r="N11" i="50"/>
  <c r="AE41" i="7"/>
  <c r="H52" i="11"/>
  <c r="Q52" i="11" s="1"/>
  <c r="AE19" i="7"/>
  <c r="AE38" i="7"/>
  <c r="N76" i="50"/>
  <c r="I95" i="52"/>
  <c r="N50" i="50"/>
  <c r="AE56" i="7"/>
  <c r="AE24" i="7"/>
  <c r="N78" i="50"/>
  <c r="H16" i="11"/>
  <c r="I156" i="52"/>
  <c r="AE17" i="7"/>
  <c r="AE31" i="7"/>
  <c r="AE54" i="7"/>
  <c r="N79" i="50"/>
  <c r="N35" i="50"/>
  <c r="AE58" i="7"/>
  <c r="Q43" i="44"/>
  <c r="AL62" i="7"/>
  <c r="BF62" i="7" s="1"/>
  <c r="AL61" i="7"/>
  <c r="BF61" i="7" s="1"/>
  <c r="AE37" i="7"/>
  <c r="N62" i="50"/>
  <c r="Q21" i="44"/>
  <c r="Q44" i="44"/>
  <c r="Q31" i="44"/>
  <c r="Q54" i="44"/>
  <c r="AE25" i="7"/>
  <c r="F86" i="52"/>
  <c r="N77" i="50"/>
  <c r="AE36" i="7"/>
  <c r="N85" i="50"/>
  <c r="AE57" i="7"/>
  <c r="AE32" i="7"/>
  <c r="AE45" i="7"/>
  <c r="Q57" i="44"/>
  <c r="AE33" i="7"/>
  <c r="AE23" i="7"/>
  <c r="AE46" i="7"/>
  <c r="N30" i="50"/>
  <c r="AE30" i="7"/>
  <c r="Q42" i="44"/>
  <c r="AE40" i="7"/>
  <c r="N81" i="50"/>
  <c r="N46" i="50"/>
  <c r="AE42" i="7"/>
  <c r="AE60" i="7"/>
  <c r="N21" i="50"/>
  <c r="N45" i="50"/>
  <c r="AE55" i="7"/>
  <c r="N90" i="50"/>
  <c r="I151" i="52"/>
  <c r="N51" i="50"/>
  <c r="N86" i="50"/>
  <c r="Q18" i="44"/>
  <c r="AE27" i="7"/>
  <c r="AE64" i="7"/>
  <c r="Q40" i="44"/>
  <c r="Q64" i="44"/>
  <c r="Q30" i="44"/>
  <c r="Q60" i="44"/>
  <c r="Q34" i="44"/>
  <c r="Q36" i="44"/>
  <c r="Q33" i="44"/>
  <c r="AL60" i="7"/>
  <c r="BF60" i="7" s="1"/>
  <c r="AE63" i="7"/>
  <c r="AE53" i="7"/>
  <c r="AE62" i="7"/>
  <c r="AL25" i="7"/>
  <c r="BF25" i="7" s="1"/>
  <c r="O59" i="44"/>
  <c r="Q59" i="44" s="1"/>
  <c r="O29" i="44"/>
  <c r="Q29" i="44" s="1"/>
  <c r="N12" i="50"/>
  <c r="N25" i="50"/>
  <c r="O35" i="44"/>
  <c r="Q35" i="44" s="1"/>
  <c r="O14" i="44"/>
  <c r="Q14" i="44" s="1"/>
  <c r="O45" i="44"/>
  <c r="Q45" i="44" s="1"/>
  <c r="AM64" i="7"/>
  <c r="AM60" i="7"/>
  <c r="AM59" i="7"/>
  <c r="D81" i="19"/>
  <c r="E81" i="19" s="1"/>
  <c r="F13" i="21"/>
  <c r="E67" i="17"/>
  <c r="AM61" i="7"/>
  <c r="H78" i="17"/>
  <c r="N40" i="50"/>
  <c r="H47" i="11"/>
  <c r="Q47" i="11" s="1"/>
  <c r="D67" i="17"/>
  <c r="AL19" i="7"/>
  <c r="BF19" i="7" s="1"/>
  <c r="I94" i="52"/>
  <c r="E63" i="17"/>
  <c r="O58" i="44"/>
  <c r="Q58" i="44" s="1"/>
  <c r="K57" i="50"/>
  <c r="D54" i="19"/>
  <c r="E54" i="19" s="1"/>
  <c r="H23" i="20"/>
  <c r="O46" i="44"/>
  <c r="Q46" i="44" s="1"/>
  <c r="O28" i="44"/>
  <c r="Q28" i="44" s="1"/>
  <c r="O39" i="44"/>
  <c r="Q39" i="44" s="1"/>
  <c r="O24" i="44"/>
  <c r="Q24" i="44" s="1"/>
  <c r="O27" i="44"/>
  <c r="Q27" i="44" s="1"/>
  <c r="O37" i="44"/>
  <c r="Q37" i="44" s="1"/>
  <c r="O41" i="44"/>
  <c r="Q41" i="44" s="1"/>
  <c r="O63" i="44"/>
  <c r="Q63" i="44" s="1"/>
  <c r="O62" i="44"/>
  <c r="Q62" i="44" s="1"/>
  <c r="O19" i="44"/>
  <c r="Q19" i="44" s="1"/>
  <c r="O32" i="44"/>
  <c r="Q32" i="44" s="1"/>
  <c r="O38" i="44"/>
  <c r="Q38" i="44" s="1"/>
  <c r="O23" i="44"/>
  <c r="Q23" i="44" s="1"/>
  <c r="O53" i="44"/>
  <c r="Q53" i="44" s="1"/>
  <c r="O56" i="44"/>
  <c r="Q56" i="44" s="1"/>
  <c r="O20" i="44"/>
  <c r="Q20" i="44" s="1"/>
  <c r="O55" i="44"/>
  <c r="Q55" i="44" s="1"/>
  <c r="O50" i="44"/>
  <c r="Q50" i="44" s="1"/>
  <c r="AL27" i="7"/>
  <c r="BF27" i="7" s="1"/>
  <c r="AL38" i="7"/>
  <c r="BF38" i="7" s="1"/>
  <c r="AL37" i="7"/>
  <c r="BF37" i="7" s="1"/>
  <c r="AL40" i="7"/>
  <c r="BF40" i="7" s="1"/>
  <c r="AL41" i="7"/>
  <c r="BF41" i="7" s="1"/>
  <c r="AM41" i="7"/>
  <c r="AL34" i="7"/>
  <c r="BF34" i="7" s="1"/>
  <c r="AL29" i="7"/>
  <c r="BF29" i="7" s="1"/>
  <c r="AL36" i="7"/>
  <c r="BF36" i="7" s="1"/>
  <c r="AL39" i="7"/>
  <c r="BF39" i="7" s="1"/>
  <c r="AL42" i="7"/>
  <c r="BF42" i="7" s="1"/>
  <c r="AM42" i="7"/>
  <c r="AL30" i="7"/>
  <c r="BF30" i="7" s="1"/>
  <c r="AL31" i="7"/>
  <c r="BF31" i="7" s="1"/>
  <c r="N60" i="50"/>
  <c r="AE50" i="7"/>
  <c r="AL50" i="7"/>
  <c r="BF50" i="7" s="1"/>
  <c r="H66" i="11"/>
  <c r="Q66" i="11" s="1"/>
  <c r="AL35" i="7"/>
  <c r="BF35" i="7" s="1"/>
  <c r="AL46" i="7"/>
  <c r="BF46" i="7" s="1"/>
  <c r="AM46" i="7"/>
  <c r="AL45" i="7"/>
  <c r="BF45" i="7" s="1"/>
  <c r="AM45" i="7"/>
  <c r="AL23" i="7"/>
  <c r="BF23" i="7" s="1"/>
  <c r="AM23" i="7"/>
  <c r="AL32" i="7"/>
  <c r="BF32" i="7" s="1"/>
  <c r="AL53" i="7"/>
  <c r="BF53" i="7" s="1"/>
  <c r="AL28" i="7"/>
  <c r="BF28" i="7" s="1"/>
  <c r="AL44" i="7"/>
  <c r="BF44" i="7" s="1"/>
  <c r="AM44" i="7"/>
  <c r="AL43" i="7"/>
  <c r="BF43" i="7" s="1"/>
  <c r="AM43" i="7"/>
  <c r="AL24" i="7"/>
  <c r="BF24" i="7" s="1"/>
  <c r="AM24" i="7"/>
  <c r="AL33" i="7"/>
  <c r="BF33" i="7" s="1"/>
  <c r="AM63" i="7"/>
  <c r="AM62" i="7"/>
  <c r="H14" i="11"/>
  <c r="Q14" i="11" s="1"/>
  <c r="V76" i="12" l="1"/>
  <c r="E36" i="27"/>
  <c r="J8" i="23"/>
  <c r="J103" i="23" s="1"/>
  <c r="AI15" i="3"/>
  <c r="E47" i="41" s="1"/>
  <c r="AG15" i="3"/>
  <c r="AH15" i="3" s="1"/>
  <c r="AG47" i="3"/>
  <c r="AH47" i="3" s="1"/>
  <c r="G47" i="17"/>
  <c r="G53" i="17" s="1"/>
  <c r="H25" i="11"/>
  <c r="Q25" i="11" s="1"/>
  <c r="V25" i="3"/>
  <c r="C47" i="31" s="1"/>
  <c r="H60" i="11"/>
  <c r="Q60" i="11" s="1"/>
  <c r="H41" i="11"/>
  <c r="Q41" i="11" s="1"/>
  <c r="G64" i="17"/>
  <c r="N24" i="50"/>
  <c r="G70" i="17"/>
  <c r="H40" i="11"/>
  <c r="Q40" i="11" s="1"/>
  <c r="AG66" i="3"/>
  <c r="AH66" i="3" s="1"/>
  <c r="V60" i="3"/>
  <c r="F152" i="52" s="1"/>
  <c r="AF41" i="3"/>
  <c r="AG65" i="3"/>
  <c r="AH65" i="3" s="1"/>
  <c r="H46" i="11"/>
  <c r="Q46" i="11" s="1"/>
  <c r="G48" i="17"/>
  <c r="G54" i="17" s="1"/>
  <c r="V42" i="3"/>
  <c r="AF42" i="3"/>
  <c r="Q16" i="11"/>
  <c r="B13" i="22"/>
  <c r="E13" i="22" s="1"/>
  <c r="Q15" i="11"/>
  <c r="V15" i="12" s="1"/>
  <c r="B12" i="22"/>
  <c r="E12" i="22" s="1"/>
  <c r="G52" i="17"/>
  <c r="G58" i="17" s="1"/>
  <c r="V46" i="3"/>
  <c r="I75" i="37" s="1"/>
  <c r="V40" i="3"/>
  <c r="H51" i="33" s="1"/>
  <c r="K25" i="50"/>
  <c r="AI19" i="3"/>
  <c r="AG14" i="3"/>
  <c r="AH14" i="3" s="1"/>
  <c r="AG26" i="3"/>
  <c r="AH26" i="3" s="1"/>
  <c r="AI52" i="3"/>
  <c r="AI32" i="3"/>
  <c r="AI26" i="3"/>
  <c r="AK26" i="3" s="1"/>
  <c r="AG18" i="3"/>
  <c r="AH18" i="3" s="1"/>
  <c r="AI17" i="3"/>
  <c r="D57" i="28"/>
  <c r="F143" i="52"/>
  <c r="R143" i="52" s="1"/>
  <c r="D75" i="37"/>
  <c r="AG29" i="3"/>
  <c r="AH29" i="3" s="1"/>
  <c r="C50" i="33"/>
  <c r="AG34" i="3"/>
  <c r="AH34" i="3" s="1"/>
  <c r="H50" i="33"/>
  <c r="AG13" i="3"/>
  <c r="AH13" i="3" s="1"/>
  <c r="E57" i="26"/>
  <c r="AG31" i="3"/>
  <c r="AH31" i="3" s="1"/>
  <c r="E50" i="33"/>
  <c r="AG20" i="3"/>
  <c r="AH20" i="3" s="1"/>
  <c r="D46" i="31"/>
  <c r="Q26" i="11"/>
  <c r="AG30" i="3"/>
  <c r="AH30" i="3" s="1"/>
  <c r="D50" i="33"/>
  <c r="AG33" i="3"/>
  <c r="AH33" i="3" s="1"/>
  <c r="G50" i="33"/>
  <c r="V28" i="3"/>
  <c r="D47" i="32" s="1"/>
  <c r="G63" i="17"/>
  <c r="V59" i="3"/>
  <c r="G67" i="17"/>
  <c r="V63" i="3"/>
  <c r="V37" i="3"/>
  <c r="E51" i="33" s="1"/>
  <c r="V24" i="3"/>
  <c r="E25" i="36" s="1"/>
  <c r="V23" i="3"/>
  <c r="V27" i="3"/>
  <c r="V38" i="3"/>
  <c r="F51" i="33" s="1"/>
  <c r="V39" i="3"/>
  <c r="G51" i="33" s="1"/>
  <c r="G66" i="17"/>
  <c r="V62" i="3"/>
  <c r="G77" i="37" s="1"/>
  <c r="G65" i="17"/>
  <c r="V61" i="3"/>
  <c r="F77" i="37" s="1"/>
  <c r="V36" i="3"/>
  <c r="D51" i="33" s="1"/>
  <c r="V35" i="3"/>
  <c r="C51" i="33" s="1"/>
  <c r="G68" i="17"/>
  <c r="V64" i="3"/>
  <c r="I77" i="37" s="1"/>
  <c r="E42" i="40"/>
  <c r="AI33" i="3"/>
  <c r="AG17" i="3"/>
  <c r="AH17" i="3" s="1"/>
  <c r="AI30" i="3"/>
  <c r="AI34" i="3"/>
  <c r="AG52" i="3"/>
  <c r="AH52" i="3" s="1"/>
  <c r="AI18" i="3"/>
  <c r="AI31" i="3"/>
  <c r="AG32" i="3"/>
  <c r="AH32" i="3" s="1"/>
  <c r="G74" i="17"/>
  <c r="AI14" i="3"/>
  <c r="AK14" i="3" s="1"/>
  <c r="AI29" i="3"/>
  <c r="AG19" i="3"/>
  <c r="AH19" i="3" s="1"/>
  <c r="AI41" i="3"/>
  <c r="AK41" i="3" s="1"/>
  <c r="AI20" i="3"/>
  <c r="H64" i="11"/>
  <c r="Q64" i="11" s="1"/>
  <c r="F145" i="52"/>
  <c r="AF43" i="3"/>
  <c r="AF56" i="3"/>
  <c r="D72" i="17" s="1"/>
  <c r="F133" i="52"/>
  <c r="AF44" i="3"/>
  <c r="F146" i="52"/>
  <c r="AF38" i="3"/>
  <c r="D56" i="17" s="1"/>
  <c r="AF39" i="3"/>
  <c r="D57" i="17" s="1"/>
  <c r="AF62" i="3"/>
  <c r="AF61" i="3"/>
  <c r="AF36" i="3"/>
  <c r="D54" i="17" s="1"/>
  <c r="AF55" i="3"/>
  <c r="D71" i="17" s="1"/>
  <c r="F132" i="52"/>
  <c r="AF35" i="3"/>
  <c r="D53" i="17" s="1"/>
  <c r="AF64" i="3"/>
  <c r="AF59" i="3"/>
  <c r="AF54" i="3"/>
  <c r="D70" i="17" s="1"/>
  <c r="F131" i="52"/>
  <c r="AF37" i="3"/>
  <c r="D55" i="17" s="1"/>
  <c r="AF58" i="3"/>
  <c r="D74" i="17" s="1"/>
  <c r="F135" i="52"/>
  <c r="AF24" i="3"/>
  <c r="F130" i="52"/>
  <c r="AF53" i="3"/>
  <c r="D69" i="17" s="1"/>
  <c r="AF50" i="3"/>
  <c r="D66" i="17" s="1"/>
  <c r="AF23" i="3"/>
  <c r="F147" i="52"/>
  <c r="AF45" i="3"/>
  <c r="AF28" i="3"/>
  <c r="D40" i="17" s="1"/>
  <c r="AF27" i="3"/>
  <c r="D39" i="17" s="1"/>
  <c r="AF63" i="3"/>
  <c r="F134" i="52"/>
  <c r="AF57" i="3"/>
  <c r="D73" i="17" s="1"/>
  <c r="F78" i="17"/>
  <c r="L78" i="17" s="1"/>
  <c r="V49" i="12"/>
  <c r="V60" i="12"/>
  <c r="V23" i="12"/>
  <c r="V14" i="12"/>
  <c r="V22" i="12"/>
  <c r="E15" i="17"/>
  <c r="AK49" i="3"/>
  <c r="D15" i="19"/>
  <c r="E15" i="19" s="1"/>
  <c r="D11" i="20"/>
  <c r="H25" i="20"/>
  <c r="E65" i="17"/>
  <c r="R85" i="52"/>
  <c r="S85" i="52" s="1"/>
  <c r="K59" i="50"/>
  <c r="O59" i="50" s="1"/>
  <c r="P59" i="50" s="1"/>
  <c r="D56" i="19"/>
  <c r="E56" i="19" s="1"/>
  <c r="C37" i="17"/>
  <c r="E38" i="17"/>
  <c r="C64" i="17"/>
  <c r="I64" i="17" s="1"/>
  <c r="D55" i="19"/>
  <c r="E55" i="19" s="1"/>
  <c r="C24" i="22"/>
  <c r="D24" i="22" s="1"/>
  <c r="H24" i="20"/>
  <c r="K58" i="50"/>
  <c r="O58" i="50" s="1"/>
  <c r="P58" i="50" s="1"/>
  <c r="F11" i="20"/>
  <c r="K11" i="50"/>
  <c r="D29" i="19"/>
  <c r="E29" i="19" s="1"/>
  <c r="D37" i="20"/>
  <c r="C38" i="17"/>
  <c r="H61" i="11"/>
  <c r="Q61" i="11" s="1"/>
  <c r="H19" i="11"/>
  <c r="G86" i="52"/>
  <c r="R86" i="52"/>
  <c r="S86" i="52" s="1"/>
  <c r="G71" i="17"/>
  <c r="H54" i="11"/>
  <c r="Q54" i="11" s="1"/>
  <c r="H35" i="11"/>
  <c r="H44" i="11"/>
  <c r="Q44" i="11" s="1"/>
  <c r="H17" i="11"/>
  <c r="Q17" i="11" s="1"/>
  <c r="G50" i="17"/>
  <c r="G56" i="17" s="1"/>
  <c r="H57" i="11"/>
  <c r="Q57" i="11" s="1"/>
  <c r="F100" i="52"/>
  <c r="F98" i="52"/>
  <c r="H31" i="11"/>
  <c r="Q31" i="11" s="1"/>
  <c r="H43" i="11"/>
  <c r="Q43" i="11" s="1"/>
  <c r="G49" i="17"/>
  <c r="G55" i="17" s="1"/>
  <c r="H24" i="11"/>
  <c r="Q24" i="11" s="1"/>
  <c r="G32" i="17"/>
  <c r="G72" i="17"/>
  <c r="C25" i="22"/>
  <c r="D25" i="22" s="1"/>
  <c r="H34" i="11"/>
  <c r="Q34" i="11" s="1"/>
  <c r="F99" i="52"/>
  <c r="G31" i="17"/>
  <c r="AK16" i="3"/>
  <c r="E68" i="17"/>
  <c r="G34" i="17"/>
  <c r="J5" i="50"/>
  <c r="O5" i="50" s="1"/>
  <c r="E18" i="17"/>
  <c r="D17" i="19"/>
  <c r="E17" i="19" s="1"/>
  <c r="H58" i="11"/>
  <c r="Q58" i="11" s="1"/>
  <c r="H38" i="11"/>
  <c r="Q38" i="11" s="1"/>
  <c r="H63" i="11"/>
  <c r="Q63" i="11" s="1"/>
  <c r="F106" i="52"/>
  <c r="D68" i="17"/>
  <c r="H62" i="11"/>
  <c r="Q62" i="11" s="1"/>
  <c r="G51" i="17"/>
  <c r="G57" i="17" s="1"/>
  <c r="H37" i="11"/>
  <c r="Q37" i="11" s="1"/>
  <c r="H56" i="11"/>
  <c r="Q56" i="11" s="1"/>
  <c r="H45" i="11"/>
  <c r="Q45" i="11" s="1"/>
  <c r="H27" i="11"/>
  <c r="Q27" i="11" s="1"/>
  <c r="H53" i="11"/>
  <c r="G73" i="17"/>
  <c r="G69" i="17"/>
  <c r="H39" i="11"/>
  <c r="Q39" i="11" s="1"/>
  <c r="D28" i="20"/>
  <c r="E34" i="17"/>
  <c r="H23" i="11"/>
  <c r="Q23" i="11" s="1"/>
  <c r="H18" i="11"/>
  <c r="Q18" i="11" s="1"/>
  <c r="G33" i="17"/>
  <c r="H30" i="11"/>
  <c r="Q30" i="11" s="1"/>
  <c r="H59" i="11"/>
  <c r="Q59" i="11" s="1"/>
  <c r="F102" i="52"/>
  <c r="H36" i="11"/>
  <c r="Q36" i="11" s="1"/>
  <c r="F103" i="52"/>
  <c r="H28" i="11"/>
  <c r="Q28" i="11" s="1"/>
  <c r="F101" i="52"/>
  <c r="H55" i="11"/>
  <c r="Q55" i="11" s="1"/>
  <c r="H32" i="11"/>
  <c r="Q32" i="11" s="1"/>
  <c r="H33" i="11"/>
  <c r="Q33" i="11" s="1"/>
  <c r="H29" i="11"/>
  <c r="Q29" i="11" s="1"/>
  <c r="D26" i="19"/>
  <c r="E26" i="19" s="1"/>
  <c r="F95" i="52"/>
  <c r="H20" i="11"/>
  <c r="Q20" i="11" s="1"/>
  <c r="K61" i="50"/>
  <c r="O61" i="50" s="1"/>
  <c r="P61" i="50" s="1"/>
  <c r="C67" i="17"/>
  <c r="I67" i="17" s="1"/>
  <c r="H27" i="20"/>
  <c r="D58" i="19"/>
  <c r="E58" i="19" s="1"/>
  <c r="AK47" i="3"/>
  <c r="C63" i="17"/>
  <c r="I63" i="17" s="1"/>
  <c r="H50" i="11"/>
  <c r="Q50" i="11" s="1"/>
  <c r="O57" i="50"/>
  <c r="P57" i="50" s="1"/>
  <c r="D47" i="17"/>
  <c r="D31" i="17"/>
  <c r="B12" i="20"/>
  <c r="E13" i="17"/>
  <c r="K76" i="50"/>
  <c r="O76" i="50" s="1"/>
  <c r="P76" i="50" s="1"/>
  <c r="D13" i="21"/>
  <c r="H47" i="17"/>
  <c r="H53" i="17" s="1"/>
  <c r="D67" i="19"/>
  <c r="E67" i="19" s="1"/>
  <c r="E28" i="19"/>
  <c r="B11" i="20"/>
  <c r="E12" i="17"/>
  <c r="D13" i="19"/>
  <c r="E13" i="19" s="1"/>
  <c r="W76" i="12" l="1"/>
  <c r="V46" i="12"/>
  <c r="V74" i="12"/>
  <c r="F115" i="52"/>
  <c r="G115" i="52" s="1"/>
  <c r="V28" i="12"/>
  <c r="W24" i="12"/>
  <c r="X24" i="12" s="1"/>
  <c r="V53" i="12"/>
  <c r="W14" i="12"/>
  <c r="X14" i="12" s="1"/>
  <c r="V48" i="12"/>
  <c r="W15" i="12"/>
  <c r="E43" i="22" s="1"/>
  <c r="V70" i="12"/>
  <c r="AK15" i="3"/>
  <c r="D74" i="19"/>
  <c r="E74" i="19" s="1"/>
  <c r="K24" i="50"/>
  <c r="O24" i="50" s="1"/>
  <c r="P24" i="50" s="1"/>
  <c r="D27" i="20"/>
  <c r="E33" i="17"/>
  <c r="D25" i="19"/>
  <c r="E25" i="19" s="1"/>
  <c r="AG25" i="3"/>
  <c r="AH25" i="3" s="1"/>
  <c r="AI25" i="3"/>
  <c r="C33" i="17" s="1"/>
  <c r="I33" i="17" s="1"/>
  <c r="H64" i="17"/>
  <c r="H70" i="17"/>
  <c r="AG60" i="3"/>
  <c r="AH60" i="3" s="1"/>
  <c r="E77" i="37"/>
  <c r="K81" i="50"/>
  <c r="O81" i="50" s="1"/>
  <c r="P81" i="50" s="1"/>
  <c r="AG41" i="3"/>
  <c r="AH41" i="3" s="1"/>
  <c r="AI60" i="3"/>
  <c r="AK60" i="3" s="1"/>
  <c r="D34" i="21"/>
  <c r="K86" i="50"/>
  <c r="O86" i="50" s="1"/>
  <c r="P86" i="50" s="1"/>
  <c r="H48" i="17"/>
  <c r="H54" i="17" s="1"/>
  <c r="D14" i="21"/>
  <c r="AI40" i="3"/>
  <c r="AK40" i="3" s="1"/>
  <c r="E75" i="37"/>
  <c r="AI42" i="3"/>
  <c r="AK42" i="3" s="1"/>
  <c r="F144" i="52"/>
  <c r="G144" i="52" s="1"/>
  <c r="AG46" i="3"/>
  <c r="AH46" i="3" s="1"/>
  <c r="AG42" i="3"/>
  <c r="AH42" i="3" s="1"/>
  <c r="H52" i="17"/>
  <c r="H58" i="17" s="1"/>
  <c r="F148" i="52"/>
  <c r="G148" i="52" s="1"/>
  <c r="E58" i="17"/>
  <c r="D68" i="19"/>
  <c r="E68" i="19" s="1"/>
  <c r="AG40" i="3"/>
  <c r="AH40" i="3" s="1"/>
  <c r="K77" i="50"/>
  <c r="O77" i="50" s="1"/>
  <c r="P77" i="50" s="1"/>
  <c r="Q19" i="11"/>
  <c r="V19" i="12" s="1"/>
  <c r="B14" i="22"/>
  <c r="E14" i="22" s="1"/>
  <c r="F35" i="20"/>
  <c r="Q35" i="11"/>
  <c r="V41" i="12" s="1"/>
  <c r="B15" i="22"/>
  <c r="E15" i="22" s="1"/>
  <c r="D51" i="19"/>
  <c r="E51" i="19" s="1"/>
  <c r="D72" i="19"/>
  <c r="E72" i="19" s="1"/>
  <c r="AI46" i="3"/>
  <c r="AK46" i="3" s="1"/>
  <c r="K51" i="50"/>
  <c r="O51" i="50" s="1"/>
  <c r="P51" i="50" s="1"/>
  <c r="D18" i="21"/>
  <c r="Q53" i="11"/>
  <c r="B16" i="22"/>
  <c r="E16" i="22" s="1"/>
  <c r="H32" i="17"/>
  <c r="G143" i="52"/>
  <c r="F155" i="52"/>
  <c r="R155" i="52" s="1"/>
  <c r="H77" i="37"/>
  <c r="F126" i="52"/>
  <c r="G126" i="52" s="1"/>
  <c r="C47" i="32"/>
  <c r="F154" i="52"/>
  <c r="G154" i="52" s="1"/>
  <c r="H63" i="17"/>
  <c r="D77" i="37"/>
  <c r="V29" i="12"/>
  <c r="B13" i="21"/>
  <c r="D25" i="36"/>
  <c r="H34" i="17"/>
  <c r="K35" i="50"/>
  <c r="O35" i="50" s="1"/>
  <c r="P35" i="50" s="1"/>
  <c r="K22" i="50"/>
  <c r="O22" i="50" s="1"/>
  <c r="P22" i="50" s="1"/>
  <c r="D33" i="19"/>
  <c r="E33" i="19" s="1"/>
  <c r="B14" i="21"/>
  <c r="D78" i="19"/>
  <c r="E78" i="19" s="1"/>
  <c r="K90" i="50"/>
  <c r="O90" i="50" s="1"/>
  <c r="P90" i="50" s="1"/>
  <c r="H74" i="17"/>
  <c r="D38" i="21"/>
  <c r="H68" i="17"/>
  <c r="AI28" i="3"/>
  <c r="AK28" i="3" s="1"/>
  <c r="AG28" i="3"/>
  <c r="AH28" i="3" s="1"/>
  <c r="AG53" i="3"/>
  <c r="AH53" i="3" s="1"/>
  <c r="AI53" i="3"/>
  <c r="AK53" i="3" s="1"/>
  <c r="AI61" i="3"/>
  <c r="AK61" i="3" s="1"/>
  <c r="AG61" i="3"/>
  <c r="AH61" i="3" s="1"/>
  <c r="AG43" i="3"/>
  <c r="AH43" i="3" s="1"/>
  <c r="AI43" i="3"/>
  <c r="AK43" i="3" s="1"/>
  <c r="F153" i="52"/>
  <c r="G153" i="52" s="1"/>
  <c r="AI27" i="3"/>
  <c r="C39" i="17" s="1"/>
  <c r="I39" i="17" s="1"/>
  <c r="AG27" i="3"/>
  <c r="AH27" i="3" s="1"/>
  <c r="AG24" i="3"/>
  <c r="AH24" i="3" s="1"/>
  <c r="F140" i="52"/>
  <c r="AI24" i="3"/>
  <c r="F34" i="17" s="1"/>
  <c r="AI37" i="3"/>
  <c r="AK37" i="3" s="1"/>
  <c r="AG37" i="3"/>
  <c r="AH37" i="3" s="1"/>
  <c r="AI59" i="3"/>
  <c r="F69" i="17" s="1"/>
  <c r="AG59" i="3"/>
  <c r="AH59" i="3" s="1"/>
  <c r="AI36" i="3"/>
  <c r="AK36" i="3" s="1"/>
  <c r="AG36" i="3"/>
  <c r="AH36" i="3" s="1"/>
  <c r="AI62" i="3"/>
  <c r="F66" i="17" s="1"/>
  <c r="AG62" i="3"/>
  <c r="AH62" i="3" s="1"/>
  <c r="AI56" i="3"/>
  <c r="AK56" i="3" s="1"/>
  <c r="AG56" i="3"/>
  <c r="AH56" i="3" s="1"/>
  <c r="AG57" i="3"/>
  <c r="AH57" i="3" s="1"/>
  <c r="AI57" i="3"/>
  <c r="AK57" i="3" s="1"/>
  <c r="AI45" i="3"/>
  <c r="AK45" i="3" s="1"/>
  <c r="AG45" i="3"/>
  <c r="AH45" i="3" s="1"/>
  <c r="AI50" i="3"/>
  <c r="AG50" i="3"/>
  <c r="AH50" i="3" s="1"/>
  <c r="AI35" i="3"/>
  <c r="AK35" i="3" s="1"/>
  <c r="AG35" i="3"/>
  <c r="AH35" i="3" s="1"/>
  <c r="AG38" i="3"/>
  <c r="AH38" i="3" s="1"/>
  <c r="AI38" i="3"/>
  <c r="AK38" i="3" s="1"/>
  <c r="F127" i="52"/>
  <c r="G127" i="52" s="1"/>
  <c r="AI63" i="3"/>
  <c r="AK63" i="3" s="1"/>
  <c r="AG63" i="3"/>
  <c r="AH63" i="3" s="1"/>
  <c r="AG23" i="3"/>
  <c r="AH23" i="3" s="1"/>
  <c r="AI23" i="3"/>
  <c r="AK23" i="3" s="1"/>
  <c r="AI58" i="3"/>
  <c r="AK58" i="3" s="1"/>
  <c r="AG58" i="3"/>
  <c r="AH58" i="3" s="1"/>
  <c r="AG54" i="3"/>
  <c r="AH54" i="3" s="1"/>
  <c r="AI54" i="3"/>
  <c r="AK54" i="3" s="1"/>
  <c r="AG64" i="3"/>
  <c r="AH64" i="3" s="1"/>
  <c r="F156" i="52"/>
  <c r="AI64" i="3"/>
  <c r="AK64" i="3" s="1"/>
  <c r="AG55" i="3"/>
  <c r="AH55" i="3" s="1"/>
  <c r="AI55" i="3"/>
  <c r="AK55" i="3" s="1"/>
  <c r="AI39" i="3"/>
  <c r="AK39" i="3" s="1"/>
  <c r="AG39" i="3"/>
  <c r="AH39" i="3" s="1"/>
  <c r="AG44" i="3"/>
  <c r="AH44" i="3" s="1"/>
  <c r="AI44" i="3"/>
  <c r="AK44" i="3" s="1"/>
  <c r="V16" i="12"/>
  <c r="V34" i="12"/>
  <c r="V18" i="12"/>
  <c r="V36" i="12"/>
  <c r="V37" i="12"/>
  <c r="V32" i="12"/>
  <c r="V35" i="12"/>
  <c r="V71" i="12"/>
  <c r="V55" i="12"/>
  <c r="V56" i="12"/>
  <c r="V58" i="12"/>
  <c r="V20" i="12"/>
  <c r="V69" i="12"/>
  <c r="F122" i="52"/>
  <c r="V38" i="12"/>
  <c r="V72" i="12"/>
  <c r="F121" i="52"/>
  <c r="V66" i="12"/>
  <c r="F114" i="52"/>
  <c r="G114" i="52" s="1"/>
  <c r="V52" i="12"/>
  <c r="V43" i="12"/>
  <c r="V17" i="12"/>
  <c r="D87" i="19"/>
  <c r="F123" i="52"/>
  <c r="R123" i="52" s="1"/>
  <c r="S123" i="52" s="1"/>
  <c r="V77" i="12"/>
  <c r="W77" i="12" s="1"/>
  <c r="C65" i="17"/>
  <c r="I65" i="17" s="1"/>
  <c r="P5" i="50"/>
  <c r="C15" i="17"/>
  <c r="I15" i="17" s="1"/>
  <c r="M15" i="17" s="1"/>
  <c r="D75" i="19"/>
  <c r="E75" i="19" s="1"/>
  <c r="F94" i="52"/>
  <c r="G94" i="52" s="1"/>
  <c r="AK48" i="3"/>
  <c r="D23" i="19"/>
  <c r="E23" i="19" s="1"/>
  <c r="H31" i="17"/>
  <c r="C26" i="22"/>
  <c r="D26" i="22" s="1"/>
  <c r="D35" i="21"/>
  <c r="AK19" i="3"/>
  <c r="E31" i="17"/>
  <c r="D24" i="20"/>
  <c r="H65" i="17"/>
  <c r="D15" i="21"/>
  <c r="AK22" i="3"/>
  <c r="H71" i="17"/>
  <c r="K87" i="50"/>
  <c r="O87" i="50" s="1"/>
  <c r="P87" i="50" s="1"/>
  <c r="G101" i="52"/>
  <c r="R101" i="52"/>
  <c r="S101" i="52" s="1"/>
  <c r="G134" i="52"/>
  <c r="R134" i="52"/>
  <c r="S134" i="52" s="1"/>
  <c r="G147" i="52"/>
  <c r="R147" i="52"/>
  <c r="G135" i="52"/>
  <c r="R135" i="52"/>
  <c r="S135" i="52" s="1"/>
  <c r="G100" i="52"/>
  <c r="R100" i="52"/>
  <c r="S100" i="52" s="1"/>
  <c r="G146" i="52"/>
  <c r="R146" i="52"/>
  <c r="G102" i="52"/>
  <c r="R102" i="52"/>
  <c r="S102" i="52" s="1"/>
  <c r="G130" i="52"/>
  <c r="R130" i="52"/>
  <c r="S130" i="52" s="1"/>
  <c r="G145" i="52"/>
  <c r="R145" i="52"/>
  <c r="G95" i="52"/>
  <c r="R95" i="52"/>
  <c r="S95" i="52" s="1"/>
  <c r="G106" i="52"/>
  <c r="R106" i="52"/>
  <c r="S106" i="52" s="1"/>
  <c r="G131" i="52"/>
  <c r="R131" i="52"/>
  <c r="S131" i="52" s="1"/>
  <c r="G132" i="52"/>
  <c r="R132" i="52"/>
  <c r="S132" i="52" s="1"/>
  <c r="G103" i="52"/>
  <c r="R103" i="52"/>
  <c r="S103" i="52" s="1"/>
  <c r="G133" i="52"/>
  <c r="R133" i="52"/>
  <c r="S133" i="52" s="1"/>
  <c r="G152" i="52"/>
  <c r="R152" i="52"/>
  <c r="G99" i="52"/>
  <c r="R99" i="52"/>
  <c r="S99" i="52" s="1"/>
  <c r="G98" i="52"/>
  <c r="R98" i="52"/>
  <c r="S98" i="52" s="1"/>
  <c r="D70" i="19"/>
  <c r="E70" i="19" s="1"/>
  <c r="K42" i="50"/>
  <c r="O42" i="50" s="1"/>
  <c r="P42" i="50" s="1"/>
  <c r="H50" i="17"/>
  <c r="H56" i="17" s="1"/>
  <c r="D32" i="19"/>
  <c r="E32" i="19" s="1"/>
  <c r="D16" i="21"/>
  <c r="AK31" i="3"/>
  <c r="F139" i="52"/>
  <c r="K21" i="50"/>
  <c r="O21" i="50" s="1"/>
  <c r="P21" i="50" s="1"/>
  <c r="AK18" i="3"/>
  <c r="F25" i="20"/>
  <c r="K34" i="50"/>
  <c r="O34" i="50" s="1"/>
  <c r="P34" i="50" s="1"/>
  <c r="K79" i="50"/>
  <c r="O79" i="50" s="1"/>
  <c r="P79" i="50" s="1"/>
  <c r="H33" i="17"/>
  <c r="D65" i="19"/>
  <c r="E65" i="19" s="1"/>
  <c r="E49" i="17"/>
  <c r="D42" i="19"/>
  <c r="E42" i="19" s="1"/>
  <c r="D69" i="19"/>
  <c r="E69" i="19" s="1"/>
  <c r="H49" i="17"/>
  <c r="H55" i="17" s="1"/>
  <c r="H34" i="20"/>
  <c r="K78" i="50"/>
  <c r="O78" i="50" s="1"/>
  <c r="P78" i="50" s="1"/>
  <c r="D59" i="19"/>
  <c r="E59" i="19" s="1"/>
  <c r="K49" i="50"/>
  <c r="O49" i="50" s="1"/>
  <c r="P49" i="50" s="1"/>
  <c r="D30" i="19"/>
  <c r="E30" i="19" s="1"/>
  <c r="E47" i="17"/>
  <c r="K40" i="50"/>
  <c r="O40" i="50" s="1"/>
  <c r="P40" i="50" s="1"/>
  <c r="F12" i="20"/>
  <c r="F32" i="20"/>
  <c r="K67" i="50"/>
  <c r="O67" i="50" s="1"/>
  <c r="P67" i="50" s="1"/>
  <c r="K62" i="50"/>
  <c r="O62" i="50" s="1"/>
  <c r="P62" i="50" s="1"/>
  <c r="D64" i="19"/>
  <c r="E64" i="19" s="1"/>
  <c r="D40" i="19"/>
  <c r="E40" i="19" s="1"/>
  <c r="F23" i="20"/>
  <c r="E73" i="17"/>
  <c r="F33" i="20"/>
  <c r="E55" i="17"/>
  <c r="E70" i="17"/>
  <c r="K70" i="50"/>
  <c r="O70" i="50" s="1"/>
  <c r="P70" i="50" s="1"/>
  <c r="AK29" i="3"/>
  <c r="E39" i="17"/>
  <c r="D63" i="19"/>
  <c r="E63" i="19" s="1"/>
  <c r="E74" i="17"/>
  <c r="B21" i="20"/>
  <c r="H51" i="17"/>
  <c r="H57" i="17" s="1"/>
  <c r="K71" i="50"/>
  <c r="O71" i="50" s="1"/>
  <c r="P71" i="50" s="1"/>
  <c r="H35" i="20"/>
  <c r="K80" i="50"/>
  <c r="O80" i="50" s="1"/>
  <c r="P80" i="50" s="1"/>
  <c r="K29" i="50"/>
  <c r="O29" i="50" s="1"/>
  <c r="P29" i="50" s="1"/>
  <c r="K41" i="50"/>
  <c r="O41" i="50" s="1"/>
  <c r="P41" i="50" s="1"/>
  <c r="D76" i="19"/>
  <c r="E76" i="19" s="1"/>
  <c r="AK30" i="3"/>
  <c r="D31" i="19"/>
  <c r="E31" i="19" s="1"/>
  <c r="E56" i="17"/>
  <c r="C27" i="22"/>
  <c r="D27" i="22" s="1"/>
  <c r="H33" i="20"/>
  <c r="K48" i="50"/>
  <c r="O48" i="50" s="1"/>
  <c r="P48" i="50" s="1"/>
  <c r="D48" i="19"/>
  <c r="E48" i="19" s="1"/>
  <c r="D41" i="19"/>
  <c r="E41" i="19" s="1"/>
  <c r="H73" i="17"/>
  <c r="D49" i="19"/>
  <c r="E49" i="19" s="1"/>
  <c r="D39" i="20"/>
  <c r="F24" i="20"/>
  <c r="E48" i="17"/>
  <c r="D17" i="21"/>
  <c r="C18" i="17"/>
  <c r="E25" i="17"/>
  <c r="D61" i="19"/>
  <c r="E61" i="19" s="1"/>
  <c r="H30" i="20"/>
  <c r="E19" i="17"/>
  <c r="K47" i="50"/>
  <c r="O47" i="50" s="1"/>
  <c r="P47" i="50" s="1"/>
  <c r="H31" i="20"/>
  <c r="K88" i="50"/>
  <c r="O88" i="50" s="1"/>
  <c r="P88" i="50" s="1"/>
  <c r="AK17" i="3"/>
  <c r="C34" i="17"/>
  <c r="K66" i="50"/>
  <c r="O66" i="50" s="1"/>
  <c r="P66" i="50" s="1"/>
  <c r="E69" i="17"/>
  <c r="D36" i="21"/>
  <c r="C68" i="17"/>
  <c r="I68" i="17" s="1"/>
  <c r="H28" i="20"/>
  <c r="D50" i="19"/>
  <c r="E50" i="19" s="1"/>
  <c r="J6" i="50"/>
  <c r="O6" i="50" s="1"/>
  <c r="H72" i="17"/>
  <c r="H66" i="17"/>
  <c r="D18" i="19"/>
  <c r="E18" i="19" s="1"/>
  <c r="D60" i="19"/>
  <c r="E60" i="19" s="1"/>
  <c r="C28" i="22"/>
  <c r="D28" i="22" s="1"/>
  <c r="E57" i="17"/>
  <c r="H32" i="20"/>
  <c r="E72" i="17"/>
  <c r="D73" i="19"/>
  <c r="E73" i="19" s="1"/>
  <c r="D37" i="21"/>
  <c r="D71" i="19"/>
  <c r="E71" i="19" s="1"/>
  <c r="K69" i="50"/>
  <c r="O69" i="50" s="1"/>
  <c r="P69" i="50" s="1"/>
  <c r="K85" i="50"/>
  <c r="O85" i="50" s="1"/>
  <c r="P85" i="50" s="1"/>
  <c r="K50" i="50"/>
  <c r="O50" i="50" s="1"/>
  <c r="P50" i="50" s="1"/>
  <c r="F34" i="20"/>
  <c r="D77" i="19"/>
  <c r="E77" i="19" s="1"/>
  <c r="K89" i="50"/>
  <c r="O89" i="50" s="1"/>
  <c r="P89" i="50" s="1"/>
  <c r="AK32" i="3"/>
  <c r="H67" i="17"/>
  <c r="F151" i="52"/>
  <c r="F30" i="20"/>
  <c r="K30" i="50"/>
  <c r="O30" i="50" s="1"/>
  <c r="P30" i="50" s="1"/>
  <c r="D46" i="19"/>
  <c r="E46" i="19" s="1"/>
  <c r="E53" i="17"/>
  <c r="K46" i="50"/>
  <c r="O46" i="50" s="1"/>
  <c r="P46" i="50" s="1"/>
  <c r="F27" i="20"/>
  <c r="H69" i="17"/>
  <c r="E32" i="17"/>
  <c r="AK33" i="3"/>
  <c r="D44" i="19"/>
  <c r="E44" i="19" s="1"/>
  <c r="E54" i="17"/>
  <c r="D33" i="21"/>
  <c r="K43" i="50"/>
  <c r="O43" i="50" s="1"/>
  <c r="P43" i="50" s="1"/>
  <c r="D62" i="19"/>
  <c r="E62" i="19" s="1"/>
  <c r="AK51" i="3"/>
  <c r="K44" i="50"/>
  <c r="O44" i="50" s="1"/>
  <c r="P44" i="50" s="1"/>
  <c r="D47" i="19"/>
  <c r="E47" i="19" s="1"/>
  <c r="F28" i="20"/>
  <c r="E51" i="17"/>
  <c r="F31" i="20"/>
  <c r="D45" i="19"/>
  <c r="E45" i="19" s="1"/>
  <c r="E71" i="17"/>
  <c r="D40" i="20"/>
  <c r="K45" i="50"/>
  <c r="O45" i="50" s="1"/>
  <c r="P45" i="50" s="1"/>
  <c r="E40" i="17"/>
  <c r="E52" i="17"/>
  <c r="AK34" i="3"/>
  <c r="D25" i="20"/>
  <c r="D43" i="19"/>
  <c r="E43" i="19" s="1"/>
  <c r="K68" i="50"/>
  <c r="O68" i="50" s="1"/>
  <c r="P68" i="50" s="1"/>
  <c r="D24" i="19"/>
  <c r="E24" i="19" s="1"/>
  <c r="F26" i="20"/>
  <c r="K12" i="50"/>
  <c r="O12" i="50" s="1"/>
  <c r="P12" i="50" s="1"/>
  <c r="E50" i="17"/>
  <c r="AK20" i="3"/>
  <c r="E66" i="17"/>
  <c r="K60" i="50"/>
  <c r="O60" i="50" s="1"/>
  <c r="P60" i="50" s="1"/>
  <c r="H26" i="20"/>
  <c r="D57" i="19"/>
  <c r="E57" i="19" s="1"/>
  <c r="C12" i="17"/>
  <c r="I12" i="17" s="1"/>
  <c r="O16" i="50"/>
  <c r="P16" i="50" s="1"/>
  <c r="F47" i="17"/>
  <c r="C13" i="17"/>
  <c r="O11" i="50"/>
  <c r="P11" i="50" s="1"/>
  <c r="O17" i="50"/>
  <c r="P17" i="50" s="1"/>
  <c r="O25" i="50"/>
  <c r="P25" i="50" s="1"/>
  <c r="X15" i="12" l="1"/>
  <c r="E87" i="19" s="1"/>
  <c r="I100" i="23" s="1"/>
  <c r="I102" i="23" s="1"/>
  <c r="R115" i="52"/>
  <c r="S115" i="52" s="1"/>
  <c r="W16" i="12"/>
  <c r="X16" i="12" s="1"/>
  <c r="E88" i="19" s="1"/>
  <c r="W18" i="12"/>
  <c r="X18" i="12" s="1"/>
  <c r="W30" i="12"/>
  <c r="X30" i="12" s="1"/>
  <c r="W17" i="12"/>
  <c r="X17" i="12" s="1"/>
  <c r="K18" i="17"/>
  <c r="I18" i="17"/>
  <c r="M18" i="17" s="1"/>
  <c r="AK25" i="3"/>
  <c r="F48" i="17"/>
  <c r="F54" i="17" s="1"/>
  <c r="L54" i="17" s="1"/>
  <c r="F70" i="17"/>
  <c r="L70" i="17" s="1"/>
  <c r="F64" i="17"/>
  <c r="R144" i="52"/>
  <c r="C58" i="17"/>
  <c r="K58" i="17" s="1"/>
  <c r="R148" i="52"/>
  <c r="F52" i="17"/>
  <c r="L52" i="17" s="1"/>
  <c r="R154" i="52"/>
  <c r="G155" i="52"/>
  <c r="R126" i="52"/>
  <c r="S126" i="52" s="1"/>
  <c r="L34" i="17"/>
  <c r="F68" i="17"/>
  <c r="AK24" i="3"/>
  <c r="F74" i="17"/>
  <c r="L74" i="17" s="1"/>
  <c r="R153" i="52"/>
  <c r="C57" i="17"/>
  <c r="K57" i="17" s="1"/>
  <c r="R127" i="52"/>
  <c r="S127" i="52" s="1"/>
  <c r="F32" i="17"/>
  <c r="C53" i="17"/>
  <c r="I53" i="17" s="1"/>
  <c r="M53" i="17" s="1"/>
  <c r="R156" i="52"/>
  <c r="G156" i="52"/>
  <c r="R140" i="52"/>
  <c r="G140" i="52"/>
  <c r="F118" i="52"/>
  <c r="G118" i="52" s="1"/>
  <c r="W61" i="12"/>
  <c r="X61" i="12" s="1"/>
  <c r="V45" i="12"/>
  <c r="F120" i="52"/>
  <c r="R120" i="52" s="1"/>
  <c r="S120" i="52" s="1"/>
  <c r="R114" i="52"/>
  <c r="S114" i="52" s="1"/>
  <c r="V51" i="12"/>
  <c r="V31" i="12"/>
  <c r="V42" i="12"/>
  <c r="V67" i="12"/>
  <c r="V44" i="12"/>
  <c r="V50" i="12"/>
  <c r="V62" i="12"/>
  <c r="F119" i="52"/>
  <c r="G119" i="52" s="1"/>
  <c r="V63" i="12"/>
  <c r="V73" i="12"/>
  <c r="V64" i="12"/>
  <c r="V26" i="12"/>
  <c r="V25" i="12"/>
  <c r="V39" i="12"/>
  <c r="V65" i="12"/>
  <c r="G123" i="52"/>
  <c r="W21" i="12"/>
  <c r="X21" i="12" s="1"/>
  <c r="W75" i="12"/>
  <c r="X75" i="12" s="1"/>
  <c r="P6" i="50"/>
  <c r="W40" i="12"/>
  <c r="X40" i="12" s="1"/>
  <c r="K15" i="17"/>
  <c r="F65" i="17"/>
  <c r="R94" i="52"/>
  <c r="S94" i="52" s="1"/>
  <c r="F71" i="17"/>
  <c r="L71" i="17" s="1"/>
  <c r="C31" i="17"/>
  <c r="I31" i="17" s="1"/>
  <c r="M31" i="17" s="1"/>
  <c r="F50" i="17"/>
  <c r="F56" i="17" s="1"/>
  <c r="L56" i="17" s="1"/>
  <c r="G139" i="52"/>
  <c r="R139" i="52"/>
  <c r="G151" i="52"/>
  <c r="R151" i="52"/>
  <c r="G121" i="52"/>
  <c r="R121" i="52"/>
  <c r="S121" i="52" s="1"/>
  <c r="G122" i="52"/>
  <c r="R122" i="52"/>
  <c r="S122" i="52" s="1"/>
  <c r="C49" i="17"/>
  <c r="K49" i="17" s="1"/>
  <c r="F67" i="17"/>
  <c r="F73" i="17"/>
  <c r="L73" i="17" s="1"/>
  <c r="F31" i="17"/>
  <c r="L31" i="17" s="1"/>
  <c r="F33" i="17"/>
  <c r="C25" i="17"/>
  <c r="K25" i="17" s="1"/>
  <c r="AK52" i="3"/>
  <c r="C73" i="17"/>
  <c r="K73" i="17" s="1"/>
  <c r="F49" i="17"/>
  <c r="L49" i="17" s="1"/>
  <c r="AK62" i="3"/>
  <c r="AK27" i="3"/>
  <c r="C48" i="17"/>
  <c r="I48" i="17" s="1"/>
  <c r="M48" i="17" s="1"/>
  <c r="C54" i="17"/>
  <c r="K54" i="17" s="1"/>
  <c r="F72" i="17"/>
  <c r="L72" i="17" s="1"/>
  <c r="C55" i="17"/>
  <c r="I55" i="17" s="1"/>
  <c r="M55" i="17" s="1"/>
  <c r="C47" i="17"/>
  <c r="I47" i="17" s="1"/>
  <c r="M47" i="17" s="1"/>
  <c r="C74" i="17"/>
  <c r="I74" i="17" s="1"/>
  <c r="M74" i="17" s="1"/>
  <c r="C69" i="17"/>
  <c r="I69" i="17" s="1"/>
  <c r="M69" i="17" s="1"/>
  <c r="C19" i="17"/>
  <c r="K19" i="17" s="1"/>
  <c r="C56" i="17"/>
  <c r="K56" i="17" s="1"/>
  <c r="F51" i="17"/>
  <c r="F57" i="17" s="1"/>
  <c r="L57" i="17" s="1"/>
  <c r="C52" i="17"/>
  <c r="I52" i="17" s="1"/>
  <c r="M52" i="17" s="1"/>
  <c r="C70" i="17"/>
  <c r="K70" i="17" s="1"/>
  <c r="C72" i="17"/>
  <c r="I72" i="17" s="1"/>
  <c r="M72" i="17" s="1"/>
  <c r="F63" i="17"/>
  <c r="C32" i="17"/>
  <c r="I32" i="17" s="1"/>
  <c r="C50" i="17"/>
  <c r="I50" i="17" s="1"/>
  <c r="M50" i="17" s="1"/>
  <c r="L69" i="17"/>
  <c r="C51" i="17"/>
  <c r="I51" i="17" s="1"/>
  <c r="M51" i="17" s="1"/>
  <c r="AK59" i="3"/>
  <c r="C40" i="17"/>
  <c r="I40" i="17" s="1"/>
  <c r="C71" i="17"/>
  <c r="K71" i="17" s="1"/>
  <c r="AK50" i="3"/>
  <c r="C66" i="17"/>
  <c r="I66" i="17" s="1"/>
  <c r="I38" i="17"/>
  <c r="M38" i="17" s="1"/>
  <c r="K38" i="17"/>
  <c r="I34" i="17"/>
  <c r="M34" i="17" s="1"/>
  <c r="K34" i="17"/>
  <c r="I13" i="17"/>
  <c r="M13" i="17" s="1"/>
  <c r="K13" i="17"/>
  <c r="F53" i="17"/>
  <c r="L53" i="17" s="1"/>
  <c r="L47" i="17"/>
  <c r="I37" i="17"/>
  <c r="M37" i="17" s="1"/>
  <c r="K37" i="17"/>
  <c r="E45" i="22" l="1"/>
  <c r="D88" i="19"/>
  <c r="W47" i="12"/>
  <c r="E47" i="22" s="1"/>
  <c r="W33" i="12"/>
  <c r="X33" i="12" s="1"/>
  <c r="W54" i="12"/>
  <c r="X54" i="12" s="1"/>
  <c r="I58" i="17"/>
  <c r="M58" i="17" s="1"/>
  <c r="F58" i="17"/>
  <c r="L58" i="17" s="1"/>
  <c r="L48" i="17"/>
  <c r="I57" i="17"/>
  <c r="M57" i="17" s="1"/>
  <c r="K53" i="17"/>
  <c r="R118" i="52"/>
  <c r="S118" i="52" s="1"/>
  <c r="G120" i="52"/>
  <c r="W27" i="12"/>
  <c r="X27" i="12" s="1"/>
  <c r="W68" i="12"/>
  <c r="X68" i="12" s="1"/>
  <c r="E90" i="19" s="1"/>
  <c r="R119" i="52"/>
  <c r="S119" i="52" s="1"/>
  <c r="L50" i="17"/>
  <c r="I49" i="17"/>
  <c r="M49" i="17" s="1"/>
  <c r="K31" i="17"/>
  <c r="I54" i="17"/>
  <c r="M54" i="17" s="1"/>
  <c r="I73" i="17"/>
  <c r="M73" i="17" s="1"/>
  <c r="F55" i="17"/>
  <c r="L55" i="17" s="1"/>
  <c r="I56" i="17"/>
  <c r="M56" i="17" s="1"/>
  <c r="I19" i="17"/>
  <c r="M19" i="17" s="1"/>
  <c r="K47" i="17"/>
  <c r="K48" i="17"/>
  <c r="K55" i="17"/>
  <c r="K74" i="17"/>
  <c r="K72" i="17"/>
  <c r="K69" i="17"/>
  <c r="I70" i="17"/>
  <c r="M70" i="17" s="1"/>
  <c r="L51" i="17"/>
  <c r="K52" i="17"/>
  <c r="K50" i="17"/>
  <c r="K51" i="17"/>
  <c r="I71" i="17"/>
  <c r="M71" i="17" s="1"/>
  <c r="D89" i="19" l="1"/>
  <c r="X47" i="12"/>
  <c r="E89" i="19" s="1"/>
  <c r="D90" i="19"/>
</calcChain>
</file>

<file path=xl/sharedStrings.xml><?xml version="1.0" encoding="utf-8"?>
<sst xmlns="http://schemas.openxmlformats.org/spreadsheetml/2006/main" count="3416" uniqueCount="1192">
  <si>
    <t>NW Natural</t>
  </si>
  <si>
    <t>Rates &amp; Regulatory Affairs</t>
  </si>
  <si>
    <t>Schedule</t>
  </si>
  <si>
    <t>Block</t>
  </si>
  <si>
    <t>1R</t>
  </si>
  <si>
    <t>1C</t>
  </si>
  <si>
    <t>Block 1</t>
  </si>
  <si>
    <t>Block 2</t>
  </si>
  <si>
    <t>Block 3</t>
  </si>
  <si>
    <t>Block 4</t>
  </si>
  <si>
    <t>Block 5</t>
  </si>
  <si>
    <t>Block 6</t>
  </si>
  <si>
    <t>3 CFS</t>
  </si>
  <si>
    <t>3 IFS</t>
  </si>
  <si>
    <t>2R</t>
  </si>
  <si>
    <t>PGA Volumes</t>
  </si>
  <si>
    <t>C</t>
  </si>
  <si>
    <t>Actual</t>
  </si>
  <si>
    <t>Allocation of</t>
  </si>
  <si>
    <t>Inputs</t>
  </si>
  <si>
    <t>Item</t>
  </si>
  <si>
    <t>Source</t>
  </si>
  <si>
    <t>Amount</t>
  </si>
  <si>
    <t>Revenue Sensitive Rate</t>
  </si>
  <si>
    <t>Temporary Increments</t>
  </si>
  <si>
    <t>WACOG Deferral</t>
  </si>
  <si>
    <t>Proposed Temps</t>
  </si>
  <si>
    <t>Volumes</t>
  </si>
  <si>
    <t>Billing</t>
  </si>
  <si>
    <t>Rates</t>
  </si>
  <si>
    <t>REMOVE</t>
  </si>
  <si>
    <t>Current</t>
  </si>
  <si>
    <t>WACOG</t>
  </si>
  <si>
    <t>FIRM</t>
  </si>
  <si>
    <t>Demand</t>
  </si>
  <si>
    <t>INTERR</t>
  </si>
  <si>
    <t>ADD</t>
  </si>
  <si>
    <t>Proposed</t>
  </si>
  <si>
    <t>Allocation Method</t>
  </si>
  <si>
    <t>Allocated to Rate Schedules</t>
  </si>
  <si>
    <t>Equal cent per therm</t>
  </si>
  <si>
    <t>Multiplier</t>
  </si>
  <si>
    <t>Increment</t>
  </si>
  <si>
    <t>Revenue Sensitive Multiplier:</t>
  </si>
  <si>
    <t>Amount to Amortize:</t>
  </si>
  <si>
    <t>Temporary Increment</t>
  </si>
  <si>
    <t>Residential</t>
  </si>
  <si>
    <t>Commercial</t>
  </si>
  <si>
    <t>all sales</t>
  </si>
  <si>
    <t>Demand Deferral - FIRM</t>
  </si>
  <si>
    <t>Demand Deferral - INTERRUPTIBLE</t>
  </si>
  <si>
    <t>to all firm sales</t>
  </si>
  <si>
    <t>MARGIN</t>
  </si>
  <si>
    <t>Rate</t>
  </si>
  <si>
    <t>Proposed Amount:</t>
  </si>
  <si>
    <t>WACOG &amp;</t>
  </si>
  <si>
    <t>Temporary</t>
  </si>
  <si>
    <t>Margin</t>
  </si>
  <si>
    <t>add revenue sensitive factor</t>
  </si>
  <si>
    <t>Total</t>
  </si>
  <si>
    <t>Current Temporaries</t>
  </si>
  <si>
    <t>Net Effect of Temps</t>
  </si>
  <si>
    <t>Items</t>
  </si>
  <si>
    <t>Demand Deferral FIRM</t>
  </si>
  <si>
    <t>Demand Deferral INTERR</t>
  </si>
  <si>
    <t>Summary of TEMPORARY Increments</t>
  </si>
  <si>
    <t>Calculation of Increments Allocated on the EQUAL PERCENTAGE OF MARGIN BASIS</t>
  </si>
  <si>
    <t>Calculation of Increments Allocated on the EQUAL CENT PER THERM BASIS</t>
  </si>
  <si>
    <t>Column D</t>
  </si>
  <si>
    <t>Column A</t>
  </si>
  <si>
    <t>N/A</t>
  </si>
  <si>
    <t>Volumes page,</t>
  </si>
  <si>
    <t>Rate from</t>
  </si>
  <si>
    <t>Rates page,</t>
  </si>
  <si>
    <t>Demand from</t>
  </si>
  <si>
    <t>Increment  page,</t>
  </si>
  <si>
    <t>Temps from</t>
  </si>
  <si>
    <t>A</t>
  </si>
  <si>
    <t>B</t>
  </si>
  <si>
    <t>D</t>
  </si>
  <si>
    <t>E</t>
  </si>
  <si>
    <t>F</t>
  </si>
  <si>
    <t>G</t>
  </si>
  <si>
    <t>H</t>
  </si>
  <si>
    <t>I</t>
  </si>
  <si>
    <t>J</t>
  </si>
  <si>
    <t>K</t>
  </si>
  <si>
    <t>L</t>
  </si>
  <si>
    <t>M</t>
  </si>
  <si>
    <t>N</t>
  </si>
  <si>
    <t>O</t>
  </si>
  <si>
    <t>E=A-B-C-D</t>
  </si>
  <si>
    <t>I=E+F+G+H</t>
  </si>
  <si>
    <t>D=A+B+C</t>
  </si>
  <si>
    <t>E=B-C-D</t>
  </si>
  <si>
    <t>rev sensitive factor is built in</t>
  </si>
  <si>
    <t>Column B+C+D</t>
  </si>
  <si>
    <t>Net change</t>
  </si>
  <si>
    <t>Increments</t>
  </si>
  <si>
    <t>Index &amp; Documentation</t>
  </si>
  <si>
    <t>File Overview:</t>
  </si>
  <si>
    <t>Worksheet Name</t>
  </si>
  <si>
    <t>Description</t>
  </si>
  <si>
    <t>Index and Documentation</t>
  </si>
  <si>
    <t>Provides overview of the file and worksheets</t>
  </si>
  <si>
    <t>Ultimate rate summary - calculates the proposed billing rate</t>
  </si>
  <si>
    <t>Temporaries</t>
  </si>
  <si>
    <t>Summarizes the effect of temporary increments</t>
  </si>
  <si>
    <t>Allocation equal ¢ per therm</t>
  </si>
  <si>
    <t>Details the calculation of each increment by rate schedule for each</t>
  </si>
  <si>
    <t>item allocated on an equal ¢ per therm basis</t>
  </si>
  <si>
    <t>Allocation equal % of margin</t>
  </si>
  <si>
    <t>item allocated on an equal percentage of margin basis</t>
  </si>
  <si>
    <t>Summarizes actual TME May volumes, details the allocation of</t>
  </si>
  <si>
    <t xml:space="preserve">normalized residential and commercial volumes as well as the </t>
  </si>
  <si>
    <t>allocation of elasticity residential and commercial volumes</t>
  </si>
  <si>
    <t>Worksheet Overview:</t>
  </si>
  <si>
    <t>Each sheet provides column and line references.</t>
  </si>
  <si>
    <t>Towards the bottom of each sheet, a cross reference to other sheets is provided</t>
  </si>
  <si>
    <t>Washington Volumes</t>
  </si>
  <si>
    <t>41 FS Block 1</t>
  </si>
  <si>
    <t>41 FS Block 2</t>
  </si>
  <si>
    <t>41 FT Block 1</t>
  </si>
  <si>
    <t>41 FT Block 2</t>
  </si>
  <si>
    <t>41 IS Block 1</t>
  </si>
  <si>
    <t>41 IS Block 2</t>
  </si>
  <si>
    <t>42 CFS Block 1</t>
  </si>
  <si>
    <t>42 CFS Block 2</t>
  </si>
  <si>
    <t>42 CFS Block 3</t>
  </si>
  <si>
    <t>42 CFS Block 4</t>
  </si>
  <si>
    <t>42 CFS Block 5</t>
  </si>
  <si>
    <t>42 CFS Block 6</t>
  </si>
  <si>
    <t>42 IFS Block 1</t>
  </si>
  <si>
    <t>42 IFS Block 2</t>
  </si>
  <si>
    <t>42 IFS Block 3</t>
  </si>
  <si>
    <t>42 IFS Block 4</t>
  </si>
  <si>
    <t>42 IFS Block 5</t>
  </si>
  <si>
    <t>42 IFS Block 6</t>
  </si>
  <si>
    <t>42 FT Block 1</t>
  </si>
  <si>
    <t>42 FT Block 2</t>
  </si>
  <si>
    <t>42 FT Block 3</t>
  </si>
  <si>
    <t>42 FT Block 4</t>
  </si>
  <si>
    <t>42 FT Block 5</t>
  </si>
  <si>
    <t>42 FT Block 6</t>
  </si>
  <si>
    <t>42 IS Block 1</t>
  </si>
  <si>
    <t>42 IS Block 2</t>
  </si>
  <si>
    <t>42 IS Block 3</t>
  </si>
  <si>
    <t>42 IS Block 4</t>
  </si>
  <si>
    <t>42 IS Block 5</t>
  </si>
  <si>
    <t>42 IS Block 6</t>
  </si>
  <si>
    <t>42 IT Block 1</t>
  </si>
  <si>
    <t>42 IT Block 2</t>
  </si>
  <si>
    <t>42 IT Block 3</t>
  </si>
  <si>
    <t>42 IT Block 4</t>
  </si>
  <si>
    <t>42 IT Block 5</t>
  </si>
  <si>
    <t>42 IT Block 6</t>
  </si>
  <si>
    <t>43 FT</t>
  </si>
  <si>
    <t>43 IT</t>
  </si>
  <si>
    <t>Normalized</t>
  </si>
  <si>
    <t>NCS field</t>
  </si>
  <si>
    <t>41 Firm Sales</t>
  </si>
  <si>
    <t>41 Firm Trans</t>
  </si>
  <si>
    <t>41 Interr Sales</t>
  </si>
  <si>
    <t>42C Firm Sales</t>
  </si>
  <si>
    <t>42I Firm Sales</t>
  </si>
  <si>
    <t>42 Firm Trans</t>
  </si>
  <si>
    <t>42 Inter Trans</t>
  </si>
  <si>
    <t>43 Firm Trans</t>
  </si>
  <si>
    <t>43 Interr Trans</t>
  </si>
  <si>
    <t>PGA</t>
  </si>
  <si>
    <t>to all sales schedules</t>
  </si>
  <si>
    <t>Sources:</t>
  </si>
  <si>
    <t>Direct Inputs</t>
  </si>
  <si>
    <t>Column J</t>
  </si>
  <si>
    <t>Equal ¢ per therm</t>
  </si>
  <si>
    <t>Equal % of margin</t>
  </si>
  <si>
    <t>Totals</t>
  </si>
  <si>
    <t>Column G</t>
  </si>
  <si>
    <t>Total Current Temporaries</t>
  </si>
  <si>
    <t>to all Firm sales</t>
  </si>
  <si>
    <t>to all Interruptible sales</t>
  </si>
  <si>
    <t>Washington</t>
  </si>
  <si>
    <t>P</t>
  </si>
  <si>
    <t>Rates in detail</t>
  </si>
  <si>
    <t>Rates in summary</t>
  </si>
  <si>
    <t>Rate summary - calculates the proposed billing rate, shows</t>
  </si>
  <si>
    <t>Condensed summary, showing net effects of gas costs and temporary</t>
  </si>
  <si>
    <t>increments</t>
  </si>
  <si>
    <t>the removal of old and then addition of new gas costs and temporary</t>
  </si>
  <si>
    <t>Summarizes all inputs coming from other files</t>
  </si>
  <si>
    <t>Calculation of Proposed Rates - SUMMARY</t>
  </si>
  <si>
    <t>Calculation of Proposed Rates - DETAIL</t>
  </si>
  <si>
    <t>PGA Effects</t>
  </si>
  <si>
    <t>Therms in</t>
  </si>
  <si>
    <t>Therms</t>
  </si>
  <si>
    <t>Average use</t>
  </si>
  <si>
    <t>Minimum</t>
  </si>
  <si>
    <t>Monthly</t>
  </si>
  <si>
    <t>Charge</t>
  </si>
  <si>
    <t>Average Bill</t>
  </si>
  <si>
    <t>% Bill Change</t>
  </si>
  <si>
    <t>all additional</t>
  </si>
  <si>
    <t>Customers</t>
  </si>
  <si>
    <t>Average Use</t>
  </si>
  <si>
    <t>per Tariff</t>
  </si>
  <si>
    <t>TOTAL</t>
  </si>
  <si>
    <t>F=D+(C * E)</t>
  </si>
  <si>
    <t>Comparison summary - calculates average bills on current versus</t>
  </si>
  <si>
    <t>proposed rates for PGA only, Temps only and Total bill effects.</t>
  </si>
  <si>
    <t>Rate schedules are listed on each sheet on the same lines in the same order on each page, with the</t>
  </si>
  <si>
    <t>exception of the PGA Effects page due to the insertion of subtotals for blocked rate schedules</t>
  </si>
  <si>
    <t>Sources for line 2 above:</t>
  </si>
  <si>
    <t>Inputs page</t>
  </si>
  <si>
    <t>PGA Normalized</t>
  </si>
  <si>
    <t>This file currently contains 9 worksheets:</t>
  </si>
  <si>
    <t>Normal</t>
  </si>
  <si>
    <t>Calculation of Effect on Customer Average Bill by Rate Schedule [1]</t>
  </si>
  <si>
    <t>Intentionally blank</t>
  </si>
  <si>
    <t>Subtotal [1]</t>
  </si>
  <si>
    <t>Tariff</t>
  </si>
  <si>
    <t>Rates [1]</t>
  </si>
  <si>
    <t>PGA Only [1]</t>
  </si>
  <si>
    <t>Demand [1]</t>
  </si>
  <si>
    <t>Demand - Firm Volumetric</t>
  </si>
  <si>
    <t>Demand - Interruptible Volumetric</t>
  </si>
  <si>
    <t>Demand - Firm MDDV</t>
  </si>
  <si>
    <t>Firm Service Distribution Capacity MDDV</t>
  </si>
  <si>
    <t>Firm Sales Service Storage Capacity MDDV</t>
  </si>
  <si>
    <t>RATE HANDBOOK</t>
  </si>
  <si>
    <t>Current and Historical</t>
  </si>
  <si>
    <t>Washington Rate Information</t>
  </si>
  <si>
    <t>WASHINGTON</t>
  </si>
  <si>
    <t>Rate Summaries Section</t>
  </si>
  <si>
    <t>Summary of Monthly Sales Service Billing Rates</t>
  </si>
  <si>
    <t>Summary of Monthly Transportation Service Billing Rates</t>
  </si>
  <si>
    <t>Rate Histories Section</t>
  </si>
  <si>
    <t>Page</t>
  </si>
  <si>
    <t>Adjustments to Residential Prices</t>
  </si>
  <si>
    <t>General Rate Case History 1975-Present</t>
  </si>
  <si>
    <t xml:space="preserve"> (Sales Service Billing Rates 2002-Present)</t>
  </si>
  <si>
    <t>Schedule 1</t>
  </si>
  <si>
    <t>General Sales Service</t>
  </si>
  <si>
    <t>Schedule 2</t>
  </si>
  <si>
    <t xml:space="preserve">Residential Sales Service </t>
  </si>
  <si>
    <t>Schedule 3</t>
  </si>
  <si>
    <t>Basic Firm Sales Service</t>
  </si>
  <si>
    <t>Schedule 41</t>
  </si>
  <si>
    <t>Non-Residential Firm Sales Service</t>
  </si>
  <si>
    <t>Non-Residential Interruptible Sales Service</t>
  </si>
  <si>
    <t>Schedule 42</t>
  </si>
  <si>
    <t>(Transportation Service Billing Rates)</t>
  </si>
  <si>
    <t>Non-Residential Transportation Service</t>
  </si>
  <si>
    <t>Large Volume Non-Residential Transportation Service</t>
  </si>
  <si>
    <t>Schedule 43</t>
  </si>
  <si>
    <t>Average</t>
  </si>
  <si>
    <t>Percent</t>
  </si>
  <si>
    <t>Storage Charge</t>
  </si>
  <si>
    <t>STATEMENT OF RATES</t>
  </si>
  <si>
    <t>EFFECTIVE:</t>
  </si>
  <si>
    <t>SALES</t>
  </si>
  <si>
    <t>TRANSPORTATION</t>
  </si>
  <si>
    <t>MARGIN *</t>
  </si>
  <si>
    <t>Sales Billing</t>
  </si>
  <si>
    <t>Transportation</t>
  </si>
  <si>
    <t>Distribution</t>
  </si>
  <si>
    <t>Billing Rate</t>
  </si>
  <si>
    <t>Rate Schedule</t>
  </si>
  <si>
    <t>Adjustment</t>
  </si>
  <si>
    <t>(c+d)</t>
  </si>
  <si>
    <t>(f+g)</t>
  </si>
  <si>
    <t>(c - WACOG)</t>
  </si>
  <si>
    <t>(a)</t>
  </si>
  <si>
    <t>(b)</t>
  </si>
  <si>
    <t>(c)</t>
  </si>
  <si>
    <t>(d)</t>
  </si>
  <si>
    <t>(e)</t>
  </si>
  <si>
    <t>(f)</t>
  </si>
  <si>
    <t>(g)</t>
  </si>
  <si>
    <t>(h)</t>
  </si>
  <si>
    <t>(I)</t>
  </si>
  <si>
    <t>Customer Charge</t>
  </si>
  <si>
    <t>All therms</t>
  </si>
  <si>
    <t>Customer Charge:</t>
  </si>
  <si>
    <t>Transportation Charge</t>
  </si>
  <si>
    <t>Schedule 10</t>
  </si>
  <si>
    <t>1st 150 cf/hr. capacity</t>
  </si>
  <si>
    <t>All add'l cf/hr capacity</t>
  </si>
  <si>
    <t>Charge for Meter Reading</t>
  </si>
  <si>
    <t>One Mantle</t>
  </si>
  <si>
    <t>All add'l</t>
  </si>
  <si>
    <t>Schedule 27</t>
  </si>
  <si>
    <t>Schedule 41-Firm</t>
  </si>
  <si>
    <t>Customer Charge/Min. Mo. Bill</t>
  </si>
  <si>
    <t>Service</t>
  </si>
  <si>
    <t>Pipeline Capacity Charge (MDDV)</t>
  </si>
  <si>
    <t>**</t>
  </si>
  <si>
    <t>Pipeline Capacity Charge (volumetric)</t>
  </si>
  <si>
    <t>1st 2,000 therms</t>
  </si>
  <si>
    <t>All Additional</t>
  </si>
  <si>
    <t>Schedule 41-Interruptible</t>
  </si>
  <si>
    <t>Sales Service</t>
  </si>
  <si>
    <t>Schedule 42-Firm</t>
  </si>
  <si>
    <t>MDDV Distribution Capacity Charge</t>
  </si>
  <si>
    <t>MDDV Storage Charge</t>
  </si>
  <si>
    <t>MDDV Pipeline Capacity Charge</t>
  </si>
  <si>
    <t>Next 20,000</t>
  </si>
  <si>
    <t>Next 100,000</t>
  </si>
  <si>
    <t>Next 600,000</t>
  </si>
  <si>
    <t>Schedule 42-Interruptible</t>
  </si>
  <si>
    <t>Transportation Service</t>
  </si>
  <si>
    <t>Volumetric Charge (per therm)</t>
  </si>
  <si>
    <t>HISTORY OF AVERAGE RATES BY RATE SCHEDULE</t>
  </si>
  <si>
    <t>HISTORY OF AVERAGE CLASS PRICES:  1995 - 2003</t>
  </si>
  <si>
    <t>Effective</t>
  </si>
  <si>
    <t>Date</t>
  </si>
  <si>
    <t>Industrial</t>
  </si>
  <si>
    <t>Interruptible</t>
  </si>
  <si>
    <t>Large</t>
  </si>
  <si>
    <t>Industrial Firm</t>
  </si>
  <si>
    <t>Sales Schedule</t>
  </si>
  <si>
    <t>Interruptible Sales</t>
  </si>
  <si>
    <t>Schedule 41FS</t>
  </si>
  <si>
    <t>42FS</t>
  </si>
  <si>
    <t>Schedule 42IS</t>
  </si>
  <si>
    <t>SALES SERVICE</t>
  </si>
  <si>
    <t>CURRENT</t>
  </si>
  <si>
    <t>PROPOSED</t>
  </si>
  <si>
    <t xml:space="preserve">Change </t>
  </si>
  <si>
    <t>RATE SCHEDULES</t>
  </si>
  <si>
    <t>RATE BLOCKS</t>
  </si>
  <si>
    <t>Billing Rates</t>
  </si>
  <si>
    <t>In Billing Rate</t>
  </si>
  <si>
    <t>(current vs. proposed)</t>
  </si>
  <si>
    <t>Residential Service</t>
  </si>
  <si>
    <t>All additional</t>
  </si>
  <si>
    <t>Pipeline Capacity Charge (per th/MDDV)</t>
  </si>
  <si>
    <t>Pipeline Capacity Charge (per therm)</t>
  </si>
  <si>
    <t>Firm Sales Service</t>
  </si>
  <si>
    <t xml:space="preserve">First 2,000 </t>
  </si>
  <si>
    <t>Interruptible Sales Service</t>
  </si>
  <si>
    <t>Firm Transportation Service‡</t>
  </si>
  <si>
    <t>Distribution Capacity Charge (per MDDV)</t>
  </si>
  <si>
    <t>Storage Charge (per MDDV)</t>
  </si>
  <si>
    <t>Pipeline Capacity Charge (per MDDV)</t>
  </si>
  <si>
    <t>First 10,000</t>
  </si>
  <si>
    <t xml:space="preserve"> Next 20,000</t>
  </si>
  <si>
    <t>Interruptible Transportation Service‡</t>
  </si>
  <si>
    <t>Firm or Interruptible Transportation Service‡</t>
  </si>
  <si>
    <t>Distribution Capacity Charge</t>
  </si>
  <si>
    <t>‡ Applicable Monthly Transportation Charge:  $250.00</t>
  </si>
  <si>
    <t>Rates Effective</t>
  </si>
  <si>
    <t>CUSTOMER CLASS</t>
  </si>
  <si>
    <t>Residential - Schedule 2</t>
  </si>
  <si>
    <t>Commercial - Schedule 3</t>
  </si>
  <si>
    <t>WEIGHTED AVERAGE COST OF GAS (WACOG)</t>
  </si>
  <si>
    <t>SCHEDULE 1</t>
  </si>
  <si>
    <t>SCHEDULE 2</t>
  </si>
  <si>
    <t>SCHEDULE 3</t>
  </si>
  <si>
    <t>SCHEDULE 10</t>
  </si>
  <si>
    <t>GENERAL SALES SERVICE</t>
  </si>
  <si>
    <t>RESIDENTIAL SALES SERVICE</t>
  </si>
  <si>
    <t>BASIC FIRM SALES SERVICE</t>
  </si>
  <si>
    <t>SPECIAL METERING EQUIPMENT</t>
  </si>
  <si>
    <t>FROZEN</t>
  </si>
  <si>
    <t>Usage Charges:</t>
  </si>
  <si>
    <t>Meter Size:</t>
  </si>
  <si>
    <t xml:space="preserve"> Customer Charge</t>
  </si>
  <si>
    <t xml:space="preserve">  First 150 CF/hr./mo. Capacity</t>
  </si>
  <si>
    <t xml:space="preserve">  Minimum Monthly Bill</t>
  </si>
  <si>
    <t>Minimum Monthly Bill</t>
  </si>
  <si>
    <t xml:space="preserve">  All add'l CF/hr./mo. Capacity</t>
  </si>
  <si>
    <t xml:space="preserve">  Minimum Monthly Rental</t>
  </si>
  <si>
    <t xml:space="preserve">  Charge for Meter Reading</t>
  </si>
  <si>
    <t>SCHEDULE 41</t>
  </si>
  <si>
    <t>SCHEDULE 42</t>
  </si>
  <si>
    <t>NON-RESIDENTIAL SALES SERVICE</t>
  </si>
  <si>
    <t>LARGE VOLUME NON-RESIDENTIAL</t>
  </si>
  <si>
    <t>FIRM SALES SERVICE</t>
  </si>
  <si>
    <t>INTERRUPTIBLE SALES SERVICE</t>
  </si>
  <si>
    <t>Volumetric Charges:</t>
  </si>
  <si>
    <t>Usage Charge:</t>
  </si>
  <si>
    <t>1st 10,000 therms:</t>
  </si>
  <si>
    <t>1st 2,000 therms:</t>
  </si>
  <si>
    <t>Next 20,000 therms:</t>
  </si>
  <si>
    <t>OTHER CHARGES:</t>
  </si>
  <si>
    <t>All additional therms:</t>
  </si>
  <si>
    <t>Plus</t>
  </si>
  <si>
    <t>Next 100,000 therms:</t>
  </si>
  <si>
    <t>Telemetry Charge (per month)</t>
  </si>
  <si>
    <t>Next 600,000 therms:</t>
  </si>
  <si>
    <t>Standard Unauthorized Use:</t>
  </si>
  <si>
    <t>$ 2.00/th</t>
  </si>
  <si>
    <t>Unauthorized Use - Violation</t>
  </si>
  <si>
    <t>$10.00/th</t>
  </si>
  <si>
    <t>SCHEDULE 27</t>
  </si>
  <si>
    <t>Pipeline Capacity Charges*:</t>
  </si>
  <si>
    <t xml:space="preserve">    of Curtailment Order</t>
  </si>
  <si>
    <t>RESIDENTIAL HEATING DRY-OUT SERVICE</t>
  </si>
  <si>
    <t>Firm (MDDV):</t>
  </si>
  <si>
    <t>Firm (per therm):</t>
  </si>
  <si>
    <t>Pipeline Capacity Chg. per therm:</t>
  </si>
  <si>
    <t>Distribution Capacity Chg. (MDDV)</t>
  </si>
  <si>
    <t>Per therm, all therms</t>
  </si>
  <si>
    <t>Firm Pipeline Capacity Charges*:</t>
  </si>
  <si>
    <t>Per MDDV:</t>
  </si>
  <si>
    <t>Minimum Monthly Bill:</t>
  </si>
  <si>
    <t>Per therm:</t>
  </si>
  <si>
    <t>Storage Charge per MDDV:</t>
  </si>
  <si>
    <t>Pipeline Capacity Charge</t>
  </si>
  <si>
    <t xml:space="preserve"> (per therm):</t>
  </si>
  <si>
    <t>Customer Charge, plus Volumetric Charges, plus applicable Pipeline Capacity Charge.</t>
  </si>
  <si>
    <t>Customer Charge, plus Volumetric Charges, plus applicable Pipeline Capacity Charge, plus the Storage and Distribution Charges.</t>
  </si>
  <si>
    <t>Customer Charge, plus Volumetric Charges, plus Pipeline Capacity Charge, plus Storage Charge.</t>
  </si>
  <si>
    <t xml:space="preserve">RATE SUMMARY </t>
  </si>
  <si>
    <t>Effective with service on</t>
  </si>
  <si>
    <t>Page 1</t>
  </si>
  <si>
    <t>SCHEDULE 43</t>
  </si>
  <si>
    <t xml:space="preserve">NON-RESIDENTIAL </t>
  </si>
  <si>
    <t>HIGH-VOLUME NON-RESIDENTIAL</t>
  </si>
  <si>
    <t>TRANSPORTATION SERVICE</t>
  </si>
  <si>
    <t>Transportation Charge:</t>
  </si>
  <si>
    <t xml:space="preserve">   1st 2,000 therms:</t>
  </si>
  <si>
    <t xml:space="preserve">   1st 10,000 therms:</t>
  </si>
  <si>
    <t>All therms:</t>
  </si>
  <si>
    <t xml:space="preserve">   All additional therms:</t>
  </si>
  <si>
    <t xml:space="preserve">   Next 20,000 therms:</t>
  </si>
  <si>
    <t xml:space="preserve">   Next 100,000 therms:</t>
  </si>
  <si>
    <t xml:space="preserve">   Next 600,000 therms:</t>
  </si>
  <si>
    <t>Plus for Firm Service:   Distribution Capacity Charge</t>
  </si>
  <si>
    <t>Balancing Charge (excess over 5%)</t>
  </si>
  <si>
    <t>$1.00/therm</t>
  </si>
  <si>
    <t>Entitlement Overrun Charges:</t>
  </si>
  <si>
    <t>Monthly Telemetry Charge:</t>
  </si>
  <si>
    <t>Excess &lt; threshold + 2%</t>
  </si>
  <si>
    <t>$0.50/therm</t>
  </si>
  <si>
    <t>$2.00/th</t>
  </si>
  <si>
    <t>Excess &gt; threshold + 2%</t>
  </si>
  <si>
    <t>Entitlement Underrun Charges:</t>
  </si>
  <si>
    <t xml:space="preserve">     of Curtailment Order:</t>
  </si>
  <si>
    <t>5% to 10%</t>
  </si>
  <si>
    <t>Over 10%</t>
  </si>
  <si>
    <t>Underrun not cleared</t>
  </si>
  <si>
    <t>Page 2</t>
  </si>
  <si>
    <t>Page 3</t>
  </si>
  <si>
    <t>EFFECTIVE</t>
  </si>
  <si>
    <t>ADJUSTMENTS TO SALES SERVICE RATES</t>
  </si>
  <si>
    <t>Changes in</t>
  </si>
  <si>
    <t>Temporary Adjustments</t>
  </si>
  <si>
    <t>Gas Cost &amp; Demand Changes</t>
  </si>
  <si>
    <t>Base Rates</t>
  </si>
  <si>
    <t>Change in Rates</t>
  </si>
  <si>
    <t>(per therm)</t>
  </si>
  <si>
    <t>RESIDENTIAL  - RS 2</t>
  </si>
  <si>
    <t>COMMERCIAL - RS 3</t>
  </si>
  <si>
    <t>LARGE COMMERCIAL - RS 41</t>
  </si>
  <si>
    <t>INDUSTRIAL - RS 42FS</t>
  </si>
  <si>
    <t>INTERRUPTIBLE  - RS 42IS</t>
  </si>
  <si>
    <t>Percent Change</t>
  </si>
  <si>
    <t>RESIDENTIAL - RS 2</t>
  </si>
  <si>
    <t>INTERRUPTIBLE - RS 42IS</t>
  </si>
  <si>
    <t>CHANGES IN REVENUE</t>
  </si>
  <si>
    <t>Annual change due technical rate adjustments</t>
  </si>
  <si>
    <t>Annual change due to purchased gas cost adjustments</t>
  </si>
  <si>
    <t xml:space="preserve">Annual change due to permanent rate adjustments </t>
  </si>
  <si>
    <t xml:space="preserve">Total change in revenues </t>
  </si>
  <si>
    <t>Bill change per month for (typical) Schedule 2 sales service customer</t>
  </si>
  <si>
    <t>Bill change per month for (typical) Schedule 3 sales service customer</t>
  </si>
  <si>
    <t>Page 4</t>
  </si>
  <si>
    <t>ADJUSTMENTS TO RESIDENTIAL PRICES</t>
  </si>
  <si>
    <t>Base Class Price - Effective:</t>
  </si>
  <si>
    <t>CONVENTIONAL</t>
  </si>
  <si>
    <t>SUPPLEMENTAL</t>
  </si>
  <si>
    <t>GENERAL</t>
  </si>
  <si>
    <t>GAS COST</t>
  </si>
  <si>
    <t>TEMPORARY</t>
  </si>
  <si>
    <t>RATE</t>
  </si>
  <si>
    <t>PERCENT</t>
  </si>
  <si>
    <t>LINE</t>
  </si>
  <si>
    <t>EFFECTIVE DATE</t>
  </si>
  <si>
    <t>TRACKING</t>
  </si>
  <si>
    <t>INCREMENT</t>
  </si>
  <si>
    <t>ADJ</t>
  </si>
  <si>
    <t>CHANGE</t>
  </si>
  <si>
    <t>October 14, 1973</t>
  </si>
  <si>
    <t>January 1, 1974</t>
  </si>
  <si>
    <t>April 1, 1974</t>
  </si>
  <si>
    <t>December 29.1974</t>
  </si>
  <si>
    <t>April 4, 1975</t>
  </si>
  <si>
    <t>August 1, 1975</t>
  </si>
  <si>
    <t>October 26, 1975</t>
  </si>
  <si>
    <t>July 19, 1976</t>
  </si>
  <si>
    <t>September 30, 1976</t>
  </si>
  <si>
    <t>December 21, 1976</t>
  </si>
  <si>
    <t>April 10, 1977</t>
  </si>
  <si>
    <t>October 1, 1977</t>
  </si>
  <si>
    <t>December 1, 1977</t>
  </si>
  <si>
    <t>April 1, 1978</t>
  </si>
  <si>
    <t>October 1, 1978</t>
  </si>
  <si>
    <t>April 1, 1979</t>
  </si>
  <si>
    <t>April 20, 1979</t>
  </si>
  <si>
    <t>October 1, 1979</t>
  </si>
  <si>
    <t>November 15, 1979</t>
  </si>
  <si>
    <t>January 1, 1980</t>
  </si>
  <si>
    <t>April 1, 1980</t>
  </si>
  <si>
    <t>October 1, 1980</t>
  </si>
  <si>
    <t>February 20, 1981</t>
  </si>
  <si>
    <t>April 1, 1981</t>
  </si>
  <si>
    <t>June 13, 1981</t>
  </si>
  <si>
    <t>October 1, 1981</t>
  </si>
  <si>
    <t>April 1, 1982</t>
  </si>
  <si>
    <t>October 7, 1982</t>
  </si>
  <si>
    <t>December 2, 1982</t>
  </si>
  <si>
    <t>April 1, 1983</t>
  </si>
  <si>
    <t>April 21, 1983</t>
  </si>
  <si>
    <t>October 1, 1983</t>
  </si>
  <si>
    <t>February 18, 1984</t>
  </si>
  <si>
    <t>April 1, 1984</t>
  </si>
  <si>
    <t>July 1, 1984</t>
  </si>
  <si>
    <t>November 1, 1984</t>
  </si>
  <si>
    <t>June 13, 1985</t>
  </si>
  <si>
    <t>August 3, 1985</t>
  </si>
  <si>
    <t>October 1, 1985</t>
  </si>
  <si>
    <t>November 7, 1985</t>
  </si>
  <si>
    <t>April 17, 1986</t>
  </si>
  <si>
    <t>October 1, 1986</t>
  </si>
  <si>
    <t>May 1, 1987</t>
  </si>
  <si>
    <t>October 1, 1987</t>
  </si>
  <si>
    <t>January 1, 1988</t>
  </si>
  <si>
    <t>April 1, 1988</t>
  </si>
  <si>
    <t>December 8, 1988</t>
  </si>
  <si>
    <t>January 1, 1990</t>
  </si>
  <si>
    <t>January 1, 1991</t>
  </si>
  <si>
    <t>December 1, 1991</t>
  </si>
  <si>
    <t>December 1, 1992</t>
  </si>
  <si>
    <t>June 1, 1993</t>
  </si>
  <si>
    <t>December 1, 1993</t>
  </si>
  <si>
    <t>December 1, 1994</t>
  </si>
  <si>
    <t>December 1, 1995</t>
  </si>
  <si>
    <t>[1]</t>
  </si>
  <si>
    <t>February 1, 1996</t>
  </si>
  <si>
    <t>December 1, 1996</t>
  </si>
  <si>
    <t>October 28, 1997</t>
  </si>
  <si>
    <t>[2]</t>
  </si>
  <si>
    <t>December 1, 1997</t>
  </si>
  <si>
    <t>[3]</t>
  </si>
  <si>
    <t>[4]</t>
  </si>
  <si>
    <t xml:space="preserve">Aggregate Change </t>
  </si>
  <si>
    <t>Class Price Change</t>
  </si>
  <si>
    <t>[1]  Open-Access Transition (Schedule 205)</t>
  </si>
  <si>
    <t>[2]  FAS 106 (Average Sch. 2 adjustment)</t>
  </si>
  <si>
    <t>[3]  Special Adj (Schedule 213:RS 90T &amp; 91T migration)</t>
  </si>
  <si>
    <t>[4]  FAS 106 plus Schedule 213 adjustment</t>
  </si>
  <si>
    <t>Page 5</t>
  </si>
  <si>
    <t>GENERAL RATE CASE HISTORY</t>
  </si>
  <si>
    <t>1975-Present</t>
  </si>
  <si>
    <t>Change in Revenue</t>
  </si>
  <si>
    <t>Approved</t>
  </si>
  <si>
    <t>Requested</t>
  </si>
  <si>
    <t>Granted</t>
  </si>
  <si>
    <t>Return</t>
  </si>
  <si>
    <t>On Equity</t>
  </si>
  <si>
    <t>Applied</t>
  </si>
  <si>
    <t xml:space="preserve">MM$   </t>
  </si>
  <si>
    <t xml:space="preserve">MM$ </t>
  </si>
  <si>
    <t>(Percent)</t>
  </si>
  <si>
    <t>05/28/97</t>
  </si>
  <si>
    <t>10/28/97</t>
  </si>
  <si>
    <t>Revised</t>
  </si>
  <si>
    <t>Page 6</t>
  </si>
  <si>
    <t>WEIGHTED AVERAGE COST OF GAS</t>
  </si>
  <si>
    <t>1988-Present</t>
  </si>
  <si>
    <t>Effective Date</t>
  </si>
  <si>
    <t>Rate/therm</t>
  </si>
  <si>
    <t>[1]     Represents ODL-1 Commodity Rate</t>
  </si>
  <si>
    <t>[2]     Company's Weighted Average Cost of Gas (WACOG) filed under Tariffs WN U-5 and WN U-6, Schedule P.</t>
  </si>
  <si>
    <t>*  Adjusted for revenue-sensitive effects</t>
  </si>
  <si>
    <t>(Monthly Billing Rates, 2002 to Present)</t>
  </si>
  <si>
    <t xml:space="preserve">1st 2 </t>
  </si>
  <si>
    <t>Next 48</t>
  </si>
  <si>
    <t xml:space="preserve">  Date   </t>
  </si>
  <si>
    <t>therms</t>
  </si>
  <si>
    <t>First 40</t>
  </si>
  <si>
    <t xml:space="preserve">Therms  </t>
  </si>
  <si>
    <t xml:space="preserve">    Therms    </t>
  </si>
  <si>
    <t>1,700</t>
  </si>
  <si>
    <t>Additional</t>
  </si>
  <si>
    <t xml:space="preserve">Therms    </t>
  </si>
  <si>
    <t>One</t>
  </si>
  <si>
    <t>Mantle</t>
  </si>
  <si>
    <t>Mantles</t>
  </si>
  <si>
    <t>All Additional Mantles</t>
  </si>
  <si>
    <t xml:space="preserve">SCHEDULE 21  FIRM SALES SERVICE HIGH-LOAD FACTOR </t>
  </si>
  <si>
    <t>First</t>
  </si>
  <si>
    <t>Next</t>
  </si>
  <si>
    <t xml:space="preserve"> All</t>
  </si>
  <si>
    <t xml:space="preserve"> 500</t>
  </si>
  <si>
    <t>1,500</t>
  </si>
  <si>
    <t>98,000</t>
  </si>
  <si>
    <t xml:space="preserve">  Therms  </t>
  </si>
  <si>
    <t>Surcharge History</t>
  </si>
  <si>
    <t xml:space="preserve">     </t>
  </si>
  <si>
    <t>SCHEDULE 41:  NON-RESIDENTIAL FIRM SALES SERVICE:</t>
  </si>
  <si>
    <t>Pipeline Capacity Charges</t>
  </si>
  <si>
    <t>All additional therms</t>
  </si>
  <si>
    <t>Pipeline Capacity Charge (per therm of MDDV)</t>
  </si>
  <si>
    <t>SCHEDULE 41:  NON-RESIDENTIAL INTERRUPTIBLE SALES SERVICE:</t>
  </si>
  <si>
    <t>SCHEDULE 42:  LARGE VOLUME NON-RESIDENTIAL SALES SERVICE</t>
  </si>
  <si>
    <t>PLUS</t>
  </si>
  <si>
    <t>First 10,000 therms</t>
  </si>
  <si>
    <t>Next      20,000 therms</t>
  </si>
  <si>
    <t>Next 20,000 therms</t>
  </si>
  <si>
    <t>Next 100,000 therms</t>
  </si>
  <si>
    <t>Next 600,000 therms</t>
  </si>
  <si>
    <t>Distribution Capacity Charge (per therm of MDDV)</t>
  </si>
  <si>
    <t>Storage Charge (per therm of MDDV)</t>
  </si>
  <si>
    <t xml:space="preserve">BASIC FIRM TRANSPORTATION SERVICE: </t>
  </si>
  <si>
    <t>(Monthly Billing Rates)</t>
  </si>
  <si>
    <t>Customer</t>
  </si>
  <si>
    <t>All</t>
  </si>
  <si>
    <t>(Transportation Service Monthly Billing Rates)</t>
  </si>
  <si>
    <t xml:space="preserve">SCHEDULE 42:  LARGE VOLUME NON-RESIDENTIAL TRANSPORTATION SERVICE          </t>
  </si>
  <si>
    <t>For Firm Service Add:</t>
  </si>
  <si>
    <t>First      10,000 therms</t>
  </si>
  <si>
    <t>Next      100,000 therms</t>
  </si>
  <si>
    <t>Next      600,000 therms</t>
  </si>
  <si>
    <t>All      additional therms</t>
  </si>
  <si>
    <t>Distribution Capacity Charge (per therm/MDDV)</t>
  </si>
  <si>
    <t xml:space="preserve">SCHEDULE 43:  HIGH-VOLUME NON-RESIDENTIAL FIRM &amp; INTERRUPTIBLE TRANSPORTATION SERVICE          </t>
  </si>
  <si>
    <t>Distribution Capacity Charge (per therm of MDDV</t>
  </si>
  <si>
    <r>
      <t xml:space="preserve">SUMMARY OF MONTHLY  </t>
    </r>
    <r>
      <rPr>
        <b/>
        <u/>
        <sz val="16"/>
        <rFont val="Arial"/>
        <family val="2"/>
      </rPr>
      <t>SALES SERVICE</t>
    </r>
    <r>
      <rPr>
        <b/>
        <sz val="16"/>
        <rFont val="Arial"/>
        <family val="2"/>
      </rPr>
      <t xml:space="preserve">  BILLING RATES </t>
    </r>
  </si>
  <si>
    <r>
      <t>PENALTY CHARGES</t>
    </r>
    <r>
      <rPr>
        <b/>
        <sz val="10"/>
        <rFont val="Arial"/>
        <family val="2"/>
      </rPr>
      <t>:</t>
    </r>
  </si>
  <si>
    <r>
      <t>OTHER CHARGES</t>
    </r>
    <r>
      <rPr>
        <b/>
        <sz val="10"/>
        <rFont val="Arial"/>
        <family val="2"/>
      </rPr>
      <t>:</t>
    </r>
  </si>
  <si>
    <r>
      <t xml:space="preserve"> </t>
    </r>
    <r>
      <rPr>
        <b/>
        <sz val="14"/>
        <rFont val="Arial"/>
        <family val="2"/>
      </rPr>
      <t xml:space="preserve"> RATE SUMMARY</t>
    </r>
  </si>
  <si>
    <r>
      <t>(</t>
    </r>
    <r>
      <rPr>
        <u/>
        <sz val="12"/>
        <rFont val="Arial"/>
        <family val="2"/>
      </rPr>
      <t>Sales Service</t>
    </r>
    <r>
      <rPr>
        <sz val="12"/>
        <rFont val="Arial"/>
        <family val="2"/>
      </rPr>
      <t xml:space="preserve"> Monthly Billing Rates)</t>
    </r>
  </si>
  <si>
    <r>
      <t>(</t>
    </r>
    <r>
      <rPr>
        <u/>
        <sz val="12"/>
        <rFont val="Arial"/>
        <family val="2"/>
      </rPr>
      <t xml:space="preserve">Firm Sales Service </t>
    </r>
    <r>
      <rPr>
        <sz val="12"/>
        <rFont val="Arial"/>
        <family val="2"/>
      </rPr>
      <t>Monthly Billing Rates)</t>
    </r>
  </si>
  <si>
    <r>
      <t>(</t>
    </r>
    <r>
      <rPr>
        <u/>
        <sz val="12"/>
        <rFont val="Arial"/>
        <family val="2"/>
      </rPr>
      <t>Interruptible Sales Service</t>
    </r>
    <r>
      <rPr>
        <sz val="12"/>
        <rFont val="Arial"/>
        <family val="2"/>
      </rPr>
      <t xml:space="preserve"> Monthly Billing Rates)</t>
    </r>
  </si>
  <si>
    <r>
      <t>(</t>
    </r>
    <r>
      <rPr>
        <u/>
        <sz val="12"/>
        <rFont val="Arial"/>
        <family val="2"/>
      </rPr>
      <t>Transportation Service</t>
    </r>
    <r>
      <rPr>
        <sz val="12"/>
        <rFont val="Arial"/>
        <family val="2"/>
      </rPr>
      <t xml:space="preserve"> Monthly Billing Rates)</t>
    </r>
  </si>
  <si>
    <t>Margins</t>
  </si>
  <si>
    <t>(AA-I)</t>
  </si>
  <si>
    <t>[1] Rate Schedule 41 and 42 customers may choose demand charges at a volumetric rate or based on MDDV.  For convenience of presentation, demand charges are not shown for those schedules.</t>
  </si>
  <si>
    <t>[1] Rate Schedule 41 and 42 customers may choose demand charges at a volumetric rate or based on MDDV.  For convenience of presentation, demand charges are not included in the calculations for those schedules.</t>
  </si>
  <si>
    <t>Note: Allocation to rate schedules or blocks with zero volumes is calculated on an overall margin percentage change basis.</t>
  </si>
  <si>
    <t>Current Annual Sales WACOG:</t>
  </si>
  <si>
    <t>PGA Effects on Average Bill by Rate Schedule</t>
  </si>
  <si>
    <t>Annual Sales WACOG:</t>
  </si>
  <si>
    <t>Winter Sales WACOG:</t>
  </si>
  <si>
    <t>CHANGE IN AVERAGE MONTHLY BILL</t>
  </si>
  <si>
    <t>(Monthly Billing Rates, 1994 to Present)</t>
  </si>
  <si>
    <t>(Permanent Rates, 1994 to Present)</t>
  </si>
  <si>
    <t>First 6</t>
  </si>
  <si>
    <t>Next 34</t>
  </si>
  <si>
    <t xml:space="preserve">Therms </t>
  </si>
  <si>
    <t>1st 40</t>
  </si>
  <si>
    <t xml:space="preserve">COMMERCIAL AND INDUSTRIAL SALES SERVICE: </t>
  </si>
  <si>
    <t xml:space="preserve">  10</t>
  </si>
  <si>
    <t xml:space="preserve"> 290</t>
  </si>
  <si>
    <t>WACOG Per Therm Sold</t>
  </si>
  <si>
    <t>WACOG Per Therm Purchased</t>
  </si>
  <si>
    <t>WACOG Per Therm Sold *</t>
  </si>
  <si>
    <t>WACOG Per Therm Purchased *</t>
  </si>
  <si>
    <t>[3]     WACOG Per Therm Sold represents the Commodity Component in rates</t>
  </si>
  <si>
    <t>If Firm Service, ADD:</t>
  </si>
  <si>
    <t>Summary of Amortization Rates</t>
  </si>
  <si>
    <t>Workpaper Only - not included in filing</t>
  </si>
  <si>
    <t>Schedule 19</t>
  </si>
  <si>
    <t>Gas Light Service - Frozen</t>
  </si>
  <si>
    <t>Large Volume Non-Residential Firm Sales Service</t>
  </si>
  <si>
    <t>Large Volume Non-Residential Interruptible Sales Service</t>
  </si>
  <si>
    <t>High-Volume Non-Residential Transportation Service</t>
  </si>
  <si>
    <t xml:space="preserve">Effective Date   </t>
  </si>
  <si>
    <t>Current Average Bill</t>
  </si>
  <si>
    <t>Proposed Average Bill</t>
  </si>
  <si>
    <t>Monthly Average</t>
  </si>
  <si>
    <t>Therm Usage</t>
  </si>
  <si>
    <t>Proposed Average</t>
  </si>
  <si>
    <t>Net Change (%)</t>
  </si>
  <si>
    <t>and taking the opposite sign</t>
  </si>
  <si>
    <t>or</t>
  </si>
  <si>
    <t>[2]     Company's Weighted Average Cost of Gas (WACOG) filed under Tariff WN U-5, Schedule P.</t>
  </si>
  <si>
    <t>Industrial Sales Firm - Schedule 42</t>
  </si>
  <si>
    <t>Industrial Sales Interruptible - Schedule 42</t>
  </si>
  <si>
    <t>SCHEDULE 54:  EMERGENCY SALES SERVICE</t>
  </si>
  <si>
    <t>Per Therm</t>
  </si>
  <si>
    <t>Usage</t>
  </si>
  <si>
    <t xml:space="preserve">   Date  </t>
  </si>
  <si>
    <t>Equal percentage of margin</t>
  </si>
  <si>
    <t>Permanent Increment</t>
  </si>
  <si>
    <t>Trans</t>
  </si>
  <si>
    <t>Sales</t>
  </si>
  <si>
    <t>R Sales</t>
  </si>
  <si>
    <t>C Sales</t>
  </si>
  <si>
    <t>I Sales</t>
  </si>
  <si>
    <t>firm Sales</t>
  </si>
  <si>
    <t>Interr Sales</t>
  </si>
  <si>
    <t>Volumetric</t>
  </si>
  <si>
    <t>Allocation to RS</t>
  </si>
  <si>
    <t>F = E * A</t>
  </si>
  <si>
    <t>Column L</t>
  </si>
  <si>
    <t>Residential Forecasted Normalized Volumes</t>
  </si>
  <si>
    <t>Commercial Forecasted Normalized Volumes</t>
  </si>
  <si>
    <t>Forecasted</t>
  </si>
  <si>
    <t>Industrial Firm Forecasted Normalized Volumes</t>
  </si>
  <si>
    <t>Sales Volumes</t>
  </si>
  <si>
    <t>H = (F/G)/12</t>
  </si>
  <si>
    <t>Column F</t>
  </si>
  <si>
    <t>Year Ended</t>
  </si>
  <si>
    <t>Line 34</t>
  </si>
  <si>
    <t>Line 36</t>
  </si>
  <si>
    <t>R</t>
  </si>
  <si>
    <t>Winter Sales WACOG</t>
  </si>
  <si>
    <t>Total PGA Change</t>
  </si>
  <si>
    <t>saved for future use</t>
  </si>
  <si>
    <t>don't delete columns, as this will adversely affect linked tariff handbook and summaries</t>
  </si>
  <si>
    <t>saved for</t>
  </si>
  <si>
    <t>future use</t>
  </si>
  <si>
    <t>Basic Firm Non-Residential Sales Service</t>
  </si>
  <si>
    <t>Sales &amp; Transportation Service</t>
  </si>
  <si>
    <r>
      <t>Commercial:</t>
    </r>
    <r>
      <rPr>
        <sz val="10"/>
        <rFont val="Tahoma"/>
        <family val="2"/>
      </rPr>
      <t xml:space="preserve">  Rate per therm</t>
    </r>
  </si>
  <si>
    <r>
      <t>Industrial:</t>
    </r>
    <r>
      <rPr>
        <sz val="10"/>
        <rFont val="Tahoma"/>
        <family val="2"/>
      </rPr>
      <t xml:space="preserve">  Rate per therm</t>
    </r>
  </si>
  <si>
    <t>Excludes Temps</t>
  </si>
  <si>
    <t>Previous column</t>
  </si>
  <si>
    <t>less WACOG</t>
  </si>
  <si>
    <t>For 41+, excludes</t>
  </si>
  <si>
    <t>demand</t>
  </si>
  <si>
    <t>NCS check column</t>
  </si>
  <si>
    <t>sales</t>
  </si>
  <si>
    <t>trans</t>
  </si>
  <si>
    <t>margin</t>
  </si>
  <si>
    <t>Standby Charge (per therm of MHDV)*</t>
  </si>
  <si>
    <t>Pipeline Capacity Chg. (volumetric)</t>
  </si>
  <si>
    <t>Schedule 43-Firm/Interruptible</t>
  </si>
  <si>
    <t>Residential Sales Service</t>
  </si>
  <si>
    <t>Supplementary Meter Rental Rates</t>
  </si>
  <si>
    <t>Residential Heating Dry Out Service</t>
  </si>
  <si>
    <t>Interruptible Sales Service Storage Capacity MDDV</t>
  </si>
  <si>
    <t>MDDV Distribution Capacity Charge (Firm only)</t>
  </si>
  <si>
    <t>Commercial Volumetric Charges:</t>
  </si>
  <si>
    <t>Industrial Volumetric Charges:</t>
  </si>
  <si>
    <t>Commercial All therms</t>
  </si>
  <si>
    <t>Industrial All therms</t>
  </si>
  <si>
    <t>Commercial:</t>
  </si>
  <si>
    <t>Industrial:</t>
  </si>
  <si>
    <t>Distributed by:   NW Natural</t>
  </si>
  <si>
    <t>TERMINATED</t>
  </si>
  <si>
    <t>Rate Schedule 42/UG-080546</t>
  </si>
  <si>
    <t>Residential:  Per therm</t>
  </si>
  <si>
    <t>Commercial:  Per therm</t>
  </si>
  <si>
    <t xml:space="preserve">  Res'l Usage Charge (per therm):</t>
  </si>
  <si>
    <t xml:space="preserve">  Com'l Usage Charge (per therm):</t>
  </si>
  <si>
    <t>CANCELLED</t>
  </si>
  <si>
    <t>Note:  For PGA change to refer to average bill sheet</t>
  </si>
  <si>
    <t>Bill change per month for (typical) Schedule 42 sales service customer</t>
  </si>
  <si>
    <t>Winter Weighted Average Cost of Gas 2006-Present</t>
  </si>
  <si>
    <t>Annual Weighted Average Cost of Gas 1988-Present</t>
  </si>
  <si>
    <t>Summary of Adjustments to Rates and Changes in Prices and</t>
  </si>
  <si>
    <t xml:space="preserve">Schedule E Sales Service </t>
  </si>
  <si>
    <t>*</t>
  </si>
  <si>
    <t>*    For Schedule E Service Line and Main Extension Revenue Allowance calculations - Sales Service only.  For Transportation Service, use the Total Distribution Rate under column (f).</t>
  </si>
  <si>
    <t>**  Use only one</t>
  </si>
  <si>
    <t>Firm Distribution Capacity Chg. (MDDV)</t>
  </si>
  <si>
    <t>FIRM TRANSPORTATION SERVICE</t>
  </si>
  <si>
    <t>INTERRUPTIBLE TRANSPORTATION SERVICE</t>
  </si>
  <si>
    <t>SUMMARY OF ADJUSTMENTS TO RATES AND CHANGES IN PRICES AND REVENUES</t>
  </si>
  <si>
    <t>CHANGES IN PRICE:  SALES SERVICE</t>
  </si>
  <si>
    <t>ANNUAL WEIGHTED AVERAGE COST OF GAS</t>
  </si>
  <si>
    <t>WINTER WEIGHTED AVERAGE COST OF GAS</t>
  </si>
  <si>
    <t>2006-Present</t>
  </si>
  <si>
    <t>Page 7</t>
  </si>
  <si>
    <t>Residential:</t>
  </si>
  <si>
    <t>Firm:</t>
  </si>
  <si>
    <t>Interruptible:</t>
  </si>
  <si>
    <t>Export in from Washington Rate Development File:</t>
  </si>
  <si>
    <t>Oregon</t>
  </si>
  <si>
    <t>Base Rate</t>
  </si>
  <si>
    <t>Base Adj.</t>
  </si>
  <si>
    <t>Pipeline Capacity</t>
  </si>
  <si>
    <t>Commodity</t>
  </si>
  <si>
    <t>Temp. Adj.</t>
  </si>
  <si>
    <t>Customer Chg</t>
  </si>
  <si>
    <t>same</t>
  </si>
  <si>
    <t>31/41</t>
  </si>
  <si>
    <t>31CSF</t>
  </si>
  <si>
    <t>Cust Chg</t>
  </si>
  <si>
    <t>41CSF</t>
  </si>
  <si>
    <t>Pipe cap-vol</t>
  </si>
  <si>
    <t>Pipe cap-MDDV</t>
  </si>
  <si>
    <t>31CSI</t>
  </si>
  <si>
    <t>41CSI</t>
  </si>
  <si>
    <t>Pipe cap-int</t>
  </si>
  <si>
    <t>31CTF</t>
  </si>
  <si>
    <t>Cust chg</t>
  </si>
  <si>
    <t>41CTF</t>
  </si>
  <si>
    <t>Tpx chg</t>
  </si>
  <si>
    <t>n/a</t>
  </si>
  <si>
    <t>31ISF</t>
  </si>
  <si>
    <t>41ISF</t>
  </si>
  <si>
    <t>31ISI</t>
  </si>
  <si>
    <t>41ISI</t>
  </si>
  <si>
    <t>31ITF</t>
  </si>
  <si>
    <t>41ITF</t>
  </si>
  <si>
    <t>32/42</t>
  </si>
  <si>
    <t>32CSF/ISF</t>
  </si>
  <si>
    <t>42CSF/ISF</t>
  </si>
  <si>
    <t>32CSF</t>
  </si>
  <si>
    <t>42CSF</t>
  </si>
  <si>
    <t>32ISF</t>
  </si>
  <si>
    <t>42ISF</t>
  </si>
  <si>
    <t>Distrib Cap</t>
  </si>
  <si>
    <t>Storage Chg</t>
  </si>
  <si>
    <t>Pipeline Cap-vol</t>
  </si>
  <si>
    <t>Pipeline Cap-MDDV</t>
  </si>
  <si>
    <t>Pipeline Cap-Int.</t>
  </si>
  <si>
    <t>32CTF/ITF</t>
  </si>
  <si>
    <t>42CTF/ITF</t>
  </si>
  <si>
    <t>Transp chg</t>
  </si>
  <si>
    <t>32CTI/ITI</t>
  </si>
  <si>
    <t>42CTI/ITI</t>
  </si>
  <si>
    <t>I = (G*H*12)+F</t>
  </si>
  <si>
    <r>
      <t xml:space="preserve">** RS 3T service discontinued effective 8/18/06; </t>
    </r>
    <r>
      <rPr>
        <i/>
        <sz val="10"/>
        <rFont val="Tahoma"/>
        <family val="2"/>
      </rPr>
      <t>see,</t>
    </r>
    <r>
      <rPr>
        <sz val="10"/>
        <rFont val="Tahoma"/>
        <family val="2"/>
      </rPr>
      <t xml:space="preserve"> NWN Advice No. WUTC 06-4. **</t>
    </r>
  </si>
  <si>
    <t>Low Income Bill Pay Assistance (GREAT)</t>
  </si>
  <si>
    <t>Q</t>
  </si>
  <si>
    <t>Line 50</t>
  </si>
  <si>
    <t>Line 43</t>
  </si>
  <si>
    <t>Low Income Bill Pay Assist (GREAT)</t>
  </si>
  <si>
    <t>191 Commodity</t>
  </si>
  <si>
    <t>191 Pipeline</t>
  </si>
  <si>
    <t>Schedule 201</t>
  </si>
  <si>
    <t>Schedule 215</t>
  </si>
  <si>
    <t>Schedule 230</t>
  </si>
  <si>
    <t>Sched J: GREAT</t>
  </si>
  <si>
    <t>Sched I: WA-LIEE</t>
  </si>
  <si>
    <t>Sched G: EE Gen</t>
  </si>
  <si>
    <t>Schedule 220</t>
  </si>
  <si>
    <t>Mist Recall</t>
  </si>
  <si>
    <t>check</t>
  </si>
  <si>
    <t>column</t>
  </si>
  <si>
    <t>Summaries for linking to the tariff sheets:</t>
  </si>
  <si>
    <t>This is a perm</t>
  </si>
  <si>
    <t>not a temp</t>
  </si>
  <si>
    <t>Statement of RATES</t>
  </si>
  <si>
    <t>Schedule X</t>
  </si>
  <si>
    <t>Tariff Schedule Rates:</t>
  </si>
  <si>
    <t>Pipeline</t>
  </si>
  <si>
    <t>Capacity</t>
  </si>
  <si>
    <t>THIS SECTION IS FOR LINKING TO NWN TARIFF PAGES ONLY</t>
  </si>
  <si>
    <t>Column O</t>
  </si>
  <si>
    <t>Gas Cost File</t>
  </si>
  <si>
    <t>Column F - B</t>
  </si>
  <si>
    <t>Column G+H-C-D</t>
  </si>
  <si>
    <t>Column K - J</t>
  </si>
  <si>
    <t>From Effects file:</t>
  </si>
  <si>
    <t>ok</t>
  </si>
  <si>
    <r>
      <t xml:space="preserve">Industrial:                          </t>
    </r>
    <r>
      <rPr>
        <sz val="10"/>
        <rFont val="Tahoma"/>
        <family val="2"/>
      </rPr>
      <t>1st 10,000</t>
    </r>
  </si>
  <si>
    <t xml:space="preserve">  Next 800 CF/hr./mo. Capacity</t>
  </si>
  <si>
    <t>+minimum monthly rental charge</t>
  </si>
  <si>
    <t>HANDBOOK</t>
  </si>
  <si>
    <t>WA-LIEE</t>
  </si>
  <si>
    <t>41C Firm Sales</t>
  </si>
  <si>
    <t>41C Interr Sales</t>
  </si>
  <si>
    <t>41I Firm Sales</t>
  </si>
  <si>
    <t>41I Interr Sales</t>
  </si>
  <si>
    <t>42C Interr Sales</t>
  </si>
  <si>
    <t>42I Interr Sales</t>
  </si>
  <si>
    <t>R&amp;C Energy Efficiency Programs</t>
  </si>
  <si>
    <t>32CSI</t>
  </si>
  <si>
    <t>32ISI</t>
  </si>
  <si>
    <t>42CSI</t>
  </si>
  <si>
    <t>42ISI</t>
  </si>
  <si>
    <t>R&amp;C Energy Efficiency</t>
  </si>
  <si>
    <t>this is RS 215</t>
  </si>
  <si>
    <t>G=sum A thru F</t>
  </si>
  <si>
    <t>Line 37</t>
  </si>
  <si>
    <t>Line 39</t>
  </si>
  <si>
    <t>Column R</t>
  </si>
  <si>
    <t>Interruptible Forecasted Normalized Volumes</t>
  </si>
  <si>
    <r>
      <t>Commercial Firm Service</t>
    </r>
    <r>
      <rPr>
        <b/>
        <sz val="10"/>
        <rFont val="Arial"/>
        <family val="2"/>
      </rPr>
      <t>:</t>
    </r>
  </si>
  <si>
    <r>
      <t>Industrial Interruptible Service</t>
    </r>
    <r>
      <rPr>
        <b/>
        <sz val="10"/>
        <rFont val="Arial"/>
        <family val="2"/>
      </rPr>
      <t>:</t>
    </r>
  </si>
  <si>
    <t>Commercial Interruptible Service:</t>
  </si>
  <si>
    <t xml:space="preserve">Commercial:  First 2,000 </t>
  </si>
  <si>
    <t>Industrial:  First 2,000</t>
  </si>
  <si>
    <t>Industrial Firm Service:</t>
  </si>
  <si>
    <t xml:space="preserve">Current Residential Price Effective: </t>
  </si>
  <si>
    <r>
      <t xml:space="preserve">Commercial:                      </t>
    </r>
    <r>
      <rPr>
        <sz val="10"/>
        <rFont val="Tahoma"/>
        <family val="2"/>
      </rPr>
      <t>1</t>
    </r>
    <r>
      <rPr>
        <sz val="10"/>
        <rFont val="Tahoma"/>
        <family val="2"/>
      </rPr>
      <t>st 10,000</t>
    </r>
  </si>
  <si>
    <r>
      <rPr>
        <b/>
        <sz val="10"/>
        <rFont val="Tahoma"/>
        <family val="2"/>
      </rPr>
      <t>Commercial:</t>
    </r>
    <r>
      <rPr>
        <sz val="10"/>
        <rFont val="Tahoma"/>
        <family val="2"/>
      </rPr>
      <t xml:space="preserve">             </t>
    </r>
    <r>
      <rPr>
        <sz val="10"/>
        <rFont val="Tahoma"/>
        <family val="2"/>
      </rPr>
      <t>1st 2,000 therms</t>
    </r>
  </si>
  <si>
    <r>
      <rPr>
        <b/>
        <sz val="10"/>
        <rFont val="Tahoma"/>
        <family val="2"/>
      </rPr>
      <t>Industrial:</t>
    </r>
    <r>
      <rPr>
        <sz val="10"/>
        <rFont val="Tahoma"/>
        <family val="2"/>
      </rPr>
      <t xml:space="preserve">                1st 2,000 therms</t>
    </r>
  </si>
  <si>
    <t>SCHEDULE 1  GENERAL SALES SERVICE</t>
  </si>
  <si>
    <t>SCHEDULE 2  RESIDENTIAL SALES SERVICE</t>
  </si>
  <si>
    <t xml:space="preserve">SCHEDULE 3  BASIC FIRM SALES SERVICE: </t>
  </si>
  <si>
    <t>SCHEDULE 19  GAS LIGHT SERVICE - FROZEN</t>
  </si>
  <si>
    <r>
      <rPr>
        <b/>
        <sz val="10"/>
        <rFont val="Tahoma"/>
        <family val="2"/>
      </rPr>
      <t xml:space="preserve">Commercial:              </t>
    </r>
    <r>
      <rPr>
        <sz val="10"/>
        <rFont val="Tahoma"/>
        <family val="2"/>
      </rPr>
      <t>1st 2,000 therms</t>
    </r>
  </si>
  <si>
    <r>
      <rPr>
        <b/>
        <sz val="10"/>
        <rFont val="Tahoma"/>
        <family val="2"/>
      </rPr>
      <t>Commercial:</t>
    </r>
    <r>
      <rPr>
        <sz val="10"/>
        <rFont val="Tahoma"/>
        <family val="2"/>
      </rPr>
      <t xml:space="preserve">                                 </t>
    </r>
    <r>
      <rPr>
        <sz val="10"/>
        <rFont val="Tahoma"/>
        <family val="2"/>
      </rPr>
      <t>1st 10,000</t>
    </r>
  </si>
  <si>
    <t>New</t>
  </si>
  <si>
    <t>Net</t>
  </si>
  <si>
    <t xml:space="preserve">SCHEDULE 41:  NON-RESIDENTIAL FIRM TRANSPORTATION SERVICE: </t>
  </si>
  <si>
    <t>Financial Planning &amp; Analysis</t>
  </si>
  <si>
    <t>2010 Budget</t>
  </si>
  <si>
    <t>Margin Model</t>
  </si>
  <si>
    <t>GENERAL INPUTS RELATED TO RATE SCHEDULES AND RATES</t>
  </si>
  <si>
    <t>DETAIL</t>
  </si>
  <si>
    <t>Item:</t>
  </si>
  <si>
    <t>Margin Rate Excluding Temps</t>
  </si>
  <si>
    <t>COG &amp; Demand Deferral Temp</t>
  </si>
  <si>
    <t>Non COG &amp; Demand Deferral Temps</t>
  </si>
  <si>
    <t>Class Margin Rate for Decoupling</t>
  </si>
  <si>
    <t>MDDV Distribution Capacity &amp; Storage Charges</t>
  </si>
  <si>
    <t>MDDV Volumes</t>
  </si>
  <si>
    <t>Vols % Subject to Unbilled %</t>
  </si>
  <si>
    <t>Actual Unbilled Revenue</t>
  </si>
  <si>
    <t>Actual Unbilled Therms</t>
  </si>
  <si>
    <t>WACOG &amp; Demand Charge Excluding Rev Sens</t>
  </si>
  <si>
    <t>Used on Tab:</t>
  </si>
  <si>
    <t>revenue</t>
  </si>
  <si>
    <t>perm revenue</t>
  </si>
  <si>
    <t>Temp Com&amp;Dem</t>
  </si>
  <si>
    <t>Temp collection</t>
  </si>
  <si>
    <t>Decoupling</t>
  </si>
  <si>
    <t>MDDV Service Chg</t>
  </si>
  <si>
    <t>Unbilled Vols</t>
  </si>
  <si>
    <t>Unbilled Revs</t>
  </si>
  <si>
    <t>COG</t>
  </si>
  <si>
    <t>frequency of update</t>
  </si>
  <si>
    <t>rate case</t>
  </si>
  <si>
    <t>annually w/PGA</t>
  </si>
  <si>
    <t>occasional</t>
  </si>
  <si>
    <t>annual</t>
  </si>
  <si>
    <t>source</t>
  </si>
  <si>
    <t>tariff</t>
  </si>
  <si>
    <t>MAS forecast</t>
  </si>
  <si>
    <t>self forecast</t>
  </si>
  <si>
    <t>actuals</t>
  </si>
  <si>
    <t>DEC 09</t>
  </si>
  <si>
    <t>Commercial - 3</t>
  </si>
  <si>
    <t>31 CFS Block 1</t>
  </si>
  <si>
    <t>31 CFS Block 2</t>
  </si>
  <si>
    <t>Commercial - 31</t>
  </si>
  <si>
    <t>32 CFS Block 1</t>
  </si>
  <si>
    <t>32 CFS Block 2</t>
  </si>
  <si>
    <t>32 CFS Block 3</t>
  </si>
  <si>
    <t>32 CFS Block 4</t>
  </si>
  <si>
    <t>32 CFS Block 5</t>
  </si>
  <si>
    <t>32 CFS Block 6</t>
  </si>
  <si>
    <t>Commercial - 32</t>
  </si>
  <si>
    <t>Industrial - 3</t>
  </si>
  <si>
    <t>31 IFS Block 1</t>
  </si>
  <si>
    <t>31 IFS Block 2</t>
  </si>
  <si>
    <t>Industrial - 31</t>
  </si>
  <si>
    <t>32 IFS Block 1</t>
  </si>
  <si>
    <t>32 IFS Block 2</t>
  </si>
  <si>
    <t>32 IFS Block 3</t>
  </si>
  <si>
    <t>32 IFS Block 4</t>
  </si>
  <si>
    <t>32 IFS Block 5</t>
  </si>
  <si>
    <t>32 IFS Block 6</t>
  </si>
  <si>
    <t>Industrial - 32</t>
  </si>
  <si>
    <t>31 IIS Block 1</t>
  </si>
  <si>
    <t>31 IIS Block 2</t>
  </si>
  <si>
    <t>Interruptible - 31</t>
  </si>
  <si>
    <t>32 IIS Block 1</t>
  </si>
  <si>
    <t>32 IIS Block 2</t>
  </si>
  <si>
    <t>32 IIS Block 3</t>
  </si>
  <si>
    <t>32 IIS Block 4</t>
  </si>
  <si>
    <t>32 IIS Block 5</t>
  </si>
  <si>
    <t>32 IIS Block 6</t>
  </si>
  <si>
    <t>Interruptible - 32</t>
  </si>
  <si>
    <t>Transp</t>
  </si>
  <si>
    <t>32 CFT Block 1</t>
  </si>
  <si>
    <t>32 CFT Block 2</t>
  </si>
  <si>
    <t>32 CFT Block 3</t>
  </si>
  <si>
    <t>32 CFT Block 4</t>
  </si>
  <si>
    <t>32 CFT Block 5</t>
  </si>
  <si>
    <t>32 CFT Block 6</t>
  </si>
  <si>
    <t>31 IFT Block 1</t>
  </si>
  <si>
    <t>31 IFT Block 2</t>
  </si>
  <si>
    <t>Industrial Firm - 31</t>
  </si>
  <si>
    <t>32 IFT Block 1</t>
  </si>
  <si>
    <t>32 IFT Block 2</t>
  </si>
  <si>
    <t>32 IFT Block 3</t>
  </si>
  <si>
    <t>32 IFT Block 4</t>
  </si>
  <si>
    <t>32 IFT Block 5</t>
  </si>
  <si>
    <t>32 IFT Block 6</t>
  </si>
  <si>
    <t>Industrial Firm - 32</t>
  </si>
  <si>
    <t>32 IIT Block 1</t>
  </si>
  <si>
    <t>32 IIT Block 2</t>
  </si>
  <si>
    <t>32 IIT Block 3</t>
  </si>
  <si>
    <t>32 IIT Block 4</t>
  </si>
  <si>
    <t>32 IIT Block 5</t>
  </si>
  <si>
    <t>32 IIT Block 6</t>
  </si>
  <si>
    <t>Special Contracts FIRM</t>
  </si>
  <si>
    <t>Special Contracts INTERRUPTIBLE</t>
  </si>
  <si>
    <t>21 CFS Block 1</t>
  </si>
  <si>
    <t>21 CFS Block 2</t>
  </si>
  <si>
    <t>21 CFS Block 3</t>
  </si>
  <si>
    <t>21 CFS Block 4</t>
  </si>
  <si>
    <t>Commercial - 21</t>
  </si>
  <si>
    <t>41 CFS Block 1</t>
  </si>
  <si>
    <t>41 CFS Block 2</t>
  </si>
  <si>
    <t>Commercial - 41</t>
  </si>
  <si>
    <t>Commercial - 42</t>
  </si>
  <si>
    <t>Industrial Firm - 3</t>
  </si>
  <si>
    <t>21 IFS Block 1</t>
  </si>
  <si>
    <t>21 IFS Block 2</t>
  </si>
  <si>
    <t>21 IFS Block 3</t>
  </si>
  <si>
    <t>21 IFS Block 4</t>
  </si>
  <si>
    <t>Industrial Firm - 21</t>
  </si>
  <si>
    <t>41 IFS Block 1</t>
  </si>
  <si>
    <t>41 IFS Block 2</t>
  </si>
  <si>
    <t>Industrial Firm - 41</t>
  </si>
  <si>
    <t>Industrial Firm - 42</t>
  </si>
  <si>
    <t>41 IIS Block 1</t>
  </si>
  <si>
    <t>41 IIS Block 2</t>
  </si>
  <si>
    <t>Interruptible - 41</t>
  </si>
  <si>
    <t>42 IIS Block 1</t>
  </si>
  <si>
    <t>42 IIS Block 2</t>
  </si>
  <si>
    <t>42 IIS Block 3</t>
  </si>
  <si>
    <t>42 IIS Block 4</t>
  </si>
  <si>
    <t>42 IIS Block 5</t>
  </si>
  <si>
    <t>42 IIS Block 6</t>
  </si>
  <si>
    <t>Interruptible - 42</t>
  </si>
  <si>
    <t>41 IFT Block 1</t>
  </si>
  <si>
    <t>41 IFT Block 2</t>
  </si>
  <si>
    <t>42 IFT Block 1</t>
  </si>
  <si>
    <t>42 IFT Block 2</t>
  </si>
  <si>
    <t>42 IFT Block 3</t>
  </si>
  <si>
    <t>42 IFT Block 4</t>
  </si>
  <si>
    <t>42 IFT Block 5</t>
  </si>
  <si>
    <t>42 IFT Block 6</t>
  </si>
  <si>
    <t>42 IIT Block 1</t>
  </si>
  <si>
    <t>42 IIT Block 2</t>
  </si>
  <si>
    <t>42 IIT Block 3</t>
  </si>
  <si>
    <t>42 IIT Block 4</t>
  </si>
  <si>
    <t>42 IIT Block 5</t>
  </si>
  <si>
    <t>42 IIT Block 6</t>
  </si>
  <si>
    <t>SUMMARY- BY CLASS AND RATE SCHEDULE</t>
  </si>
  <si>
    <t>System</t>
  </si>
  <si>
    <t>Commercial - 31 / 41</t>
  </si>
  <si>
    <t>Commercial - 32 / 42</t>
  </si>
  <si>
    <t>Industrial Firm - 31 / 41</t>
  </si>
  <si>
    <t>Industrial Firm - 32 / 42</t>
  </si>
  <si>
    <t>Interruptible - 31 / 41</t>
  </si>
  <si>
    <t>Interruptible - 32 / 42</t>
  </si>
  <si>
    <t>SUMMARY - BY CLASS</t>
  </si>
  <si>
    <t>GRAND TOTAL</t>
  </si>
  <si>
    <t>Company Use</t>
  </si>
  <si>
    <t>Line Loss</t>
  </si>
  <si>
    <t>From WA FILE</t>
  </si>
  <si>
    <t>Temporaries Tab</t>
  </si>
  <si>
    <t>Column B</t>
  </si>
  <si>
    <t>Column C</t>
  </si>
  <si>
    <t>Column E</t>
  </si>
  <si>
    <t>S</t>
  </si>
  <si>
    <t>T</t>
  </si>
  <si>
    <t>U</t>
  </si>
  <si>
    <t>Column U</t>
  </si>
  <si>
    <t>Tariff Schedules:</t>
  </si>
  <si>
    <t>Schedule #</t>
  </si>
  <si>
    <t>Sched 220</t>
  </si>
  <si>
    <t>Sched 215</t>
  </si>
  <si>
    <t>Sched 230, Prg J</t>
  </si>
  <si>
    <t>Sched 230, Prg I</t>
  </si>
  <si>
    <t>Sched 201</t>
  </si>
  <si>
    <t>Line 31</t>
  </si>
  <si>
    <t>Line 33</t>
  </si>
  <si>
    <t>Line 35</t>
  </si>
  <si>
    <t>to all residential &amp; commercial sales</t>
  </si>
  <si>
    <t>Proposed Annual Sales WACOG:</t>
  </si>
  <si>
    <t>Proposed Winter Sales WACOG:</t>
  </si>
  <si>
    <t>I Firm</t>
  </si>
  <si>
    <t>C Firm</t>
  </si>
  <si>
    <t>Interr</t>
  </si>
  <si>
    <t>Prior year</t>
  </si>
  <si>
    <t>for bill impacts only</t>
  </si>
  <si>
    <t>copy from prior year</t>
  </si>
  <si>
    <t>PRIOR YEAR Temporaries</t>
  </si>
  <si>
    <t>Col A</t>
  </si>
  <si>
    <t>Add: Col E</t>
  </si>
  <si>
    <t>Less: Col E</t>
  </si>
  <si>
    <t>Normalized Sales Volumes</t>
  </si>
  <si>
    <r>
      <t>Commercial</t>
    </r>
    <r>
      <rPr>
        <sz val="11"/>
        <rFont val="Arial"/>
        <family val="2"/>
      </rPr>
      <t>:  Rate per therm</t>
    </r>
  </si>
  <si>
    <r>
      <t xml:space="preserve">Industrial:  </t>
    </r>
    <r>
      <rPr>
        <sz val="11"/>
        <rFont val="Arial"/>
        <family val="2"/>
      </rPr>
      <t>Rate per therm</t>
    </r>
  </si>
  <si>
    <t>The following changes to Washington rates have been filed with the Washington Utilities and Transportation Commission.  The purpose of the rate</t>
  </si>
  <si>
    <t xml:space="preserve">Temporary Adj. </t>
  </si>
  <si>
    <t>For CIS Entry</t>
  </si>
  <si>
    <t>(w/o Sch. 215)</t>
  </si>
  <si>
    <t>SCHEDULE 27  RESIDENTIAL HEATING
DRY-OUT SERVICE</t>
  </si>
  <si>
    <t>Residential Heating Dry-Out Service</t>
  </si>
  <si>
    <t>Cancelled</t>
  </si>
  <si>
    <t>November 22, 1977</t>
  </si>
  <si>
    <t>[1]  Company's Winter Weighted Average Cost of Gas (WACOG) filed under Tariffs WN U-5 and WN U-6, Schedule P.</t>
  </si>
  <si>
    <t>1995 - 2004</t>
  </si>
  <si>
    <t>1988 - 2007</t>
  </si>
  <si>
    <t>(Monthly Billing Rates, 2004 to 2009)</t>
  </si>
  <si>
    <t>(Monthly Billing Rates, 2002 to 2009)</t>
  </si>
  <si>
    <t>Proposed Firm Demand Per Therm 2/</t>
  </si>
  <si>
    <t>Proposed Interruptible Demand 2/</t>
  </si>
  <si>
    <t>Proposed MDDV Demand Charge</t>
  </si>
  <si>
    <t>Current Firm Demand Per Therm</t>
  </si>
  <si>
    <t>Current Interruptible Demand</t>
  </si>
  <si>
    <t>Current MDDV Demand Charge</t>
  </si>
  <si>
    <t>This section used to test Dec 2012 forecast 12-18-12</t>
  </si>
  <si>
    <t>Tualatin Property Gain</t>
  </si>
  <si>
    <t>All sales</t>
  </si>
  <si>
    <t>All firm sales</t>
  </si>
  <si>
    <t>All interruptible sales</t>
  </si>
  <si>
    <t>All Residential and Commercial sales</t>
  </si>
  <si>
    <t>J = I - A</t>
  </si>
  <si>
    <t>Column I</t>
  </si>
  <si>
    <t>Dollars</t>
  </si>
  <si>
    <t>Total Proposed Temporaries</t>
  </si>
  <si>
    <t>Schedule 210</t>
  </si>
  <si>
    <t>R&amp;C EE Total</t>
  </si>
  <si>
    <t>Column N</t>
  </si>
  <si>
    <t>186 NET - Combined</t>
  </si>
  <si>
    <t>Total Temps - Combined</t>
  </si>
  <si>
    <t>Schedule 201 - No EE</t>
  </si>
  <si>
    <t>186 NET - No EE</t>
  </si>
  <si>
    <t>Total Temps - No EE</t>
  </si>
  <si>
    <t>General Service - Residential</t>
  </si>
  <si>
    <t>186 Adjustment</t>
  </si>
  <si>
    <t>for CIS Entry</t>
  </si>
  <si>
    <t xml:space="preserve">    For more information, contact Rates &amp; Regulatory Affairs, extension 3589 or 2452.</t>
  </si>
  <si>
    <t xml:space="preserve">Average Bill </t>
  </si>
  <si>
    <t>Rates [2]</t>
  </si>
  <si>
    <r>
      <t xml:space="preserve">SUMMARY OF MONTHLY </t>
    </r>
    <r>
      <rPr>
        <b/>
        <u/>
        <sz val="16"/>
        <rFont val="Arial"/>
        <family val="2"/>
      </rPr>
      <t xml:space="preserve">TRANSPORTATION SERVICE
</t>
    </r>
    <r>
      <rPr>
        <b/>
        <sz val="16"/>
        <rFont val="Arial"/>
        <family val="2"/>
      </rPr>
      <t xml:space="preserve">BILLING RATES </t>
    </r>
  </si>
  <si>
    <t>G=D+E+F</t>
  </si>
  <si>
    <t>H=D+(C * G)</t>
  </si>
  <si>
    <t>For Tariff Advice 1X-X only</t>
  </si>
  <si>
    <t>L=(K - F)/F</t>
  </si>
  <si>
    <t>K=D+(C * J)</t>
  </si>
  <si>
    <t xml:space="preserve">U </t>
  </si>
  <si>
    <t>V</t>
  </si>
  <si>
    <t>Total Net Temporary Adjustments</t>
  </si>
  <si>
    <t>R&amp;C Energy Eff.</t>
  </si>
  <si>
    <t>R&amp;C EE</t>
  </si>
  <si>
    <t>WA-LIEE and GREAT</t>
  </si>
  <si>
    <t>Schedule 201 &amp; 203</t>
  </si>
  <si>
    <t>Amortization of PGA and Deferred Gas Costs</t>
  </si>
  <si>
    <t>GREAT &amp; LIEE</t>
  </si>
  <si>
    <t>K= D+(C*J)</t>
  </si>
  <si>
    <t>E=B+C+D</t>
  </si>
  <si>
    <t>Total Proposed PGA Temporaries</t>
  </si>
  <si>
    <t>Net Effect of PGA Temps</t>
  </si>
  <si>
    <t>F=E-A</t>
  </si>
  <si>
    <t>PGA Current Temporaries</t>
  </si>
  <si>
    <t>H=sum B thru G</t>
  </si>
  <si>
    <t xml:space="preserve">[1] Rate Schedule 41 and 42 customers may choose demand charges at a volumetric rate or based on MDDV. </t>
  </si>
  <si>
    <t>HOLDING SPOT FOR NEW TEMPS/PERMS</t>
  </si>
  <si>
    <t xml:space="preserve">    NOTE:  Not all rate schedules are listed.</t>
  </si>
  <si>
    <t>PURCHASED GAS COST ADJUSTMENTS</t>
  </si>
  <si>
    <t>(H-M+I+J+L)</t>
  </si>
  <si>
    <t>CIS ENTRY Acct 191 Commodity adjustment only</t>
  </si>
  <si>
    <t>(excludes customer charge)</t>
  </si>
  <si>
    <t xml:space="preserve">   Revenues Effective November 1, 2015</t>
  </si>
  <si>
    <t>;</t>
  </si>
  <si>
    <t xml:space="preserve">[2] Proposed rates include the effect of removing the current Schedule 215 adjustment and applying the proposed Schedule 215 adjustment.  The rate shown is for illustrative purposes only and assumes no other changes to rates occur November 1.   </t>
  </si>
  <si>
    <t>E = B+C+D</t>
  </si>
  <si>
    <t>F = E-A</t>
  </si>
  <si>
    <t xml:space="preserve">Hold for </t>
  </si>
  <si>
    <t>Permanent</t>
  </si>
  <si>
    <t>Hold for</t>
  </si>
  <si>
    <t>L=I-J+K</t>
  </si>
  <si>
    <t>Total Temps less EE</t>
  </si>
  <si>
    <t>Non-Gas Cost less EE</t>
  </si>
  <si>
    <t>151 - 800 cf/hr. capacity</t>
  </si>
  <si>
    <t>HoldCo Credit</t>
  </si>
  <si>
    <t>HoldCo</t>
  </si>
  <si>
    <t>All Customers</t>
  </si>
  <si>
    <t>N = D+(C*M)</t>
  </si>
  <si>
    <t>Q=D+(C*P)</t>
  </si>
  <si>
    <t>T=D+(C * S)</t>
  </si>
  <si>
    <t>U=(T - F)/F</t>
  </si>
  <si>
    <t>Effective 11/01/18</t>
  </si>
  <si>
    <t>Holding Company Credit</t>
  </si>
  <si>
    <t>Per Stipulated Condition 35 in Order No. 01 in UG-170094</t>
  </si>
  <si>
    <t>Total Permanent Rate Adjustments</t>
  </si>
  <si>
    <t>Residential Customers</t>
  </si>
  <si>
    <t>Commercial Customers</t>
  </si>
  <si>
    <t>Industrial Customers</t>
  </si>
  <si>
    <t>Sched 209</t>
  </si>
  <si>
    <t>Line 41</t>
  </si>
  <si>
    <t>NWN WUTC Advice No. 18-07</t>
  </si>
  <si>
    <r>
      <rPr>
        <b/>
        <sz val="10"/>
        <rFont val="Tahoma"/>
        <family val="2"/>
      </rPr>
      <t>Industrial:</t>
    </r>
    <r>
      <rPr>
        <sz val="10"/>
        <rFont val="Tahoma"/>
        <family val="2"/>
      </rPr>
      <t xml:space="preserve">                                    1st 10,000</t>
    </r>
  </si>
  <si>
    <t>2019-2020 PGA Filing - Washington: September Filing</t>
  </si>
  <si>
    <t>2018-19 PGA</t>
  </si>
  <si>
    <t>18-19 PGA</t>
  </si>
  <si>
    <t>June 19 Volumes</t>
  </si>
  <si>
    <t>NWN 2019-20 PGA gas cost file September filing.xls</t>
  </si>
  <si>
    <t>2018 GRC</t>
  </si>
  <si>
    <t>2019-20  PGA Forecast.xlsx</t>
  </si>
  <si>
    <t>Effective 11/01/19</t>
  </si>
  <si>
    <t>RATE CHANGES PROPOSED TO BECOME EFFECTIVE:  November 01, 2019</t>
  </si>
  <si>
    <t>change is to pass through (1) the cost of gas purchased from suppliers; (2) costs associated with low-income energy assistance and energy efficiency programs; and (3) remove temporary adjustments placed into effect on November 1, 2018.  These rate changes will become effective 11/01/2019.</t>
  </si>
  <si>
    <t>Issued September 13, 2019</t>
  </si>
  <si>
    <t>Revised: 9-27-2019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</si>
</sst>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0.00_);\(0.00\)"/>
    <numFmt numFmtId="165" formatCode="_(* #,##0.0_);_(* \(#,##0.0\);_(* &quot;-&quot;??_);_(@_)"/>
    <numFmt numFmtId="166" formatCode="0.0%"/>
    <numFmt numFmtId="167" formatCode="_(* #,##0_);_(* \(#,##0\);_(* &quot;-&quot;??_);_(@_)"/>
    <numFmt numFmtId="168" formatCode="&quot;$&quot;#,##0.00000_);\(&quot;$&quot;#,##0.00000\)"/>
    <numFmt numFmtId="169" formatCode="0.000%"/>
    <numFmt numFmtId="170" formatCode="#,##0.0_);\(#,##0.0\)"/>
    <numFmt numFmtId="171" formatCode="#,##0.00000_);\(#,##0.00000\)"/>
    <numFmt numFmtId="172" formatCode="&quot;$&quot;#,##0.00000"/>
    <numFmt numFmtId="173" formatCode="&quot;$&quot;#,##0.00"/>
    <numFmt numFmtId="174" formatCode="mmmm\ d\,\ yyyy"/>
    <numFmt numFmtId="175" formatCode="dd\-mmm\-yy"/>
    <numFmt numFmtId="176" formatCode="&quot;$&quot;#,##0.0000"/>
    <numFmt numFmtId="177" formatCode="#,##0.00000"/>
    <numFmt numFmtId="178" formatCode="&quot;$&quot;#,##0.0"/>
    <numFmt numFmtId="179" formatCode="mm/dd/yy"/>
    <numFmt numFmtId="180" formatCode="&quot;$&quot;#,##0.00000_);[Red]\(&quot;$&quot;#,##0.00000\)"/>
    <numFmt numFmtId="181" formatCode="#,##0.0"/>
    <numFmt numFmtId="182" formatCode="_(&quot;$&quot;* #,##0.00000_);_(&quot;$&quot;* \(#,##0.00000\);_(&quot;$&quot;* &quot;-&quot;?????_);_(@_)"/>
    <numFmt numFmtId="183" formatCode="mm/dd/yy;@"/>
    <numFmt numFmtId="184" formatCode="m/d/yy;@"/>
    <numFmt numFmtId="185" formatCode="_-* #,##0.00\ _D_M_-;\-* #,##0.00\ _D_M_-;_-* &quot;-&quot;??\ _D_M_-;_-@_-"/>
    <numFmt numFmtId="186" formatCode="&quot;$&quot;#,##0"/>
    <numFmt numFmtId="187" formatCode="[$-409]mmmm\ d\,\ yyyy;@"/>
    <numFmt numFmtId="188" formatCode="_-* #,##0.00\ &quot;DM&quot;_-;\-* #,##0.00\ &quot;DM&quot;_-;_-* &quot;-&quot;??\ &quot;DM&quot;_-;_-@_-"/>
    <numFmt numFmtId="189" formatCode="#.00"/>
    <numFmt numFmtId="190" formatCode="#,##0_);\-#,##0_);\-_)"/>
    <numFmt numFmtId="191" formatCode="#,##0.00_);\-#,##0.00_);\-_)"/>
    <numFmt numFmtId="192" formatCode="#,##0.0_);\-#,##0.0_);\-_)"/>
    <numFmt numFmtId="193" formatCode="[$-409]m/d/yy\ h:mm\ AM/PM;@"/>
    <numFmt numFmtId="194" formatCode="&quot;$&quot;#,##0.000000"/>
    <numFmt numFmtId="195" formatCode="0.00000"/>
    <numFmt numFmtId="196" formatCode="mm/dd/yyyy"/>
    <numFmt numFmtId="197" formatCode="_(* #,##0.0000_);_(* \(#,##0.0000\);_(* &quot;-&quot;??_);_(@_)"/>
    <numFmt numFmtId="198" formatCode="_(* #,##0.00000_);_(* \(#,##0.00000\);_(* &quot;-&quot;??_);_(@_)"/>
    <numFmt numFmtId="199" formatCode="&quot;$&quot;#,##0.000"/>
    <numFmt numFmtId="200" formatCode="&quot;$&quot;#,##0.0000_);\(&quot;$&quot;#,##0.0000\)"/>
  </numFmts>
  <fonts count="126" x14ac:knownFonts="1">
    <font>
      <sz val="10"/>
      <name val="Times New Roman"/>
    </font>
    <font>
      <sz val="10"/>
      <name val="Times New Roman"/>
      <family val="1"/>
    </font>
    <font>
      <sz val="8"/>
      <name val="Times New Roman"/>
      <family val="1"/>
    </font>
    <font>
      <sz val="10"/>
      <name val="Arial"/>
      <family val="2"/>
    </font>
    <font>
      <b/>
      <sz val="10"/>
      <name val="Arial"/>
      <family val="2"/>
    </font>
    <font>
      <b/>
      <u/>
      <sz val="10"/>
      <name val="Arial"/>
      <family val="2"/>
    </font>
    <font>
      <b/>
      <sz val="9"/>
      <name val="Arial"/>
      <family val="2"/>
    </font>
    <font>
      <u/>
      <sz val="10"/>
      <name val="Arial"/>
      <family val="2"/>
    </font>
    <font>
      <sz val="9"/>
      <name val="Arial"/>
      <family val="2"/>
    </font>
    <font>
      <b/>
      <sz val="12"/>
      <name val="Arial"/>
      <family val="2"/>
    </font>
    <font>
      <sz val="10"/>
      <name val="Arial"/>
      <family val="2"/>
    </font>
    <font>
      <sz val="10"/>
      <name val="Arial"/>
      <family val="2"/>
    </font>
    <font>
      <sz val="8"/>
      <name val="Arial"/>
      <family val="2"/>
    </font>
    <font>
      <b/>
      <sz val="20"/>
      <name val="Comic Sans MS"/>
      <family val="4"/>
    </font>
    <font>
      <sz val="20"/>
      <name val="Comic Sans MS"/>
      <family val="4"/>
    </font>
    <font>
      <b/>
      <sz val="26"/>
      <color indexed="63"/>
      <name val="Comic Sans MS"/>
      <family val="4"/>
    </font>
    <font>
      <b/>
      <sz val="20"/>
      <name val="Arial"/>
      <family val="2"/>
    </font>
    <font>
      <sz val="18"/>
      <color indexed="45"/>
      <name val="Comic Sans MS"/>
      <family val="4"/>
    </font>
    <font>
      <sz val="26"/>
      <name val="Comic Sans MS"/>
      <family val="4"/>
    </font>
    <font>
      <b/>
      <sz val="16"/>
      <name val="Arial"/>
      <family val="2"/>
    </font>
    <font>
      <b/>
      <i/>
      <sz val="14"/>
      <name val="Arial"/>
      <family val="2"/>
    </font>
    <font>
      <sz val="12"/>
      <name val="Arial"/>
      <family val="2"/>
    </font>
    <font>
      <sz val="16"/>
      <name val="Arial"/>
      <family val="2"/>
    </font>
    <font>
      <sz val="14"/>
      <name val="Arial"/>
      <family val="2"/>
    </font>
    <font>
      <b/>
      <i/>
      <sz val="16"/>
      <name val="Arial"/>
      <family val="2"/>
    </font>
    <font>
      <sz val="10"/>
      <name val="Arial"/>
      <family val="2"/>
    </font>
    <font>
      <sz val="12"/>
      <name val="Arial"/>
      <family val="2"/>
    </font>
    <font>
      <sz val="9"/>
      <name val="Arial"/>
      <family val="2"/>
    </font>
    <font>
      <i/>
      <sz val="10"/>
      <name val="Arial"/>
      <family val="2"/>
    </font>
    <font>
      <sz val="8"/>
      <name val="Arial"/>
      <family val="2"/>
    </font>
    <font>
      <b/>
      <u/>
      <sz val="16"/>
      <name val="Arial"/>
      <family val="2"/>
    </font>
    <font>
      <sz val="72"/>
      <name val="Arial"/>
      <family val="2"/>
    </font>
    <font>
      <b/>
      <sz val="10"/>
      <color indexed="48"/>
      <name val="Arial"/>
      <family val="2"/>
    </font>
    <font>
      <sz val="10"/>
      <color indexed="48"/>
      <name val="Arial"/>
      <family val="2"/>
    </font>
    <font>
      <u/>
      <sz val="10"/>
      <name val="Arial"/>
      <family val="2"/>
    </font>
    <font>
      <sz val="16"/>
      <name val="Arial"/>
      <family val="2"/>
    </font>
    <font>
      <sz val="30"/>
      <name val="Arial"/>
      <family val="2"/>
    </font>
    <font>
      <sz val="36"/>
      <name val="Arial"/>
      <family val="2"/>
    </font>
    <font>
      <b/>
      <sz val="14"/>
      <name val="Arial"/>
      <family val="2"/>
    </font>
    <font>
      <b/>
      <sz val="15"/>
      <name val="Arial"/>
      <family val="2"/>
    </font>
    <font>
      <b/>
      <sz val="18"/>
      <name val="Arial"/>
      <family val="2"/>
    </font>
    <font>
      <sz val="18"/>
      <name val="Arial"/>
      <family val="2"/>
    </font>
    <font>
      <u/>
      <sz val="12"/>
      <name val="Arial"/>
      <family val="2"/>
    </font>
    <font>
      <sz val="12"/>
      <name val="Arial"/>
      <family val="2"/>
    </font>
    <font>
      <sz val="14"/>
      <name val="Arial"/>
      <family val="2"/>
    </font>
    <font>
      <sz val="20"/>
      <name val="Arial"/>
      <family val="2"/>
    </font>
    <font>
      <i/>
      <sz val="20"/>
      <name val="Arial"/>
      <family val="2"/>
    </font>
    <font>
      <sz val="11"/>
      <name val="Arial"/>
      <family val="2"/>
    </font>
    <font>
      <sz val="20"/>
      <name val="Arial"/>
      <family val="2"/>
    </font>
    <font>
      <i/>
      <sz val="18"/>
      <name val="Arial"/>
      <family val="2"/>
    </font>
    <font>
      <sz val="16"/>
      <name val="Arial"/>
      <family val="2"/>
    </font>
    <font>
      <b/>
      <sz val="11"/>
      <name val="Tahoma"/>
      <family val="2"/>
    </font>
    <font>
      <sz val="10"/>
      <name val="Tahoma"/>
      <family val="2"/>
    </font>
    <font>
      <sz val="8"/>
      <name val="Tahoma"/>
      <family val="2"/>
    </font>
    <font>
      <b/>
      <sz val="10"/>
      <name val="Tahoma"/>
      <family val="2"/>
    </font>
    <font>
      <sz val="9"/>
      <name val="Tahoma"/>
      <family val="2"/>
    </font>
    <font>
      <b/>
      <u/>
      <sz val="10"/>
      <name val="Tahoma"/>
      <family val="2"/>
    </font>
    <font>
      <u/>
      <sz val="14"/>
      <name val="Arial"/>
      <family val="2"/>
    </font>
    <font>
      <sz val="10"/>
      <color indexed="12"/>
      <name val="Tahoma"/>
      <family val="2"/>
    </font>
    <font>
      <b/>
      <sz val="10"/>
      <color indexed="12"/>
      <name val="Tahoma"/>
      <family val="2"/>
    </font>
    <font>
      <sz val="8"/>
      <color indexed="12"/>
      <name val="Tahoma"/>
      <family val="2"/>
    </font>
    <font>
      <sz val="11"/>
      <name val="Tahoma"/>
      <family val="2"/>
    </font>
    <font>
      <b/>
      <sz val="9"/>
      <name val="Tahoma"/>
      <family val="2"/>
    </font>
    <font>
      <b/>
      <sz val="12"/>
      <color indexed="12"/>
      <name val="Tahoma"/>
      <family val="2"/>
    </font>
    <font>
      <b/>
      <sz val="11"/>
      <color indexed="12"/>
      <name val="Tahoma"/>
      <family val="2"/>
    </font>
    <font>
      <b/>
      <sz val="12"/>
      <name val="Tahoma"/>
      <family val="2"/>
    </font>
    <font>
      <sz val="9"/>
      <color indexed="12"/>
      <name val="Tahoma"/>
      <family val="2"/>
    </font>
    <font>
      <b/>
      <sz val="10"/>
      <color indexed="10"/>
      <name val="Tahoma"/>
      <family val="2"/>
    </font>
    <font>
      <u/>
      <sz val="10"/>
      <name val="Tahoma"/>
      <family val="2"/>
    </font>
    <font>
      <sz val="10"/>
      <name val="Tahoma"/>
      <family val="2"/>
    </font>
    <font>
      <b/>
      <sz val="16"/>
      <name val="Tahoma"/>
      <family val="2"/>
    </font>
    <font>
      <sz val="16"/>
      <name val="Tahoma"/>
      <family val="2"/>
    </font>
    <font>
      <sz val="48"/>
      <name val="Tahoma"/>
      <family val="2"/>
    </font>
    <font>
      <sz val="12"/>
      <name val="Tahoma"/>
      <family val="2"/>
    </font>
    <font>
      <sz val="10"/>
      <color indexed="12"/>
      <name val="Tahoma"/>
      <family val="2"/>
    </font>
    <font>
      <b/>
      <sz val="36"/>
      <color indexed="14"/>
      <name val="Comic Sans MS"/>
      <family val="4"/>
    </font>
    <font>
      <b/>
      <sz val="16"/>
      <name val="Comic Sans MS"/>
      <family val="4"/>
    </font>
    <font>
      <b/>
      <sz val="14"/>
      <name val="Comic Sans MS"/>
      <family val="4"/>
    </font>
    <font>
      <b/>
      <sz val="10"/>
      <color indexed="48"/>
      <name val="Tahoma"/>
      <family val="2"/>
    </font>
    <font>
      <b/>
      <sz val="10"/>
      <color indexed="10"/>
      <name val="Arial"/>
      <family val="2"/>
    </font>
    <font>
      <sz val="10"/>
      <name val="Tahoma"/>
      <family val="2"/>
    </font>
    <font>
      <b/>
      <i/>
      <sz val="12"/>
      <name val="Tahoma"/>
      <family val="2"/>
    </font>
    <font>
      <sz val="10"/>
      <color indexed="8"/>
      <name val="Tahoma"/>
      <family val="2"/>
    </font>
    <font>
      <sz val="10"/>
      <color indexed="8"/>
      <name val="Tahoma"/>
      <family val="2"/>
    </font>
    <font>
      <b/>
      <sz val="10"/>
      <color indexed="10"/>
      <name val="Tahoma"/>
      <family val="2"/>
    </font>
    <font>
      <i/>
      <sz val="18"/>
      <name val="Tahoma"/>
      <family val="2"/>
    </font>
    <font>
      <i/>
      <sz val="10"/>
      <name val="Tahoma"/>
      <family val="2"/>
    </font>
    <font>
      <b/>
      <sz val="9"/>
      <color indexed="10"/>
      <name val="Tahoma"/>
      <family val="2"/>
    </font>
    <font>
      <sz val="11"/>
      <name val="Arial"/>
      <family val="2"/>
    </font>
    <font>
      <sz val="11"/>
      <name val="Arial"/>
      <family val="2"/>
    </font>
    <font>
      <b/>
      <sz val="11"/>
      <name val="Arial"/>
      <family val="2"/>
    </font>
    <font>
      <b/>
      <sz val="8"/>
      <name val="Tahoma"/>
      <family val="2"/>
    </font>
    <font>
      <sz val="10"/>
      <name val="Arial"/>
      <family val="2"/>
    </font>
    <font>
      <sz val="10"/>
      <color rgb="FF0000FF"/>
      <name val="Tahoma"/>
      <family val="2"/>
    </font>
    <font>
      <sz val="9"/>
      <color rgb="FF0000FF"/>
      <name val="Tahoma"/>
      <family val="2"/>
    </font>
    <font>
      <b/>
      <sz val="13"/>
      <name val="Arial"/>
      <family val="2"/>
    </font>
    <font>
      <sz val="13"/>
      <name val="Arial"/>
      <family val="2"/>
    </font>
    <font>
      <sz val="10"/>
      <color indexed="12"/>
      <name val="Arial"/>
      <family val="2"/>
    </font>
    <font>
      <sz val="11"/>
      <color indexed="8"/>
      <name val="Calibri"/>
      <family val="2"/>
    </font>
    <font>
      <sz val="11"/>
      <color indexed="9"/>
      <name val="Calibri"/>
      <family val="2"/>
    </font>
    <font>
      <b/>
      <sz val="9"/>
      <color indexed="18"/>
      <name val="Arial"/>
      <family val="2"/>
    </font>
    <font>
      <sz val="10"/>
      <name val="MS Sans Serif"/>
      <family val="2"/>
    </font>
    <font>
      <b/>
      <sz val="14"/>
      <color indexed="8"/>
      <name val="Arial"/>
      <family val="2"/>
    </font>
    <font>
      <b/>
      <sz val="11"/>
      <color indexed="8"/>
      <name val="Calibri"/>
      <family val="2"/>
    </font>
    <font>
      <sz val="1"/>
      <color indexed="8"/>
      <name val="Courier"/>
      <family val="3"/>
    </font>
    <font>
      <b/>
      <sz val="1"/>
      <color indexed="8"/>
      <name val="Courier"/>
      <family val="3"/>
    </font>
    <font>
      <b/>
      <sz val="8"/>
      <color indexed="18"/>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18"/>
      <name val="Arial"/>
      <family val="2"/>
    </font>
    <font>
      <sz val="9"/>
      <color indexed="29"/>
      <name val="Arial"/>
      <family val="2"/>
    </font>
    <font>
      <b/>
      <sz val="9"/>
      <color indexed="29"/>
      <name val="Arial"/>
      <family val="2"/>
    </font>
    <font>
      <sz val="8"/>
      <color indexed="12"/>
      <name val="Arial"/>
      <family val="2"/>
    </font>
    <font>
      <i/>
      <sz val="11"/>
      <name val="Arial"/>
      <family val="2"/>
    </font>
    <font>
      <b/>
      <u/>
      <sz val="11"/>
      <name val="Arial"/>
      <family val="2"/>
    </font>
    <font>
      <b/>
      <sz val="10"/>
      <color rgb="FFFF0000"/>
      <name val="Arial"/>
      <family val="2"/>
    </font>
    <font>
      <sz val="10"/>
      <color rgb="FFFF0000"/>
      <name val="Tahoma"/>
      <family val="2"/>
    </font>
    <font>
      <u/>
      <sz val="10"/>
      <color rgb="FF0000FF"/>
      <name val="Tahoma"/>
      <family val="2"/>
    </font>
    <font>
      <sz val="10"/>
      <color rgb="FF0000FF"/>
      <name val="Arial"/>
      <family val="2"/>
    </font>
    <font>
      <b/>
      <sz val="10"/>
      <color rgb="FF0000FF"/>
      <name val="Tahoma"/>
      <family val="2"/>
    </font>
  </fonts>
  <fills count="5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lightGray">
        <fgColor indexed="22"/>
        <bgColor indexed="22"/>
      </patternFill>
    </fill>
    <fill>
      <patternFill patternType="solid">
        <fgColor indexed="22"/>
        <bgColor indexed="24"/>
      </patternFill>
    </fill>
    <fill>
      <patternFill patternType="solid">
        <fgColor indexed="22"/>
        <bgColor indexed="25"/>
      </patternFill>
    </fill>
    <fill>
      <patternFill patternType="solid">
        <fgColor indexed="31"/>
        <bgColor indexed="64"/>
      </patternFill>
    </fill>
    <fill>
      <patternFill patternType="solid">
        <fgColor indexed="44"/>
        <bgColor indexed="64"/>
      </patternFill>
    </fill>
    <fill>
      <patternFill patternType="solid">
        <fgColor rgb="FFFFFF99"/>
        <bgColor indexed="64"/>
      </patternFill>
    </fill>
    <fill>
      <patternFill patternType="solid">
        <fgColor indexed="45"/>
        <bgColor indexed="64"/>
      </patternFill>
    </fill>
    <fill>
      <patternFill patternType="solid">
        <fgColor theme="3" tint="0.79998168889431442"/>
        <bgColor indexed="64"/>
      </patternFill>
    </fill>
    <fill>
      <patternFill patternType="solid">
        <fgColor indexed="47"/>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2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FFCD2D"/>
        <bgColor indexed="64"/>
      </patternFill>
    </fill>
    <fill>
      <patternFill patternType="solid">
        <fgColor rgb="FFFF0000"/>
        <bgColor indexed="64"/>
      </patternFill>
    </fill>
    <fill>
      <patternFill patternType="solid">
        <fgColor rgb="FFF0B8B7"/>
        <bgColor indexed="64"/>
      </patternFill>
    </fill>
  </fills>
  <borders count="108">
    <border>
      <left/>
      <right/>
      <top/>
      <bottom/>
      <diagonal/>
    </border>
    <border>
      <left style="thin">
        <color indexed="22"/>
      </left>
      <right style="thin">
        <color indexed="22"/>
      </right>
      <top style="thin">
        <color indexed="22"/>
      </top>
      <bottom style="thin">
        <color indexed="22"/>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22"/>
      </left>
      <right style="thin">
        <color indexed="22"/>
      </right>
      <top style="thin">
        <color indexed="22"/>
      </top>
      <bottom/>
      <diagonal/>
    </border>
    <border>
      <left style="thin">
        <color indexed="22"/>
      </left>
      <right/>
      <top/>
      <bottom/>
      <diagonal/>
    </border>
    <border>
      <left/>
      <right style="thin">
        <color indexed="22"/>
      </right>
      <top/>
      <bottom/>
      <diagonal/>
    </border>
    <border>
      <left style="thick">
        <color indexed="8"/>
      </left>
      <right style="thin">
        <color indexed="22"/>
      </right>
      <top style="thick">
        <color indexed="8"/>
      </top>
      <bottom style="thin">
        <color indexed="22"/>
      </bottom>
      <diagonal/>
    </border>
    <border>
      <left style="thin">
        <color indexed="22"/>
      </left>
      <right style="thin">
        <color indexed="22"/>
      </right>
      <top style="thick">
        <color indexed="8"/>
      </top>
      <bottom style="thin">
        <color indexed="22"/>
      </bottom>
      <diagonal/>
    </border>
    <border>
      <left style="thin">
        <color indexed="22"/>
      </left>
      <right style="thick">
        <color indexed="8"/>
      </right>
      <top style="thick">
        <color indexed="8"/>
      </top>
      <bottom style="thin">
        <color indexed="22"/>
      </bottom>
      <diagonal/>
    </border>
    <border>
      <left/>
      <right/>
      <top style="thick">
        <color indexed="8"/>
      </top>
      <bottom style="thin">
        <color indexed="22"/>
      </bottom>
      <diagonal/>
    </border>
    <border>
      <left/>
      <right style="thin">
        <color indexed="22"/>
      </right>
      <top style="thick">
        <color indexed="8"/>
      </top>
      <bottom style="thin">
        <color indexed="22"/>
      </bottom>
      <diagonal/>
    </border>
    <border>
      <left style="thick">
        <color indexed="8"/>
      </left>
      <right style="thin">
        <color indexed="22"/>
      </right>
      <top style="thin">
        <color indexed="22"/>
      </top>
      <bottom style="thin">
        <color indexed="22"/>
      </bottom>
      <diagonal/>
    </border>
    <border>
      <left style="thin">
        <color indexed="22"/>
      </left>
      <right style="thick">
        <color indexed="8"/>
      </right>
      <top style="thin">
        <color indexed="22"/>
      </top>
      <bottom style="thin">
        <color indexed="22"/>
      </bottom>
      <diagonal/>
    </border>
    <border>
      <left style="thick">
        <color indexed="8"/>
      </left>
      <right style="thin">
        <color indexed="22"/>
      </right>
      <top style="thin">
        <color indexed="22"/>
      </top>
      <bottom/>
      <diagonal/>
    </border>
    <border>
      <left style="thin">
        <color indexed="22"/>
      </left>
      <right style="thick">
        <color indexed="8"/>
      </right>
      <top style="thin">
        <color indexed="22"/>
      </top>
      <bottom/>
      <diagonal/>
    </border>
    <border>
      <left style="thick">
        <color indexed="8"/>
      </left>
      <right style="thin">
        <color indexed="22"/>
      </right>
      <top style="thin">
        <color indexed="22"/>
      </top>
      <bottom style="thick">
        <color indexed="8"/>
      </bottom>
      <diagonal/>
    </border>
    <border>
      <left style="thin">
        <color indexed="22"/>
      </left>
      <right style="thin">
        <color indexed="22"/>
      </right>
      <top style="thin">
        <color indexed="22"/>
      </top>
      <bottom style="thick">
        <color indexed="8"/>
      </bottom>
      <diagonal/>
    </border>
    <border>
      <left style="thin">
        <color indexed="22"/>
      </left>
      <right style="thick">
        <color indexed="8"/>
      </right>
      <top style="thin">
        <color indexed="22"/>
      </top>
      <bottom style="thick">
        <color indexed="8"/>
      </bottom>
      <diagonal/>
    </border>
    <border>
      <left style="thick">
        <color indexed="8"/>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ck">
        <color indexed="8"/>
      </right>
      <top/>
      <bottom style="thin">
        <color indexed="22"/>
      </bottom>
      <diagonal/>
    </border>
    <border>
      <left style="thick">
        <color indexed="8"/>
      </left>
      <right style="thin">
        <color indexed="22"/>
      </right>
      <top/>
      <bottom/>
      <diagonal/>
    </border>
    <border>
      <left style="thin">
        <color indexed="22"/>
      </left>
      <right style="thin">
        <color indexed="22"/>
      </right>
      <top/>
      <bottom/>
      <diagonal/>
    </border>
    <border>
      <left style="thin">
        <color indexed="22"/>
      </left>
      <right style="thick">
        <color indexed="8"/>
      </right>
      <top/>
      <bottom/>
      <diagonal/>
    </border>
    <border>
      <left style="thick">
        <color indexed="8"/>
      </left>
      <right style="thin">
        <color indexed="22"/>
      </right>
      <top/>
      <bottom style="thick">
        <color indexed="8"/>
      </bottom>
      <diagonal/>
    </border>
    <border>
      <left style="thin">
        <color indexed="22"/>
      </left>
      <right style="thin">
        <color indexed="22"/>
      </right>
      <top/>
      <bottom style="thick">
        <color indexed="8"/>
      </bottom>
      <diagonal/>
    </border>
    <border>
      <left style="thick">
        <color indexed="8"/>
      </left>
      <right/>
      <top style="thin">
        <color indexed="22"/>
      </top>
      <bottom style="thin">
        <color indexed="22"/>
      </bottom>
      <diagonal/>
    </border>
    <border>
      <left style="thick">
        <color indexed="8"/>
      </left>
      <right/>
      <top style="thin">
        <color indexed="22"/>
      </top>
      <bottom style="thick">
        <color indexed="8"/>
      </bottom>
      <diagonal/>
    </border>
    <border>
      <left style="thin">
        <color indexed="64"/>
      </left>
      <right/>
      <top style="medium">
        <color indexed="64"/>
      </top>
      <bottom/>
      <diagonal/>
    </border>
    <border>
      <left style="thick">
        <color indexed="8"/>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thick">
        <color indexed="8"/>
      </right>
      <top/>
      <bottom style="medium">
        <color indexed="64"/>
      </bottom>
      <diagonal/>
    </border>
    <border>
      <left style="medium">
        <color indexed="64"/>
      </left>
      <right/>
      <top style="medium">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28"/>
      </left>
      <right/>
      <top/>
      <bottom style="thin">
        <color indexed="28"/>
      </bottom>
      <diagonal/>
    </border>
    <border>
      <left style="thin">
        <color indexed="64"/>
      </left>
      <right style="medium">
        <color indexed="64"/>
      </right>
      <top style="medium">
        <color indexed="64"/>
      </top>
      <bottom/>
      <diagonal/>
    </border>
  </borders>
  <cellStyleXfs count="10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0" fillId="0" borderId="0"/>
    <xf numFmtId="3" fontId="10" fillId="0" borderId="0"/>
    <xf numFmtId="0" fontId="11" fillId="0" borderId="0">
      <alignment vertical="top"/>
    </xf>
    <xf numFmtId="0" fontId="11" fillId="0" borderId="0">
      <alignment vertical="top"/>
    </xf>
    <xf numFmtId="0" fontId="10" fillId="0" borderId="0"/>
    <xf numFmtId="0" fontId="11" fillId="0" borderId="0">
      <alignment vertical="top"/>
    </xf>
    <xf numFmtId="0" fontId="10" fillId="0" borderId="0"/>
    <xf numFmtId="9" fontId="1" fillId="0" borderId="0" applyFont="0" applyFill="0" applyBorder="0" applyAlignment="0" applyProtection="0"/>
    <xf numFmtId="0" fontId="3" fillId="0" borderId="0"/>
    <xf numFmtId="185" fontId="3" fillId="0" borderId="0" applyFont="0" applyFill="0" applyBorder="0" applyAlignment="0" applyProtection="0"/>
    <xf numFmtId="9" fontId="3" fillId="0" borderId="0" applyFont="0" applyFill="0" applyBorder="0" applyAlignment="0" applyProtection="0"/>
    <xf numFmtId="0" fontId="98" fillId="14" borderId="0" applyNumberFormat="0" applyBorder="0" applyAlignment="0" applyProtection="0"/>
    <xf numFmtId="0" fontId="98" fillId="15" borderId="0" applyNumberFormat="0" applyBorder="0" applyAlignment="0" applyProtection="0"/>
    <xf numFmtId="0" fontId="99" fillId="16" borderId="0" applyNumberFormat="0" applyBorder="0" applyAlignment="0" applyProtection="0"/>
    <xf numFmtId="0" fontId="98" fillId="17" borderId="0" applyNumberFormat="0" applyBorder="0" applyAlignment="0" applyProtection="0"/>
    <xf numFmtId="0" fontId="98" fillId="18" borderId="0" applyNumberFormat="0" applyBorder="0" applyAlignment="0" applyProtection="0"/>
    <xf numFmtId="0" fontId="99" fillId="19" borderId="0" applyNumberFormat="0" applyBorder="0" applyAlignment="0" applyProtection="0"/>
    <xf numFmtId="0" fontId="98" fillId="20" borderId="0" applyNumberFormat="0" applyBorder="0" applyAlignment="0" applyProtection="0"/>
    <xf numFmtId="0" fontId="98" fillId="21" borderId="0" applyNumberFormat="0" applyBorder="0" applyAlignment="0" applyProtection="0"/>
    <xf numFmtId="0" fontId="99" fillId="22" borderId="0" applyNumberFormat="0" applyBorder="0" applyAlignment="0" applyProtection="0"/>
    <xf numFmtId="0" fontId="98" fillId="21" borderId="0" applyNumberFormat="0" applyBorder="0" applyAlignment="0" applyProtection="0"/>
    <xf numFmtId="0" fontId="98" fillId="22" borderId="0" applyNumberFormat="0" applyBorder="0" applyAlignment="0" applyProtection="0"/>
    <xf numFmtId="0" fontId="99" fillId="22" borderId="0" applyNumberFormat="0" applyBorder="0" applyAlignment="0" applyProtection="0"/>
    <xf numFmtId="0" fontId="98" fillId="14" borderId="0" applyNumberFormat="0" applyBorder="0" applyAlignment="0" applyProtection="0"/>
    <xf numFmtId="0" fontId="98" fillId="15" borderId="0" applyNumberFormat="0" applyBorder="0" applyAlignment="0" applyProtection="0"/>
    <xf numFmtId="0" fontId="99" fillId="15" borderId="0" applyNumberFormat="0" applyBorder="0" applyAlignment="0" applyProtection="0"/>
    <xf numFmtId="0" fontId="98" fillId="23" borderId="0" applyNumberFormat="0" applyBorder="0" applyAlignment="0" applyProtection="0"/>
    <xf numFmtId="0" fontId="98" fillId="18" borderId="0" applyNumberFormat="0" applyBorder="0" applyAlignment="0" applyProtection="0"/>
    <xf numFmtId="0" fontId="99" fillId="24" borderId="0" applyNumberFormat="0" applyBorder="0" applyAlignment="0" applyProtection="0"/>
    <xf numFmtId="1" fontId="100" fillId="0" borderId="34">
      <alignment vertical="top"/>
    </xf>
    <xf numFmtId="43" fontId="101"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alignment vertical="top"/>
    </xf>
    <xf numFmtId="187" fontId="3" fillId="0" borderId="0" applyFont="0" applyFill="0" applyBorder="0" applyAlignment="0" applyProtection="0">
      <alignment vertical="top"/>
    </xf>
    <xf numFmtId="181" fontId="102" fillId="0" borderId="0"/>
    <xf numFmtId="5" fontId="3" fillId="0" borderId="0">
      <alignment vertical="top"/>
    </xf>
    <xf numFmtId="44" fontId="101" fillId="0" borderId="0" applyFont="0" applyFill="0" applyBorder="0" applyAlignment="0" applyProtection="0"/>
    <xf numFmtId="44" fontId="3" fillId="0" borderId="0" applyFont="0" applyFill="0" applyBorder="0" applyAlignment="0" applyProtection="0"/>
    <xf numFmtId="188" fontId="3" fillId="0" borderId="0" applyFont="0" applyFill="0" applyBorder="0" applyAlignment="0" applyProtection="0"/>
    <xf numFmtId="5" fontId="3" fillId="0" borderId="0" applyFont="0" applyFill="0" applyBorder="0" applyAlignment="0" applyProtection="0">
      <alignment vertical="top"/>
    </xf>
    <xf numFmtId="187" fontId="3" fillId="0" borderId="0">
      <alignment vertical="top"/>
    </xf>
    <xf numFmtId="15" fontId="3" fillId="0" borderId="0" applyFont="0" applyFill="0" applyBorder="0" applyAlignment="0" applyProtection="0">
      <alignment vertical="top"/>
    </xf>
    <xf numFmtId="0" fontId="103" fillId="25" borderId="0" applyNumberFormat="0" applyBorder="0" applyAlignment="0" applyProtection="0"/>
    <xf numFmtId="0" fontId="103" fillId="26" borderId="0" applyNumberFormat="0" applyBorder="0" applyAlignment="0" applyProtection="0"/>
    <xf numFmtId="0" fontId="103" fillId="27" borderId="0" applyNumberFormat="0" applyBorder="0" applyAlignment="0" applyProtection="0"/>
    <xf numFmtId="189" fontId="104" fillId="0" borderId="0">
      <protection locked="0"/>
    </xf>
    <xf numFmtId="181" fontId="12" fillId="0" borderId="0"/>
    <xf numFmtId="0" fontId="105" fillId="0" borderId="0">
      <protection locked="0"/>
    </xf>
    <xf numFmtId="0" fontId="105" fillId="0" borderId="0">
      <protection locked="0"/>
    </xf>
    <xf numFmtId="190" fontId="12" fillId="0" borderId="0"/>
    <xf numFmtId="191" fontId="12" fillId="0" borderId="0"/>
    <xf numFmtId="0" fontId="101" fillId="0" borderId="0"/>
    <xf numFmtId="10" fontId="3" fillId="0" borderId="0" applyFont="0" applyFill="0" applyBorder="0" applyAlignment="0" applyProtection="0">
      <alignment vertical="top"/>
    </xf>
    <xf numFmtId="192" fontId="106" fillId="0" borderId="0"/>
    <xf numFmtId="4" fontId="107" fillId="28" borderId="104" applyNumberFormat="0" applyProtection="0">
      <alignment vertical="center"/>
    </xf>
    <xf numFmtId="4" fontId="108" fillId="28" borderId="104" applyNumberFormat="0" applyProtection="0">
      <alignment vertical="center"/>
    </xf>
    <xf numFmtId="4" fontId="107" fillId="28" borderId="104" applyNumberFormat="0" applyProtection="0">
      <alignment horizontal="left" vertical="center" indent="1"/>
    </xf>
    <xf numFmtId="0" fontId="107" fillId="28" borderId="104" applyNumberFormat="0" applyProtection="0">
      <alignment horizontal="left" vertical="top" indent="1"/>
    </xf>
    <xf numFmtId="4" fontId="107" fillId="29" borderId="0" applyNumberFormat="0" applyProtection="0">
      <alignment horizontal="left" vertical="center" indent="1"/>
    </xf>
    <xf numFmtId="4" fontId="109" fillId="30" borderId="104" applyNumberFormat="0" applyProtection="0">
      <alignment horizontal="right" vertical="center"/>
    </xf>
    <xf numFmtId="4" fontId="109" fillId="31" borderId="104" applyNumberFormat="0" applyProtection="0">
      <alignment horizontal="right" vertical="center"/>
    </xf>
    <xf numFmtId="4" fontId="109" fillId="32" borderId="104" applyNumberFormat="0" applyProtection="0">
      <alignment horizontal="right" vertical="center"/>
    </xf>
    <xf numFmtId="4" fontId="109" fillId="33" borderId="104" applyNumberFormat="0" applyProtection="0">
      <alignment horizontal="right" vertical="center"/>
    </xf>
    <xf numFmtId="4" fontId="109" fillId="34" borderId="104" applyNumberFormat="0" applyProtection="0">
      <alignment horizontal="right" vertical="center"/>
    </xf>
    <xf numFmtId="4" fontId="109" fillId="35" borderId="104" applyNumberFormat="0" applyProtection="0">
      <alignment horizontal="right" vertical="center"/>
    </xf>
    <xf numFmtId="4" fontId="109" fillId="36" borderId="104" applyNumberFormat="0" applyProtection="0">
      <alignment horizontal="right" vertical="center"/>
    </xf>
    <xf numFmtId="4" fontId="109" fillId="37" borderId="104" applyNumberFormat="0" applyProtection="0">
      <alignment horizontal="right" vertical="center"/>
    </xf>
    <xf numFmtId="4" fontId="109" fillId="38" borderId="104" applyNumberFormat="0" applyProtection="0">
      <alignment horizontal="right" vertical="center"/>
    </xf>
    <xf numFmtId="4" fontId="107" fillId="39" borderId="105" applyNumberFormat="0" applyProtection="0">
      <alignment horizontal="left" vertical="center" indent="1"/>
    </xf>
    <xf numFmtId="4" fontId="109" fillId="40" borderId="0" applyNumberFormat="0" applyProtection="0">
      <alignment horizontal="left" vertical="center" indent="1"/>
    </xf>
    <xf numFmtId="4" fontId="110" fillId="41" borderId="0" applyNumberFormat="0" applyProtection="0">
      <alignment horizontal="left" vertical="center" indent="1"/>
    </xf>
    <xf numFmtId="4" fontId="109" fillId="29" borderId="104" applyNumberFormat="0" applyProtection="0">
      <alignment horizontal="right" vertical="center"/>
    </xf>
    <xf numFmtId="4" fontId="109" fillId="40" borderId="0" applyNumberFormat="0" applyProtection="0">
      <alignment horizontal="left" vertical="center" indent="1"/>
    </xf>
    <xf numFmtId="4" fontId="109" fillId="29" borderId="0" applyNumberFormat="0" applyProtection="0">
      <alignment horizontal="left" vertical="center" indent="1"/>
    </xf>
    <xf numFmtId="0" fontId="3" fillId="41" borderId="104" applyNumberFormat="0" applyProtection="0">
      <alignment horizontal="left" vertical="center" indent="1"/>
    </xf>
    <xf numFmtId="0" fontId="3" fillId="41" borderId="104" applyNumberFormat="0" applyProtection="0">
      <alignment horizontal="left" vertical="top" indent="1"/>
    </xf>
    <xf numFmtId="0" fontId="3" fillId="29" borderId="104" applyNumberFormat="0" applyProtection="0">
      <alignment horizontal="left" vertical="center" indent="1"/>
    </xf>
    <xf numFmtId="0" fontId="3" fillId="29" borderId="104" applyNumberFormat="0" applyProtection="0">
      <alignment horizontal="left" vertical="top" indent="1"/>
    </xf>
    <xf numFmtId="0" fontId="3" fillId="42" borderId="104" applyNumberFormat="0" applyProtection="0">
      <alignment horizontal="left" vertical="center" indent="1"/>
    </xf>
    <xf numFmtId="0" fontId="3" fillId="42" borderId="104" applyNumberFormat="0" applyProtection="0">
      <alignment horizontal="left" vertical="top" indent="1"/>
    </xf>
    <xf numFmtId="0" fontId="3" fillId="40" borderId="104" applyNumberFormat="0" applyProtection="0">
      <alignment horizontal="left" vertical="center" indent="1"/>
    </xf>
    <xf numFmtId="0" fontId="3" fillId="40" borderId="104" applyNumberFormat="0" applyProtection="0">
      <alignment horizontal="left" vertical="top" indent="1"/>
    </xf>
    <xf numFmtId="187" fontId="3" fillId="43" borderId="49" applyNumberFormat="0">
      <protection locked="0"/>
    </xf>
    <xf numFmtId="4" fontId="109" fillId="44" borderId="104" applyNumberFormat="0" applyProtection="0">
      <alignment vertical="center"/>
    </xf>
    <xf numFmtId="4" fontId="111" fillId="44" borderId="104" applyNumberFormat="0" applyProtection="0">
      <alignment vertical="center"/>
    </xf>
    <xf numFmtId="4" fontId="109" fillId="44" borderId="104" applyNumberFormat="0" applyProtection="0">
      <alignment horizontal="left" vertical="center" indent="1"/>
    </xf>
    <xf numFmtId="0" fontId="109" fillId="44" borderId="104" applyNumberFormat="0" applyProtection="0">
      <alignment horizontal="left" vertical="top" indent="1"/>
    </xf>
    <xf numFmtId="4" fontId="109" fillId="40" borderId="104" applyNumberFormat="0" applyProtection="0">
      <alignment horizontal="right" vertical="center"/>
    </xf>
    <xf numFmtId="4" fontId="111" fillId="40" borderId="104" applyNumberFormat="0" applyProtection="0">
      <alignment horizontal="right" vertical="center"/>
    </xf>
    <xf numFmtId="4" fontId="109" fillId="29" borderId="104" applyNumberFormat="0" applyProtection="0">
      <alignment horizontal="left" vertical="center" indent="1"/>
    </xf>
    <xf numFmtId="0" fontId="109" fillId="29" borderId="104" applyNumberFormat="0" applyProtection="0">
      <alignment horizontal="left" vertical="top" indent="1"/>
    </xf>
    <xf numFmtId="4" fontId="112" fillId="45" borderId="0" applyNumberFormat="0" applyProtection="0">
      <alignment horizontal="left" vertical="center" indent="1"/>
    </xf>
    <xf numFmtId="4" fontId="113" fillId="40" borderId="104" applyNumberFormat="0" applyProtection="0">
      <alignment horizontal="right" vertical="center"/>
    </xf>
    <xf numFmtId="0" fontId="114" fillId="0" borderId="0" applyNumberFormat="0" applyFill="0" applyBorder="0" applyAlignment="0" applyProtection="0"/>
    <xf numFmtId="192" fontId="115" fillId="0" borderId="0"/>
    <xf numFmtId="181" fontId="9" fillId="0" borderId="0"/>
    <xf numFmtId="192" fontId="116" fillId="46" borderId="0" applyFont="0" applyBorder="0" applyAlignment="0">
      <alignment vertical="top" wrapText="1"/>
    </xf>
    <xf numFmtId="192" fontId="117" fillId="46" borderId="106" applyBorder="0">
      <alignment horizontal="right" vertical="top" wrapText="1"/>
    </xf>
    <xf numFmtId="192" fontId="100" fillId="0" borderId="45" applyAlignment="0">
      <alignment horizontal="right"/>
    </xf>
    <xf numFmtId="190" fontId="100" fillId="0" borderId="45" applyAlignment="0"/>
    <xf numFmtId="191" fontId="100" fillId="0" borderId="45" applyAlignment="0"/>
    <xf numFmtId="0" fontId="6" fillId="0" borderId="45" applyFont="0" applyFill="0" applyBorder="0" applyAlignment="0" applyProtection="0"/>
  </cellStyleXfs>
  <cellXfs count="1870">
    <xf numFmtId="0" fontId="0" fillId="0" borderId="0" xfId="0"/>
    <xf numFmtId="7" fontId="11" fillId="0" borderId="0" xfId="9" applyNumberFormat="1">
      <alignment vertical="top"/>
    </xf>
    <xf numFmtId="174" fontId="14" fillId="0" borderId="0" xfId="9" applyNumberFormat="1" applyFont="1" applyAlignment="1">
      <alignment horizontal="left" vertical="top"/>
    </xf>
    <xf numFmtId="7" fontId="15" fillId="0" borderId="0" xfId="9" applyNumberFormat="1" applyFont="1">
      <alignment vertical="top"/>
    </xf>
    <xf numFmtId="7" fontId="16" fillId="0" borderId="0" xfId="9" applyNumberFormat="1" applyFont="1" applyAlignment="1">
      <alignment horizontal="left" vertical="top"/>
    </xf>
    <xf numFmtId="7" fontId="17" fillId="0" borderId="0" xfId="9" applyNumberFormat="1" applyFont="1">
      <alignment vertical="top"/>
    </xf>
    <xf numFmtId="7" fontId="18" fillId="0" borderId="0" xfId="9" applyNumberFormat="1" applyFont="1">
      <alignment vertical="top"/>
    </xf>
    <xf numFmtId="7" fontId="4" fillId="0" borderId="0" xfId="9" applyNumberFormat="1" applyFont="1" applyBorder="1" applyAlignment="1">
      <alignment horizontal="center" vertical="top"/>
    </xf>
    <xf numFmtId="7" fontId="11" fillId="0" borderId="0" xfId="9" applyNumberFormat="1" applyBorder="1">
      <alignment vertical="top"/>
    </xf>
    <xf numFmtId="7" fontId="11" fillId="0" borderId="2" xfId="9" applyNumberFormat="1" applyBorder="1" applyAlignment="1">
      <alignment horizontal="center" vertical="top"/>
    </xf>
    <xf numFmtId="7" fontId="21" fillId="0" borderId="0" xfId="9" applyNumberFormat="1" applyFont="1" applyBorder="1">
      <alignment vertical="top"/>
    </xf>
    <xf numFmtId="7" fontId="21" fillId="0" borderId="0" xfId="9" applyNumberFormat="1" applyFont="1" applyBorder="1" applyAlignment="1">
      <alignment horizontal="center" vertical="top"/>
    </xf>
    <xf numFmtId="7" fontId="22" fillId="0" borderId="0" xfId="9" applyNumberFormat="1" applyFont="1">
      <alignment vertical="top"/>
    </xf>
    <xf numFmtId="7" fontId="23" fillId="0" borderId="0" xfId="9" applyNumberFormat="1" applyFont="1">
      <alignment vertical="top"/>
    </xf>
    <xf numFmtId="7" fontId="24" fillId="0" borderId="0" xfId="9" applyNumberFormat="1" applyFont="1" applyBorder="1" applyAlignment="1">
      <alignment horizontal="left" vertical="top"/>
    </xf>
    <xf numFmtId="0" fontId="21" fillId="0" borderId="0" xfId="9" applyNumberFormat="1" applyFont="1" applyBorder="1" applyAlignment="1">
      <alignment horizontal="center" vertical="top"/>
    </xf>
    <xf numFmtId="7" fontId="20" fillId="0" borderId="0" xfId="9" applyNumberFormat="1" applyFont="1" applyBorder="1" applyAlignment="1">
      <alignment horizontal="left" vertical="top"/>
    </xf>
    <xf numFmtId="7" fontId="21" fillId="0" borderId="0" xfId="9" applyNumberFormat="1" applyFont="1" applyBorder="1" applyAlignment="1">
      <alignment horizontal="left" vertical="top"/>
    </xf>
    <xf numFmtId="7" fontId="21" fillId="0" borderId="0" xfId="9" applyNumberFormat="1" applyFont="1">
      <alignment vertical="top"/>
    </xf>
    <xf numFmtId="7" fontId="4" fillId="0" borderId="0" xfId="9" applyNumberFormat="1" applyFont="1">
      <alignment vertical="top"/>
    </xf>
    <xf numFmtId="7" fontId="11" fillId="0" borderId="2" xfId="9" applyNumberFormat="1" applyBorder="1">
      <alignment vertical="top"/>
    </xf>
    <xf numFmtId="7" fontId="11" fillId="0" borderId="3" xfId="9" applyNumberFormat="1" applyBorder="1">
      <alignment vertical="top"/>
    </xf>
    <xf numFmtId="7" fontId="11" fillId="0" borderId="4" xfId="9" applyNumberFormat="1" applyBorder="1">
      <alignment vertical="top"/>
    </xf>
    <xf numFmtId="7" fontId="11" fillId="0" borderId="5" xfId="9" applyNumberFormat="1" applyBorder="1">
      <alignment vertical="top"/>
    </xf>
    <xf numFmtId="7" fontId="3" fillId="0" borderId="0" xfId="9" applyNumberFormat="1" applyFont="1">
      <alignment vertical="top"/>
    </xf>
    <xf numFmtId="7" fontId="11" fillId="0" borderId="7" xfId="9" applyNumberFormat="1" applyBorder="1">
      <alignment vertical="top"/>
    </xf>
    <xf numFmtId="7" fontId="11" fillId="0" borderId="8" xfId="9" applyNumberFormat="1" applyBorder="1">
      <alignment vertical="top"/>
    </xf>
    <xf numFmtId="7" fontId="11" fillId="0" borderId="9" xfId="9" applyNumberFormat="1" applyBorder="1">
      <alignment vertical="top"/>
    </xf>
    <xf numFmtId="168" fontId="11" fillId="0" borderId="0" xfId="9" applyNumberFormat="1">
      <alignment vertical="top"/>
    </xf>
    <xf numFmtId="7" fontId="11" fillId="0" borderId="0" xfId="9" applyNumberFormat="1" applyAlignment="1">
      <alignment horizontal="center" vertical="top"/>
    </xf>
    <xf numFmtId="7" fontId="11" fillId="0" borderId="11" xfId="9" applyNumberFormat="1" applyBorder="1">
      <alignment vertical="top"/>
    </xf>
    <xf numFmtId="7" fontId="11" fillId="0" borderId="12" xfId="9" applyNumberFormat="1" applyBorder="1">
      <alignment vertical="top"/>
    </xf>
    <xf numFmtId="168" fontId="11" fillId="0" borderId="0" xfId="9" applyNumberFormat="1" applyBorder="1">
      <alignment vertical="top"/>
    </xf>
    <xf numFmtId="7" fontId="25" fillId="0" borderId="0" xfId="9" applyNumberFormat="1" applyFont="1" applyBorder="1">
      <alignment vertical="top"/>
    </xf>
    <xf numFmtId="7" fontId="25" fillId="0" borderId="2" xfId="9" applyNumberFormat="1" applyFont="1" applyBorder="1">
      <alignment vertical="top"/>
    </xf>
    <xf numFmtId="0" fontId="25" fillId="0" borderId="11" xfId="9" applyFont="1" applyBorder="1">
      <alignment vertical="top"/>
    </xf>
    <xf numFmtId="0" fontId="4" fillId="0" borderId="0" xfId="9" applyFont="1" applyBorder="1" applyAlignment="1">
      <alignment horizontal="center" vertical="top"/>
    </xf>
    <xf numFmtId="0" fontId="25" fillId="0" borderId="2" xfId="9" applyFont="1" applyBorder="1" applyAlignment="1">
      <alignment horizontal="center" vertical="top"/>
    </xf>
    <xf numFmtId="0" fontId="25" fillId="0" borderId="0" xfId="9" applyFont="1" applyBorder="1">
      <alignment vertical="top"/>
    </xf>
    <xf numFmtId="0" fontId="25" fillId="0" borderId="5" xfId="9" applyFont="1" applyBorder="1">
      <alignment vertical="top"/>
    </xf>
    <xf numFmtId="0" fontId="25" fillId="0" borderId="12" xfId="9" applyFont="1" applyBorder="1">
      <alignment vertical="top"/>
    </xf>
    <xf numFmtId="0" fontId="25" fillId="0" borderId="5" xfId="9" applyFont="1" applyBorder="1" applyAlignment="1">
      <alignment horizontal="left" vertical="top"/>
    </xf>
    <xf numFmtId="0" fontId="25" fillId="0" borderId="6" xfId="9" applyFont="1" applyBorder="1" applyAlignment="1">
      <alignment vertical="top"/>
    </xf>
    <xf numFmtId="0" fontId="25" fillId="0" borderId="14" xfId="9" applyFont="1" applyBorder="1">
      <alignment vertical="top"/>
    </xf>
    <xf numFmtId="0" fontId="25" fillId="0" borderId="0" xfId="9" applyFont="1">
      <alignment vertical="top"/>
    </xf>
    <xf numFmtId="7" fontId="25" fillId="0" borderId="0" xfId="9" applyNumberFormat="1" applyFont="1">
      <alignment vertical="top"/>
    </xf>
    <xf numFmtId="7" fontId="21" fillId="0" borderId="0" xfId="9" applyNumberFormat="1" applyFont="1" applyAlignment="1"/>
    <xf numFmtId="7" fontId="19" fillId="0" borderId="0" xfId="9" applyNumberFormat="1" applyFont="1">
      <alignment vertical="top"/>
    </xf>
    <xf numFmtId="0" fontId="11" fillId="0" borderId="8" xfId="9" applyBorder="1">
      <alignment vertical="top"/>
    </xf>
    <xf numFmtId="175" fontId="11" fillId="0" borderId="8" xfId="9" applyNumberFormat="1" applyBorder="1" applyAlignment="1">
      <alignment horizontal="center" vertical="top"/>
    </xf>
    <xf numFmtId="172" fontId="11" fillId="0" borderId="0" xfId="9" applyNumberFormat="1" applyBorder="1">
      <alignment vertical="top"/>
    </xf>
    <xf numFmtId="172" fontId="11" fillId="0" borderId="2" xfId="9" applyNumberFormat="1" applyBorder="1">
      <alignment vertical="top"/>
    </xf>
    <xf numFmtId="168" fontId="11" fillId="0" borderId="2" xfId="9" applyNumberFormat="1" applyBorder="1">
      <alignment vertical="top"/>
    </xf>
    <xf numFmtId="175" fontId="11" fillId="0" borderId="7" xfId="9" applyNumberFormat="1" applyBorder="1" applyAlignment="1">
      <alignment horizontal="center" vertical="top"/>
    </xf>
    <xf numFmtId="168" fontId="11" fillId="0" borderId="14" xfId="9" applyNumberFormat="1" applyBorder="1">
      <alignment vertical="top"/>
    </xf>
    <xf numFmtId="168" fontId="11" fillId="0" borderId="16" xfId="9" applyNumberFormat="1" applyBorder="1">
      <alignment vertical="top"/>
    </xf>
    <xf numFmtId="175" fontId="11" fillId="0" borderId="0" xfId="9" applyNumberFormat="1" applyAlignment="1">
      <alignment horizontal="center" vertical="top"/>
    </xf>
    <xf numFmtId="175" fontId="11" fillId="0" borderId="0" xfId="9" applyNumberFormat="1" applyBorder="1" applyAlignment="1">
      <alignment horizontal="center" vertical="top"/>
    </xf>
    <xf numFmtId="175" fontId="3" fillId="0" borderId="0" xfId="9" applyNumberFormat="1" applyFont="1" applyAlignment="1">
      <alignment horizontal="center" vertical="top"/>
    </xf>
    <xf numFmtId="175" fontId="3" fillId="0" borderId="15" xfId="9" applyNumberFormat="1" applyFont="1" applyBorder="1" applyAlignment="1">
      <alignment horizontal="center" vertical="top"/>
    </xf>
    <xf numFmtId="175" fontId="3" fillId="0" borderId="15" xfId="9" applyNumberFormat="1" applyFont="1" applyFill="1" applyBorder="1" applyAlignment="1">
      <alignment horizontal="center" vertical="top"/>
    </xf>
    <xf numFmtId="175" fontId="3" fillId="0" borderId="0" xfId="9" applyNumberFormat="1" applyFont="1" applyBorder="1" applyAlignment="1">
      <alignment horizontal="center" vertical="top"/>
    </xf>
    <xf numFmtId="15" fontId="11" fillId="0" borderId="0" xfId="9" applyNumberFormat="1" applyAlignment="1">
      <alignment horizontal="center" vertical="top"/>
    </xf>
    <xf numFmtId="0" fontId="25" fillId="0" borderId="0" xfId="9" applyFont="1" applyAlignment="1">
      <alignment horizontal="centerContinuous" vertical="top"/>
    </xf>
    <xf numFmtId="0" fontId="25" fillId="0" borderId="17" xfId="9" applyFont="1" applyBorder="1" applyAlignment="1">
      <alignment horizontal="center" vertical="top"/>
    </xf>
    <xf numFmtId="0" fontId="25" fillId="0" borderId="18" xfId="9" applyFont="1" applyBorder="1" applyAlignment="1">
      <alignment horizontal="center" vertical="top"/>
    </xf>
    <xf numFmtId="0" fontId="19" fillId="0" borderId="0" xfId="9" applyFont="1" applyBorder="1" applyAlignment="1">
      <alignment horizontal="left"/>
    </xf>
    <xf numFmtId="0" fontId="3" fillId="0" borderId="0" xfId="9" applyFont="1" applyBorder="1">
      <alignment vertical="top"/>
    </xf>
    <xf numFmtId="7" fontId="3" fillId="0" borderId="0" xfId="9" applyNumberFormat="1" applyFont="1" applyBorder="1">
      <alignment vertical="top"/>
    </xf>
    <xf numFmtId="0" fontId="21" fillId="0" borderId="0" xfId="9" applyFont="1" applyBorder="1">
      <alignment vertical="top"/>
    </xf>
    <xf numFmtId="7" fontId="22" fillId="0" borderId="0" xfId="9" applyNumberFormat="1" applyFont="1" applyBorder="1" applyAlignment="1">
      <alignment horizontal="center" vertical="top"/>
    </xf>
    <xf numFmtId="174" fontId="19" fillId="0" borderId="0" xfId="9" applyNumberFormat="1" applyFont="1" applyBorder="1" applyAlignment="1">
      <alignment horizontal="left" vertical="top"/>
    </xf>
    <xf numFmtId="0" fontId="16" fillId="0" borderId="0" xfId="9" applyFont="1" applyBorder="1" applyAlignment="1">
      <alignment horizontal="left" vertical="top"/>
    </xf>
    <xf numFmtId="0" fontId="31" fillId="0" borderId="0" xfId="9" applyFont="1" applyBorder="1">
      <alignment vertical="top"/>
    </xf>
    <xf numFmtId="0" fontId="5" fillId="0" borderId="5" xfId="9" applyFont="1" applyBorder="1" applyAlignment="1">
      <alignment horizontal="center" vertical="top"/>
    </xf>
    <xf numFmtId="0" fontId="5" fillId="0" borderId="9" xfId="9" applyFont="1" applyBorder="1" applyAlignment="1">
      <alignment horizontal="center" vertical="top"/>
    </xf>
    <xf numFmtId="0" fontId="3" fillId="0" borderId="5" xfId="9" applyFont="1" applyBorder="1">
      <alignment vertical="top"/>
    </xf>
    <xf numFmtId="0" fontId="3" fillId="0" borderId="9" xfId="9" applyFont="1" applyBorder="1">
      <alignment vertical="top"/>
    </xf>
    <xf numFmtId="7" fontId="3" fillId="0" borderId="5" xfId="9" applyNumberFormat="1" applyFont="1" applyBorder="1">
      <alignment vertical="top"/>
    </xf>
    <xf numFmtId="7" fontId="3" fillId="0" borderId="9" xfId="9" applyNumberFormat="1" applyFont="1" applyBorder="1" applyAlignment="1">
      <alignment horizontal="center" vertical="top"/>
    </xf>
    <xf numFmtId="0" fontId="3" fillId="0" borderId="5" xfId="9" applyFont="1" applyBorder="1" applyAlignment="1">
      <alignment horizontal="left" vertical="top"/>
    </xf>
    <xf numFmtId="172" fontId="3" fillId="0" borderId="9" xfId="9" applyNumberFormat="1" applyFont="1" applyBorder="1" applyAlignment="1">
      <alignment horizontal="center" vertical="top"/>
    </xf>
    <xf numFmtId="0" fontId="3" fillId="0" borderId="6" xfId="9" applyFont="1" applyBorder="1">
      <alignment vertical="top"/>
    </xf>
    <xf numFmtId="0" fontId="3" fillId="0" borderId="13" xfId="9" applyFont="1" applyBorder="1">
      <alignment vertical="top"/>
    </xf>
    <xf numFmtId="7" fontId="3" fillId="0" borderId="13" xfId="9" applyNumberFormat="1" applyFont="1" applyBorder="1" applyAlignment="1">
      <alignment horizontal="center" vertical="top"/>
    </xf>
    <xf numFmtId="7" fontId="4" fillId="0" borderId="9" xfId="9" applyNumberFormat="1" applyFont="1" applyBorder="1" applyAlignment="1">
      <alignment horizontal="center" vertical="top"/>
    </xf>
    <xf numFmtId="0" fontId="4" fillId="0" borderId="9" xfId="9" applyFont="1" applyBorder="1" applyAlignment="1">
      <alignment horizontal="center" vertical="top"/>
    </xf>
    <xf numFmtId="0" fontId="4" fillId="0" borderId="5" xfId="9" applyFont="1" applyBorder="1">
      <alignment vertical="top"/>
    </xf>
    <xf numFmtId="0" fontId="25" fillId="0" borderId="5" xfId="9" applyFont="1" applyBorder="1" applyAlignment="1">
      <alignment vertical="top"/>
    </xf>
    <xf numFmtId="173" fontId="11" fillId="0" borderId="9" xfId="9" applyNumberFormat="1" applyBorder="1" applyAlignment="1">
      <alignment horizontal="right" vertical="top"/>
    </xf>
    <xf numFmtId="173" fontId="25" fillId="0" borderId="9" xfId="9" applyNumberFormat="1" applyFont="1" applyBorder="1" applyAlignment="1">
      <alignment horizontal="right" vertical="top"/>
    </xf>
    <xf numFmtId="173" fontId="25" fillId="0" borderId="9" xfId="9" applyNumberFormat="1" applyFont="1" applyBorder="1" applyAlignment="1">
      <alignment vertical="top"/>
    </xf>
    <xf numFmtId="168" fontId="11" fillId="0" borderId="9" xfId="9" applyNumberFormat="1" applyBorder="1">
      <alignment vertical="top"/>
    </xf>
    <xf numFmtId="7" fontId="5" fillId="0" borderId="5" xfId="9" applyNumberFormat="1" applyFont="1" applyBorder="1" applyAlignment="1">
      <alignment horizontal="left" vertical="top"/>
    </xf>
    <xf numFmtId="0" fontId="11" fillId="0" borderId="9" xfId="9" applyBorder="1">
      <alignment vertical="top"/>
    </xf>
    <xf numFmtId="0" fontId="11" fillId="0" borderId="5" xfId="9" applyBorder="1">
      <alignment vertical="top"/>
    </xf>
    <xf numFmtId="7" fontId="11" fillId="0" borderId="5" xfId="9" applyNumberFormat="1" applyBorder="1" applyAlignment="1">
      <alignment horizontal="center" vertical="top"/>
    </xf>
    <xf numFmtId="0" fontId="11" fillId="0" borderId="5" xfId="9" applyBorder="1" applyAlignment="1">
      <alignment horizontal="left" vertical="top"/>
    </xf>
    <xf numFmtId="7" fontId="8" fillId="0" borderId="6" xfId="9" applyNumberFormat="1" applyFont="1" applyBorder="1">
      <alignment vertical="top"/>
    </xf>
    <xf numFmtId="0" fontId="7" fillId="0" borderId="5" xfId="9" applyFont="1" applyBorder="1" applyAlignment="1">
      <alignment horizontal="center" vertical="top"/>
    </xf>
    <xf numFmtId="172" fontId="11" fillId="0" borderId="9" xfId="9" applyNumberFormat="1" applyBorder="1" applyAlignment="1">
      <alignment horizontal="right" vertical="top"/>
    </xf>
    <xf numFmtId="7" fontId="11" fillId="0" borderId="9" xfId="9" applyNumberFormat="1" applyBorder="1" applyAlignment="1">
      <alignment horizontal="right" vertical="top"/>
    </xf>
    <xf numFmtId="0" fontId="4" fillId="0" borderId="5" xfId="9" applyNumberFormat="1" applyFont="1" applyFill="1" applyBorder="1" applyAlignment="1">
      <alignment horizontal="left" vertical="top"/>
    </xf>
    <xf numFmtId="7" fontId="34" fillId="0" borderId="5" xfId="9" applyNumberFormat="1" applyFont="1" applyBorder="1" applyAlignment="1">
      <alignment horizontal="center" vertical="top"/>
    </xf>
    <xf numFmtId="168" fontId="11" fillId="0" borderId="9" xfId="9" applyNumberFormat="1" applyBorder="1" applyAlignment="1">
      <alignment horizontal="right" vertical="top"/>
    </xf>
    <xf numFmtId="0" fontId="25" fillId="0" borderId="5" xfId="9" applyNumberFormat="1" applyFont="1" applyFill="1" applyBorder="1" applyAlignment="1">
      <alignment horizontal="left" vertical="top"/>
    </xf>
    <xf numFmtId="7" fontId="3" fillId="0" borderId="0" xfId="9" applyNumberFormat="1" applyFont="1" applyBorder="1" applyAlignment="1">
      <alignment horizontal="center" vertical="top"/>
    </xf>
    <xf numFmtId="0" fontId="3" fillId="0" borderId="0" xfId="9" applyFont="1" applyBorder="1" applyAlignment="1">
      <alignment horizontal="center" vertical="top"/>
    </xf>
    <xf numFmtId="0" fontId="10" fillId="0" borderId="0" xfId="10" applyBorder="1" applyAlignment="1">
      <alignment horizontal="right" vertical="top" textRotation="180"/>
    </xf>
    <xf numFmtId="0" fontId="4" fillId="0" borderId="5" xfId="9" applyFont="1" applyBorder="1" applyAlignment="1">
      <alignment horizontal="left" vertical="top"/>
    </xf>
    <xf numFmtId="7" fontId="11" fillId="0" borderId="0" xfId="9" applyNumberFormat="1" applyAlignment="1">
      <alignment horizontal="left" vertical="center"/>
    </xf>
    <xf numFmtId="0" fontId="3" fillId="0" borderId="0" xfId="9" applyFont="1">
      <alignment vertical="top"/>
    </xf>
    <xf numFmtId="0" fontId="3" fillId="0" borderId="0" xfId="9" applyFont="1" applyFill="1" applyAlignment="1">
      <alignment horizontal="left" vertical="center"/>
    </xf>
    <xf numFmtId="0" fontId="11" fillId="0" borderId="0" xfId="9" applyBorder="1" applyAlignment="1">
      <alignment horizontal="left" vertical="top" textRotation="1"/>
    </xf>
    <xf numFmtId="0" fontId="11" fillId="0" borderId="0" xfId="9" applyBorder="1" applyAlignment="1">
      <alignment horizontal="right" vertical="top" textRotation="180"/>
    </xf>
    <xf numFmtId="0" fontId="11" fillId="0" borderId="0" xfId="9" applyBorder="1">
      <alignment vertical="top"/>
    </xf>
    <xf numFmtId="0" fontId="10" fillId="0" borderId="0" xfId="10"/>
    <xf numFmtId="0" fontId="31" fillId="0" borderId="0" xfId="9" applyFont="1">
      <alignment vertical="top"/>
    </xf>
    <xf numFmtId="0" fontId="35" fillId="0" borderId="0" xfId="9" applyFont="1">
      <alignment vertical="top"/>
    </xf>
    <xf numFmtId="0" fontId="16" fillId="0" borderId="0" xfId="9" applyFont="1" applyAlignment="1">
      <alignment horizontal="right" vertical="top"/>
    </xf>
    <xf numFmtId="0" fontId="19" fillId="0" borderId="0" xfId="9" applyFont="1" applyAlignment="1">
      <alignment horizontal="center" vertical="top"/>
    </xf>
    <xf numFmtId="0" fontId="9" fillId="0" borderId="0" xfId="9" applyFont="1" applyAlignment="1">
      <alignment horizontal="center" vertical="top"/>
    </xf>
    <xf numFmtId="0" fontId="39" fillId="0" borderId="0" xfId="10" applyFont="1" applyBorder="1" applyAlignment="1">
      <alignment horizontal="right" vertical="top" textRotation="180"/>
    </xf>
    <xf numFmtId="7" fontId="11" fillId="0" borderId="0" xfId="9" applyNumberFormat="1" applyAlignment="1">
      <alignment horizontal="right" vertical="top" textRotation="180"/>
    </xf>
    <xf numFmtId="174" fontId="19" fillId="0" borderId="0" xfId="9" applyNumberFormat="1" applyFont="1" applyAlignment="1">
      <alignment horizontal="left" vertical="top"/>
    </xf>
    <xf numFmtId="174" fontId="19" fillId="0" borderId="0" xfId="9" applyNumberFormat="1" applyFont="1" applyAlignment="1">
      <alignment horizontal="center" vertical="top"/>
    </xf>
    <xf numFmtId="0" fontId="36" fillId="0" borderId="19" xfId="9" applyFont="1" applyBorder="1">
      <alignment vertical="top"/>
    </xf>
    <xf numFmtId="0" fontId="36" fillId="0" borderId="0" xfId="9" applyFont="1" applyBorder="1">
      <alignment vertical="top"/>
    </xf>
    <xf numFmtId="7" fontId="11" fillId="0" borderId="20" xfId="9" applyNumberFormat="1" applyBorder="1">
      <alignment vertical="top"/>
    </xf>
    <xf numFmtId="0" fontId="25" fillId="0" borderId="0" xfId="9" applyFont="1" applyBorder="1" applyAlignment="1">
      <alignment horizontal="centerContinuous" vertical="top"/>
    </xf>
    <xf numFmtId="0" fontId="37" fillId="0" borderId="0" xfId="9" applyFont="1" applyBorder="1">
      <alignment vertical="top"/>
    </xf>
    <xf numFmtId="7" fontId="4" fillId="0" borderId="5" xfId="9" applyNumberFormat="1" applyFont="1" applyBorder="1" applyAlignment="1">
      <alignment horizontal="center" vertical="top"/>
    </xf>
    <xf numFmtId="0" fontId="25" fillId="0" borderId="9" xfId="9" applyFont="1" applyBorder="1">
      <alignment vertical="top"/>
    </xf>
    <xf numFmtId="7" fontId="25" fillId="0" borderId="9" xfId="9" applyNumberFormat="1" applyFont="1" applyBorder="1" applyAlignment="1">
      <alignment horizontal="right" vertical="top"/>
    </xf>
    <xf numFmtId="0" fontId="25" fillId="0" borderId="0" xfId="9" applyFont="1" applyBorder="1" applyAlignment="1">
      <alignment horizontal="center" vertical="top"/>
    </xf>
    <xf numFmtId="7" fontId="3" fillId="0" borderId="9" xfId="9" applyNumberFormat="1" applyFont="1" applyBorder="1" applyAlignment="1">
      <alignment horizontal="right" vertical="top"/>
    </xf>
    <xf numFmtId="0" fontId="7" fillId="0" borderId="5" xfId="9" applyFont="1" applyBorder="1" applyAlignment="1">
      <alignment horizontal="left" vertical="top"/>
    </xf>
    <xf numFmtId="173" fontId="25" fillId="0" borderId="0" xfId="9" applyNumberFormat="1" applyFont="1" applyBorder="1" applyAlignment="1">
      <alignment horizontal="center" vertical="top"/>
    </xf>
    <xf numFmtId="7" fontId="25" fillId="0" borderId="0" xfId="9" applyNumberFormat="1" applyFont="1" applyBorder="1" applyAlignment="1">
      <alignment horizontal="center" vertical="top"/>
    </xf>
    <xf numFmtId="168" fontId="11" fillId="0" borderId="13" xfId="9" applyNumberFormat="1" applyBorder="1" applyAlignment="1">
      <alignment horizontal="right" vertical="top"/>
    </xf>
    <xf numFmtId="0" fontId="5" fillId="0" borderId="0" xfId="9" applyFont="1" applyBorder="1" applyAlignment="1">
      <alignment horizontal="center" vertical="top"/>
    </xf>
    <xf numFmtId="0" fontId="25" fillId="0" borderId="9" xfId="9" applyFont="1" applyBorder="1" applyAlignment="1">
      <alignment horizontal="center" vertical="top"/>
    </xf>
    <xf numFmtId="173" fontId="25" fillId="0" borderId="0" xfId="9" applyNumberFormat="1" applyFont="1" applyBorder="1" applyAlignment="1">
      <alignment horizontal="centerContinuous" vertical="top"/>
    </xf>
    <xf numFmtId="173" fontId="11" fillId="0" borderId="0" xfId="9" applyNumberFormat="1" applyBorder="1" applyAlignment="1">
      <alignment horizontal="right" vertical="top"/>
    </xf>
    <xf numFmtId="0" fontId="25" fillId="0" borderId="9" xfId="9" applyFont="1" applyBorder="1" applyAlignment="1">
      <alignment horizontal="right" vertical="top"/>
    </xf>
    <xf numFmtId="177" fontId="11" fillId="0" borderId="0" xfId="9" applyNumberFormat="1" applyBorder="1" applyAlignment="1">
      <alignment horizontal="right" vertical="top"/>
    </xf>
    <xf numFmtId="0" fontId="11" fillId="0" borderId="0" xfId="9" applyBorder="1" applyAlignment="1">
      <alignment horizontal="right" vertical="top"/>
    </xf>
    <xf numFmtId="177" fontId="25" fillId="0" borderId="0" xfId="9" applyNumberFormat="1" applyFont="1" applyBorder="1" applyAlignment="1">
      <alignment horizontal="right" vertical="top"/>
    </xf>
    <xf numFmtId="0" fontId="25" fillId="0" borderId="0" xfId="9" applyFont="1" applyBorder="1" applyAlignment="1">
      <alignment horizontal="left" vertical="top"/>
    </xf>
    <xf numFmtId="173" fontId="25" fillId="0" borderId="0" xfId="9" applyNumberFormat="1" applyFont="1" applyBorder="1" applyAlignment="1">
      <alignment horizontal="right" vertical="top"/>
    </xf>
    <xf numFmtId="0" fontId="25" fillId="0" borderId="0" xfId="10" applyFont="1" applyBorder="1"/>
    <xf numFmtId="172" fontId="11" fillId="0" borderId="0" xfId="9" applyNumberFormat="1" applyBorder="1" applyAlignment="1">
      <alignment horizontal="right" vertical="top"/>
    </xf>
    <xf numFmtId="168" fontId="11" fillId="0" borderId="13" xfId="9" applyNumberFormat="1" applyBorder="1" applyAlignment="1">
      <alignment vertical="top"/>
    </xf>
    <xf numFmtId="0" fontId="25" fillId="0" borderId="0" xfId="9" applyFont="1" applyBorder="1" applyAlignment="1">
      <alignment vertical="top"/>
    </xf>
    <xf numFmtId="0" fontId="25" fillId="0" borderId="0" xfId="10" applyFont="1"/>
    <xf numFmtId="0" fontId="21" fillId="0" borderId="0" xfId="9" applyFont="1" applyAlignment="1">
      <alignment horizontal="right" vertical="top"/>
    </xf>
    <xf numFmtId="0" fontId="40" fillId="0" borderId="0" xfId="9" applyFont="1" applyAlignment="1">
      <alignment horizontal="left" vertical="top"/>
    </xf>
    <xf numFmtId="0" fontId="19" fillId="0" borderId="0" xfId="9" applyFont="1" applyFill="1" applyAlignment="1">
      <alignment horizontal="left" vertical="top"/>
    </xf>
    <xf numFmtId="174" fontId="19" fillId="0" borderId="0" xfId="9" applyNumberFormat="1" applyFont="1" applyFill="1" applyAlignment="1">
      <alignment horizontal="left" vertical="top"/>
    </xf>
    <xf numFmtId="0" fontId="19" fillId="0" borderId="0" xfId="9" applyFont="1" applyFill="1" applyAlignment="1">
      <alignment horizontal="center" vertical="top"/>
    </xf>
    <xf numFmtId="0" fontId="16" fillId="0" borderId="0" xfId="9" applyFont="1" applyAlignment="1">
      <alignment horizontal="left" vertical="top"/>
    </xf>
    <xf numFmtId="174" fontId="41" fillId="0" borderId="0" xfId="9" applyNumberFormat="1" applyFont="1" applyAlignment="1">
      <alignment horizontal="left" vertical="top"/>
    </xf>
    <xf numFmtId="174" fontId="40" fillId="0" borderId="0" xfId="9" applyNumberFormat="1" applyFont="1" applyAlignment="1">
      <alignment horizontal="left" vertical="top"/>
    </xf>
    <xf numFmtId="7" fontId="21" fillId="0" borderId="12" xfId="9" applyNumberFormat="1" applyFont="1" applyBorder="1">
      <alignment vertical="top"/>
    </xf>
    <xf numFmtId="0" fontId="21" fillId="0" borderId="5" xfId="9" applyFont="1" applyBorder="1">
      <alignment vertical="top"/>
    </xf>
    <xf numFmtId="7" fontId="21" fillId="0" borderId="4" xfId="9" applyNumberFormat="1" applyFont="1" applyBorder="1" applyAlignment="1">
      <alignment horizontal="center" vertical="top"/>
    </xf>
    <xf numFmtId="7" fontId="21" fillId="0" borderId="9" xfId="9" applyNumberFormat="1" applyFont="1" applyBorder="1" applyAlignment="1">
      <alignment horizontal="center" vertical="top"/>
    </xf>
    <xf numFmtId="7" fontId="21" fillId="0" borderId="5" xfId="9" applyNumberFormat="1" applyFont="1" applyBorder="1" applyAlignment="1">
      <alignment horizontal="center" vertical="top"/>
    </xf>
    <xf numFmtId="0" fontId="21" fillId="0" borderId="4" xfId="9" applyFont="1" applyBorder="1" applyAlignment="1">
      <alignment horizontal="center" vertical="top"/>
    </xf>
    <xf numFmtId="0" fontId="21" fillId="0" borderId="0" xfId="9" applyFont="1" applyBorder="1" applyAlignment="1">
      <alignment horizontal="center" vertical="top"/>
    </xf>
    <xf numFmtId="0" fontId="21" fillId="0" borderId="9" xfId="9" applyFont="1" applyBorder="1" applyAlignment="1">
      <alignment horizontal="centerContinuous" vertical="top"/>
    </xf>
    <xf numFmtId="0" fontId="42" fillId="0" borderId="6" xfId="9" applyFont="1" applyBorder="1" applyAlignment="1">
      <alignment horizontal="center" vertical="top"/>
    </xf>
    <xf numFmtId="0" fontId="21" fillId="0" borderId="21" xfId="9" applyFont="1" applyBorder="1" applyAlignment="1">
      <alignment horizontal="center" vertical="top"/>
    </xf>
    <xf numFmtId="0" fontId="21" fillId="0" borderId="19" xfId="9" applyFont="1" applyBorder="1" applyAlignment="1">
      <alignment horizontal="center" vertical="top"/>
    </xf>
    <xf numFmtId="0" fontId="21" fillId="0" borderId="21" xfId="9" applyNumberFormat="1" applyFont="1" applyFill="1" applyBorder="1" applyAlignment="1">
      <alignment horizontal="center" vertical="top"/>
    </xf>
    <xf numFmtId="0" fontId="21" fillId="0" borderId="13" xfId="9" applyFont="1" applyBorder="1" applyAlignment="1">
      <alignment horizontal="centerContinuous" vertical="top"/>
    </xf>
    <xf numFmtId="0" fontId="21" fillId="0" borderId="5" xfId="9" applyFont="1" applyBorder="1" applyAlignment="1">
      <alignment horizontal="left" vertical="top"/>
    </xf>
    <xf numFmtId="0" fontId="21" fillId="0" borderId="4" xfId="9" applyFont="1" applyBorder="1" applyAlignment="1">
      <alignment horizontal="left" vertical="top"/>
    </xf>
    <xf numFmtId="0" fontId="21" fillId="0" borderId="0" xfId="9" applyFont="1" applyBorder="1" applyAlignment="1">
      <alignment horizontal="left" vertical="top"/>
    </xf>
    <xf numFmtId="7" fontId="21" fillId="0" borderId="3" xfId="9" applyNumberFormat="1" applyFont="1" applyBorder="1">
      <alignment vertical="top"/>
    </xf>
    <xf numFmtId="0" fontId="21" fillId="0" borderId="5" xfId="9" applyFont="1" applyBorder="1" applyAlignment="1">
      <alignment horizontal="center" vertical="top"/>
    </xf>
    <xf numFmtId="168" fontId="21" fillId="0" borderId="4" xfId="9" applyNumberFormat="1" applyFont="1" applyBorder="1" applyAlignment="1">
      <alignment horizontal="center" vertical="top"/>
    </xf>
    <xf numFmtId="168" fontId="21" fillId="0" borderId="0" xfId="9" applyNumberFormat="1" applyFont="1" applyBorder="1" applyAlignment="1">
      <alignment horizontal="center" vertical="top"/>
    </xf>
    <xf numFmtId="0" fontId="21" fillId="0" borderId="6" xfId="9" applyFont="1" applyBorder="1" applyAlignment="1">
      <alignment horizontal="center" vertical="top"/>
    </xf>
    <xf numFmtId="168" fontId="21" fillId="0" borderId="21" xfId="9" applyNumberFormat="1" applyFont="1" applyBorder="1" applyAlignment="1">
      <alignment horizontal="center" vertical="top"/>
    </xf>
    <xf numFmtId="7" fontId="23" fillId="0" borderId="0" xfId="9" applyNumberFormat="1" applyFont="1" applyBorder="1" applyAlignment="1">
      <alignment horizontal="center" vertical="top"/>
    </xf>
    <xf numFmtId="7" fontId="23" fillId="0" borderId="0" xfId="9" applyNumberFormat="1" applyFont="1" applyBorder="1" applyAlignment="1">
      <alignment horizontal="left" vertical="top"/>
    </xf>
    <xf numFmtId="172" fontId="44" fillId="0" borderId="0" xfId="9" applyNumberFormat="1" applyFont="1" applyBorder="1" applyAlignment="1">
      <alignment horizontal="left" vertical="top"/>
    </xf>
    <xf numFmtId="10" fontId="44" fillId="0" borderId="0" xfId="9" applyNumberFormat="1" applyFont="1" applyBorder="1" applyAlignment="1">
      <alignment horizontal="centerContinuous" vertical="top"/>
    </xf>
    <xf numFmtId="0" fontId="44" fillId="0" borderId="0" xfId="9" applyFont="1" applyBorder="1" applyAlignment="1">
      <alignment horizontal="center" vertical="top"/>
    </xf>
    <xf numFmtId="172" fontId="44" fillId="0" borderId="0" xfId="9" applyNumberFormat="1" applyFont="1" applyBorder="1" applyAlignment="1">
      <alignment horizontal="center" vertical="top"/>
    </xf>
    <xf numFmtId="0" fontId="21" fillId="0" borderId="12" xfId="9" applyFont="1" applyBorder="1" applyAlignment="1">
      <alignment horizontal="center" vertical="top"/>
    </xf>
    <xf numFmtId="14" fontId="21" fillId="0" borderId="6" xfId="9" applyNumberFormat="1" applyFont="1" applyFill="1" applyBorder="1" applyAlignment="1">
      <alignment horizontal="center" vertical="top"/>
    </xf>
    <xf numFmtId="0" fontId="42" fillId="0" borderId="17" xfId="9" applyFont="1" applyBorder="1" applyAlignment="1">
      <alignment horizontal="left" vertical="top"/>
    </xf>
    <xf numFmtId="0" fontId="21" fillId="0" borderId="17" xfId="9" applyFont="1" applyBorder="1" applyAlignment="1">
      <alignment horizontal="left" vertical="top"/>
    </xf>
    <xf numFmtId="168" fontId="21" fillId="0" borderId="5" xfId="9" applyNumberFormat="1" applyFont="1" applyBorder="1" applyAlignment="1">
      <alignment horizontal="center" vertical="top"/>
    </xf>
    <xf numFmtId="0" fontId="21" fillId="0" borderId="22" xfId="9" applyFont="1" applyBorder="1" applyAlignment="1">
      <alignment horizontal="center" vertical="top"/>
    </xf>
    <xf numFmtId="168" fontId="21" fillId="0" borderId="23" xfId="9" applyNumberFormat="1" applyFont="1" applyBorder="1" applyAlignment="1">
      <alignment horizontal="center" vertical="top"/>
    </xf>
    <xf numFmtId="168" fontId="23" fillId="0" borderId="0" xfId="9" applyNumberFormat="1" applyFont="1" applyBorder="1" applyAlignment="1">
      <alignment horizontal="center" vertical="top"/>
    </xf>
    <xf numFmtId="0" fontId="44" fillId="0" borderId="0" xfId="9" applyFont="1" applyAlignment="1">
      <alignment horizontal="center" vertical="top"/>
    </xf>
    <xf numFmtId="0" fontId="44" fillId="0" borderId="0" xfId="9" applyFont="1">
      <alignment vertical="top"/>
    </xf>
    <xf numFmtId="172" fontId="44" fillId="0" borderId="0" xfId="9" applyNumberFormat="1" applyFont="1" applyAlignment="1">
      <alignment horizontal="centerContinuous" vertical="top"/>
    </xf>
    <xf numFmtId="172" fontId="44" fillId="0" borderId="0" xfId="9" applyNumberFormat="1" applyFont="1" applyBorder="1" applyAlignment="1">
      <alignment horizontal="centerContinuous" vertical="top"/>
    </xf>
    <xf numFmtId="0" fontId="44" fillId="0" borderId="0" xfId="9" applyFont="1" applyBorder="1">
      <alignment vertical="top"/>
    </xf>
    <xf numFmtId="0" fontId="44" fillId="0" borderId="2" xfId="9" applyFont="1" applyBorder="1">
      <alignment vertical="top"/>
    </xf>
    <xf numFmtId="0" fontId="44" fillId="0" borderId="8" xfId="9" applyFont="1" applyBorder="1">
      <alignment vertical="top"/>
    </xf>
    <xf numFmtId="7" fontId="44" fillId="0" borderId="8" xfId="9" applyNumberFormat="1" applyFont="1" applyBorder="1">
      <alignment vertical="top"/>
    </xf>
    <xf numFmtId="0" fontId="44" fillId="0" borderId="2" xfId="9" applyFont="1" applyBorder="1" applyAlignment="1">
      <alignment horizontal="center" vertical="top"/>
    </xf>
    <xf numFmtId="0" fontId="44" fillId="0" borderId="14" xfId="9" applyFont="1" applyBorder="1">
      <alignment vertical="top"/>
    </xf>
    <xf numFmtId="0" fontId="44" fillId="0" borderId="0" xfId="9" applyFont="1" applyFill="1">
      <alignment vertical="top"/>
    </xf>
    <xf numFmtId="175" fontId="44" fillId="0" borderId="0" xfId="9" applyNumberFormat="1" applyFont="1">
      <alignment vertical="top"/>
    </xf>
    <xf numFmtId="7" fontId="11" fillId="0" borderId="0" xfId="9" applyNumberFormat="1" applyBorder="1" applyAlignment="1">
      <alignment horizontal="center" vertical="top"/>
    </xf>
    <xf numFmtId="168" fontId="11" fillId="0" borderId="0" xfId="9" applyNumberFormat="1" applyBorder="1" applyAlignment="1">
      <alignment horizontal="center" vertical="top"/>
    </xf>
    <xf numFmtId="0" fontId="28" fillId="0" borderId="0" xfId="9" applyFont="1" applyAlignment="1">
      <alignment horizontal="centerContinuous" vertical="top"/>
    </xf>
    <xf numFmtId="0" fontId="21" fillId="0" borderId="0" xfId="9" applyFont="1" applyAlignment="1">
      <alignment horizontal="left" vertical="top"/>
    </xf>
    <xf numFmtId="0" fontId="41" fillId="0" borderId="0" xfId="9" applyFont="1">
      <alignment vertical="top"/>
    </xf>
    <xf numFmtId="0" fontId="45" fillId="0" borderId="0" xfId="9" applyFont="1">
      <alignment vertical="top"/>
    </xf>
    <xf numFmtId="174" fontId="25" fillId="0" borderId="11" xfId="9" applyNumberFormat="1" applyFont="1" applyBorder="1" applyAlignment="1">
      <alignment horizontal="left" vertical="top"/>
    </xf>
    <xf numFmtId="172" fontId="25" fillId="0" borderId="3" xfId="9" applyNumberFormat="1" applyFont="1" applyBorder="1" applyAlignment="1">
      <alignment horizontal="center" vertical="top"/>
    </xf>
    <xf numFmtId="0" fontId="25" fillId="0" borderId="19" xfId="9" applyFont="1" applyBorder="1">
      <alignment vertical="top"/>
    </xf>
    <xf numFmtId="174" fontId="25" fillId="0" borderId="19" xfId="9" applyNumberFormat="1" applyFont="1" applyBorder="1" applyAlignment="1">
      <alignment horizontal="left" vertical="top"/>
    </xf>
    <xf numFmtId="172" fontId="25" fillId="0" borderId="21" xfId="9" applyNumberFormat="1" applyFont="1" applyBorder="1" applyAlignment="1">
      <alignment horizontal="center" vertical="top"/>
    </xf>
    <xf numFmtId="174" fontId="25" fillId="0" borderId="0" xfId="9" applyNumberFormat="1" applyFont="1" applyBorder="1" applyAlignment="1">
      <alignment horizontal="left" vertical="top"/>
    </xf>
    <xf numFmtId="0" fontId="25" fillId="0" borderId="3" xfId="9" applyFont="1" applyBorder="1">
      <alignment vertical="top"/>
    </xf>
    <xf numFmtId="172" fontId="25" fillId="0" borderId="0" xfId="9" applyNumberFormat="1" applyFont="1" applyBorder="1" applyAlignment="1">
      <alignment horizontal="center" vertical="top"/>
    </xf>
    <xf numFmtId="0" fontId="25" fillId="0" borderId="25" xfId="9" applyFont="1" applyBorder="1">
      <alignment vertical="top"/>
    </xf>
    <xf numFmtId="0" fontId="25" fillId="0" borderId="26" xfId="9" applyFont="1" applyBorder="1">
      <alignment vertical="top"/>
    </xf>
    <xf numFmtId="174" fontId="25" fillId="0" borderId="26" xfId="9" applyNumberFormat="1" applyFont="1" applyBorder="1" applyAlignment="1">
      <alignment horizontal="center" vertical="top"/>
    </xf>
    <xf numFmtId="0" fontId="25" fillId="0" borderId="27" xfId="9" applyFont="1" applyBorder="1" applyAlignment="1">
      <alignment horizontal="center" vertical="top"/>
    </xf>
    <xf numFmtId="0" fontId="25" fillId="0" borderId="28" xfId="9" applyFont="1" applyBorder="1" applyAlignment="1">
      <alignment horizontal="center" vertical="top"/>
    </xf>
    <xf numFmtId="0" fontId="25" fillId="0" borderId="28" xfId="9" applyFont="1" applyBorder="1">
      <alignment vertical="top"/>
    </xf>
    <xf numFmtId="0" fontId="25" fillId="0" borderId="29" xfId="9" applyFont="1" applyBorder="1">
      <alignment vertical="top"/>
    </xf>
    <xf numFmtId="0" fontId="25" fillId="0" borderId="4" xfId="9" applyFont="1" applyBorder="1" applyAlignment="1">
      <alignment horizontal="center" vertical="top"/>
    </xf>
    <xf numFmtId="0" fontId="25" fillId="0" borderId="0" xfId="9" applyFont="1" applyAlignment="1">
      <alignment horizontal="center" vertical="top"/>
    </xf>
    <xf numFmtId="0" fontId="25" fillId="0" borderId="21" xfId="9" applyFont="1" applyBorder="1" applyAlignment="1">
      <alignment horizontal="center" vertical="top"/>
    </xf>
    <xf numFmtId="0" fontId="25" fillId="0" borderId="19" xfId="9" applyFont="1" applyBorder="1" applyAlignment="1">
      <alignment horizontal="center" vertical="top"/>
    </xf>
    <xf numFmtId="0" fontId="25" fillId="0" borderId="13" xfId="9" applyFont="1" applyBorder="1" applyAlignment="1">
      <alignment horizontal="center" vertical="top"/>
    </xf>
    <xf numFmtId="0" fontId="25" fillId="0" borderId="30" xfId="9" applyFont="1" applyBorder="1" applyAlignment="1">
      <alignment horizontal="center" vertical="top"/>
    </xf>
    <xf numFmtId="0" fontId="25" fillId="0" borderId="4" xfId="9" applyFont="1" applyBorder="1" applyAlignment="1">
      <alignment horizontal="left" vertical="top"/>
    </xf>
    <xf numFmtId="168" fontId="25" fillId="0" borderId="4" xfId="9" applyNumberFormat="1" applyFont="1" applyBorder="1" applyAlignment="1">
      <alignment horizontal="center" vertical="top"/>
    </xf>
    <xf numFmtId="0" fontId="25" fillId="0" borderId="0" xfId="9" applyNumberFormat="1" applyFont="1" applyAlignment="1">
      <alignment horizontal="center" vertical="top"/>
    </xf>
    <xf numFmtId="0" fontId="25" fillId="0" borderId="4" xfId="9" applyNumberFormat="1" applyFont="1" applyBorder="1" applyAlignment="1">
      <alignment horizontal="center" vertical="top"/>
    </xf>
    <xf numFmtId="172" fontId="25" fillId="0" borderId="4" xfId="9" applyNumberFormat="1" applyFont="1" applyBorder="1" applyAlignment="1">
      <alignment horizontal="center" vertical="top"/>
    </xf>
    <xf numFmtId="171" fontId="25" fillId="0" borderId="4" xfId="9" applyNumberFormat="1" applyFont="1" applyBorder="1" applyAlignment="1">
      <alignment horizontal="center" vertical="top"/>
    </xf>
    <xf numFmtId="0" fontId="25" fillId="0" borderId="0" xfId="9" applyNumberFormat="1" applyFont="1" applyBorder="1" applyAlignment="1">
      <alignment horizontal="center" vertical="top"/>
    </xf>
    <xf numFmtId="0" fontId="25" fillId="0" borderId="9" xfId="9" applyNumberFormat="1" applyFont="1" applyBorder="1" applyAlignment="1">
      <alignment horizontal="center" vertical="top"/>
    </xf>
    <xf numFmtId="10" fontId="25" fillId="0" borderId="2" xfId="9" applyNumberFormat="1" applyFont="1" applyBorder="1" applyAlignment="1">
      <alignment horizontal="center" vertical="top"/>
    </xf>
    <xf numFmtId="168" fontId="25" fillId="0" borderId="0" xfId="9" applyNumberFormat="1" applyFont="1" applyBorder="1" applyAlignment="1">
      <alignment horizontal="center" vertical="top"/>
    </xf>
    <xf numFmtId="0" fontId="25" fillId="0" borderId="4" xfId="9" applyNumberFormat="1" applyFont="1" applyBorder="1" applyAlignment="1">
      <alignment horizontal="left" vertical="top"/>
    </xf>
    <xf numFmtId="7" fontId="25" fillId="0" borderId="4" xfId="9" applyNumberFormat="1" applyFont="1" applyBorder="1">
      <alignment vertical="top"/>
    </xf>
    <xf numFmtId="174" fontId="25" fillId="0" borderId="4" xfId="9" applyNumberFormat="1" applyFont="1" applyBorder="1" applyAlignment="1">
      <alignment horizontal="left" vertical="top"/>
    </xf>
    <xf numFmtId="168" fontId="11" fillId="0" borderId="4" xfId="9" applyNumberFormat="1" applyBorder="1" applyAlignment="1">
      <alignment horizontal="center" vertical="top"/>
    </xf>
    <xf numFmtId="168" fontId="25" fillId="0" borderId="0" xfId="9" applyNumberFormat="1" applyFont="1" applyFill="1" applyBorder="1" applyAlignment="1">
      <alignment horizontal="center" vertical="top"/>
    </xf>
    <xf numFmtId="174" fontId="25" fillId="0" borderId="4" xfId="9" applyNumberFormat="1" applyFont="1" applyFill="1" applyBorder="1" applyAlignment="1">
      <alignment horizontal="left" vertical="top"/>
    </xf>
    <xf numFmtId="0" fontId="25" fillId="0" borderId="21" xfId="9" applyNumberFormat="1" applyFont="1" applyBorder="1" applyAlignment="1">
      <alignment horizontal="left" vertical="top"/>
    </xf>
    <xf numFmtId="0" fontId="25" fillId="0" borderId="21" xfId="9" applyNumberFormat="1" applyFont="1" applyBorder="1" applyAlignment="1">
      <alignment horizontal="center" vertical="top"/>
    </xf>
    <xf numFmtId="0" fontId="25" fillId="0" borderId="19" xfId="9" applyNumberFormat="1" applyFont="1" applyBorder="1" applyAlignment="1">
      <alignment horizontal="center" vertical="top"/>
    </xf>
    <xf numFmtId="0" fontId="25" fillId="0" borderId="13" xfId="9" applyNumberFormat="1" applyFont="1" applyBorder="1" applyAlignment="1">
      <alignment horizontal="center" vertical="top"/>
    </xf>
    <xf numFmtId="7" fontId="25" fillId="0" borderId="21" xfId="9" applyNumberFormat="1" applyFont="1" applyBorder="1">
      <alignment vertical="top"/>
    </xf>
    <xf numFmtId="0" fontId="25" fillId="0" borderId="30" xfId="9" applyNumberFormat="1" applyFont="1" applyBorder="1" applyAlignment="1">
      <alignment horizontal="center" vertical="top"/>
    </xf>
    <xf numFmtId="10" fontId="25" fillId="0" borderId="0" xfId="9" applyNumberFormat="1" applyFont="1" applyBorder="1" applyAlignment="1">
      <alignment horizontal="center" vertical="top"/>
    </xf>
    <xf numFmtId="0" fontId="25" fillId="0" borderId="10" xfId="9" applyFont="1" applyBorder="1" applyAlignment="1">
      <alignment horizontal="left" vertical="top"/>
    </xf>
    <xf numFmtId="0" fontId="25" fillId="0" borderId="10" xfId="9" applyFont="1" applyBorder="1" applyAlignment="1">
      <alignment horizontal="center" vertical="top"/>
    </xf>
    <xf numFmtId="0" fontId="25" fillId="0" borderId="10" xfId="9" applyNumberFormat="1" applyFont="1" applyBorder="1" applyAlignment="1">
      <alignment horizontal="center" vertical="top"/>
    </xf>
    <xf numFmtId="0" fontId="25" fillId="0" borderId="14" xfId="9" applyNumberFormat="1" applyFont="1" applyBorder="1" applyAlignment="1">
      <alignment horizontal="center" vertical="top"/>
    </xf>
    <xf numFmtId="0" fontId="25" fillId="0" borderId="31" xfId="9" applyNumberFormat="1" applyFont="1" applyBorder="1" applyAlignment="1">
      <alignment horizontal="center" vertical="top"/>
    </xf>
    <xf numFmtId="0" fontId="25" fillId="0" borderId="14" xfId="9" applyFont="1" applyBorder="1" applyAlignment="1">
      <alignment horizontal="center" vertical="top"/>
    </xf>
    <xf numFmtId="172" fontId="25" fillId="0" borderId="10" xfId="9" applyNumberFormat="1" applyFont="1" applyBorder="1" applyAlignment="1">
      <alignment horizontal="center" vertical="top"/>
    </xf>
    <xf numFmtId="15" fontId="11" fillId="0" borderId="0" xfId="9" applyNumberFormat="1">
      <alignment vertical="top"/>
    </xf>
    <xf numFmtId="0" fontId="46" fillId="0" borderId="0" xfId="9" applyFont="1" applyAlignment="1">
      <alignment horizontal="centerContinuous" vertical="top"/>
    </xf>
    <xf numFmtId="0" fontId="35" fillId="0" borderId="0" xfId="9" applyFont="1" applyAlignment="1">
      <alignment horizontal="centerContinuous" vertical="top"/>
    </xf>
    <xf numFmtId="0" fontId="11" fillId="0" borderId="0" xfId="9" applyAlignment="1">
      <alignment horizontal="centerContinuous" vertical="top"/>
    </xf>
    <xf numFmtId="0" fontId="47" fillId="0" borderId="0" xfId="9" applyFont="1">
      <alignment vertical="top"/>
    </xf>
    <xf numFmtId="0" fontId="40" fillId="0" borderId="0" xfId="9" applyFont="1">
      <alignment vertical="top"/>
    </xf>
    <xf numFmtId="0" fontId="11" fillId="0" borderId="0" xfId="9">
      <alignment vertical="top"/>
    </xf>
    <xf numFmtId="0" fontId="44" fillId="0" borderId="32" xfId="9" applyFont="1" applyBorder="1">
      <alignment vertical="top"/>
    </xf>
    <xf numFmtId="0" fontId="44" fillId="0" borderId="28" xfId="9" applyFont="1" applyBorder="1">
      <alignment vertical="top"/>
    </xf>
    <xf numFmtId="0" fontId="44" fillId="0" borderId="33" xfId="9" applyFont="1" applyBorder="1" applyAlignment="1">
      <alignment horizontal="centerContinuous" vertical="top"/>
    </xf>
    <xf numFmtId="0" fontId="44" fillId="0" borderId="34" xfId="9" applyFont="1" applyBorder="1" applyAlignment="1">
      <alignment horizontal="centerContinuous" vertical="top"/>
    </xf>
    <xf numFmtId="0" fontId="44" fillId="0" borderId="35" xfId="9" applyFont="1" applyBorder="1" applyAlignment="1">
      <alignment horizontal="centerContinuous" vertical="top"/>
    </xf>
    <xf numFmtId="0" fontId="44" fillId="0" borderId="29" xfId="9" applyFont="1" applyBorder="1" applyAlignment="1">
      <alignment horizontal="center" vertical="top"/>
    </xf>
    <xf numFmtId="0" fontId="44" fillId="0" borderId="17" xfId="9" applyFont="1" applyBorder="1">
      <alignment vertical="top"/>
    </xf>
    <xf numFmtId="0" fontId="44" fillId="0" borderId="4" xfId="9" applyFont="1" applyBorder="1">
      <alignment vertical="top"/>
    </xf>
    <xf numFmtId="0" fontId="44" fillId="0" borderId="36" xfId="9" applyFont="1" applyBorder="1" applyAlignment="1">
      <alignment horizontal="centerContinuous" vertical="top"/>
    </xf>
    <xf numFmtId="0" fontId="44" fillId="0" borderId="37" xfId="9" applyFont="1" applyBorder="1" applyAlignment="1">
      <alignment horizontal="centerContinuous" vertical="top"/>
    </xf>
    <xf numFmtId="0" fontId="44" fillId="0" borderId="38" xfId="9" applyFont="1" applyBorder="1" applyAlignment="1">
      <alignment horizontal="centerContinuous" vertical="top"/>
    </xf>
    <xf numFmtId="0" fontId="44" fillId="0" borderId="17" xfId="9" applyFont="1" applyBorder="1" applyAlignment="1">
      <alignment horizontal="center" vertical="top"/>
    </xf>
    <xf numFmtId="0" fontId="44" fillId="0" borderId="4" xfId="9" applyFont="1" applyBorder="1" applyAlignment="1">
      <alignment horizontal="center" vertical="top"/>
    </xf>
    <xf numFmtId="0" fontId="44" fillId="0" borderId="3" xfId="9" applyFont="1" applyBorder="1">
      <alignment vertical="top"/>
    </xf>
    <xf numFmtId="0" fontId="44" fillId="0" borderId="18" xfId="9" applyFont="1" applyBorder="1" applyAlignment="1">
      <alignment horizontal="center" vertical="top"/>
    </xf>
    <xf numFmtId="0" fontId="44" fillId="0" borderId="21" xfId="9" applyFont="1" applyBorder="1" applyAlignment="1">
      <alignment horizontal="center" vertical="top"/>
    </xf>
    <xf numFmtId="0" fontId="44" fillId="0" borderId="30" xfId="9" applyFont="1" applyBorder="1" applyAlignment="1">
      <alignment horizontal="center" vertical="top"/>
    </xf>
    <xf numFmtId="14" fontId="44" fillId="0" borderId="17" xfId="9" applyNumberFormat="1" applyFont="1" applyBorder="1" applyAlignment="1">
      <alignment horizontal="center" vertical="top"/>
    </xf>
    <xf numFmtId="14" fontId="44" fillId="0" borderId="4" xfId="9" applyNumberFormat="1" applyFont="1" applyBorder="1" applyAlignment="1">
      <alignment horizontal="center" vertical="top"/>
    </xf>
    <xf numFmtId="178" fontId="44" fillId="0" borderId="4" xfId="9" applyNumberFormat="1" applyFont="1" applyBorder="1" applyAlignment="1">
      <alignment horizontal="center" vertical="top"/>
    </xf>
    <xf numFmtId="10" fontId="44" fillId="0" borderId="4" xfId="9" applyNumberFormat="1" applyFont="1" applyBorder="1" applyAlignment="1">
      <alignment horizontal="center" vertical="top"/>
    </xf>
    <xf numFmtId="10" fontId="44" fillId="0" borderId="2" xfId="9" applyNumberFormat="1" applyFont="1" applyBorder="1" applyAlignment="1">
      <alignment horizontal="center" vertical="top"/>
    </xf>
    <xf numFmtId="178" fontId="44" fillId="0" borderId="4" xfId="9" applyNumberFormat="1" applyFont="1" applyBorder="1">
      <alignment vertical="top"/>
    </xf>
    <xf numFmtId="7" fontId="44" fillId="0" borderId="17" xfId="9" applyNumberFormat="1" applyFont="1" applyBorder="1" applyAlignment="1">
      <alignment horizontal="center" vertical="top"/>
    </xf>
    <xf numFmtId="7" fontId="44" fillId="0" borderId="4" xfId="9" applyNumberFormat="1" applyFont="1" applyBorder="1" applyAlignment="1">
      <alignment horizontal="center" vertical="top"/>
    </xf>
    <xf numFmtId="14" fontId="44" fillId="0" borderId="0" xfId="9" applyNumberFormat="1" applyFont="1" applyAlignment="1">
      <alignment horizontal="left" vertical="top"/>
    </xf>
    <xf numFmtId="0" fontId="47" fillId="0" borderId="0" xfId="9" applyFont="1" applyAlignment="1">
      <alignment horizontal="center" vertical="top"/>
    </xf>
    <xf numFmtId="0" fontId="22" fillId="0" borderId="0" xfId="9" applyFont="1" applyAlignment="1">
      <alignment horizontal="center" vertical="top"/>
    </xf>
    <xf numFmtId="0" fontId="44" fillId="0" borderId="0" xfId="9" applyFont="1" applyAlignment="1">
      <alignment horizontal="centerContinuous" vertical="top"/>
    </xf>
    <xf numFmtId="0" fontId="25" fillId="0" borderId="39" xfId="9" applyFont="1" applyBorder="1" applyAlignment="1">
      <alignment horizontal="center" vertical="top"/>
    </xf>
    <xf numFmtId="0" fontId="25" fillId="0" borderId="40" xfId="9" applyFont="1" applyBorder="1" applyAlignment="1">
      <alignment horizontal="center" vertical="top"/>
    </xf>
    <xf numFmtId="0" fontId="25" fillId="0" borderId="41" xfId="9" applyFont="1" applyBorder="1" applyAlignment="1">
      <alignment horizontal="center" vertical="top"/>
    </xf>
    <xf numFmtId="0" fontId="25" fillId="0" borderId="17" xfId="9" applyFont="1" applyBorder="1">
      <alignment vertical="top"/>
    </xf>
    <xf numFmtId="14" fontId="25" fillId="0" borderId="17" xfId="9" applyNumberFormat="1" applyFont="1" applyBorder="1" applyAlignment="1">
      <alignment horizontal="center" vertical="top"/>
    </xf>
    <xf numFmtId="14" fontId="25" fillId="0" borderId="0" xfId="9" applyNumberFormat="1" applyFont="1" applyBorder="1" applyAlignment="1">
      <alignment horizontal="center" vertical="top"/>
    </xf>
    <xf numFmtId="172" fontId="25" fillId="0" borderId="2" xfId="9" applyNumberFormat="1" applyFont="1" applyBorder="1" applyAlignment="1">
      <alignment horizontal="center" vertical="top"/>
    </xf>
    <xf numFmtId="0" fontId="25" fillId="0" borderId="22" xfId="9" applyFont="1" applyBorder="1">
      <alignment vertical="top"/>
    </xf>
    <xf numFmtId="0" fontId="25" fillId="0" borderId="16" xfId="9" applyFont="1" applyBorder="1">
      <alignment vertical="top"/>
    </xf>
    <xf numFmtId="0" fontId="25" fillId="0" borderId="2" xfId="9" applyFont="1" applyBorder="1">
      <alignment vertical="top"/>
    </xf>
    <xf numFmtId="7" fontId="25" fillId="0" borderId="17" xfId="9" applyNumberFormat="1" applyFont="1" applyBorder="1">
      <alignment vertical="top"/>
    </xf>
    <xf numFmtId="15" fontId="25" fillId="0" borderId="17" xfId="9" applyNumberFormat="1" applyFont="1" applyBorder="1" applyAlignment="1">
      <alignment horizontal="center" vertical="top"/>
    </xf>
    <xf numFmtId="15" fontId="25" fillId="0" borderId="0" xfId="9" applyNumberFormat="1" applyFont="1" applyBorder="1" applyAlignment="1">
      <alignment horizontal="center" vertical="top"/>
    </xf>
    <xf numFmtId="15" fontId="25" fillId="0" borderId="5" xfId="9" applyNumberFormat="1" applyFont="1" applyBorder="1" applyAlignment="1">
      <alignment horizontal="center" vertical="top"/>
    </xf>
    <xf numFmtId="7" fontId="25" fillId="0" borderId="0" xfId="9" applyNumberFormat="1" applyFont="1" applyAlignment="1">
      <alignment horizontal="right" vertical="top"/>
    </xf>
    <xf numFmtId="14" fontId="25" fillId="0" borderId="0" xfId="9" applyNumberFormat="1" applyFont="1" applyAlignment="1">
      <alignment horizontal="left" vertical="top"/>
    </xf>
    <xf numFmtId="15" fontId="25" fillId="0" borderId="0" xfId="9" applyNumberFormat="1" applyFont="1">
      <alignment vertical="top"/>
    </xf>
    <xf numFmtId="0" fontId="49" fillId="0" borderId="0" xfId="9" applyFont="1" applyAlignment="1">
      <alignment horizontal="centerContinuous" vertical="top"/>
    </xf>
    <xf numFmtId="0" fontId="35" fillId="0" borderId="0" xfId="9" applyFont="1" applyAlignment="1">
      <alignment horizontal="left" vertical="top"/>
    </xf>
    <xf numFmtId="7" fontId="50" fillId="0" borderId="0" xfId="9" applyNumberFormat="1" applyFont="1">
      <alignment vertical="top"/>
    </xf>
    <xf numFmtId="0" fontId="35" fillId="0" borderId="0" xfId="9" applyFont="1" applyAlignment="1">
      <alignment vertical="top"/>
    </xf>
    <xf numFmtId="175" fontId="25" fillId="0" borderId="0" xfId="9" applyNumberFormat="1" applyFont="1" applyAlignment="1">
      <alignment horizontal="center" vertical="top"/>
    </xf>
    <xf numFmtId="0" fontId="25" fillId="0" borderId="19" xfId="9" applyFont="1" applyBorder="1" applyAlignment="1">
      <alignment horizontal="center" wrapText="1"/>
    </xf>
    <xf numFmtId="7" fontId="25" fillId="0" borderId="19" xfId="9" applyNumberFormat="1" applyFont="1" applyBorder="1" applyAlignment="1">
      <alignment horizontal="center" wrapText="1"/>
    </xf>
    <xf numFmtId="179" fontId="11" fillId="0" borderId="0" xfId="9" applyNumberFormat="1" applyAlignment="1">
      <alignment horizontal="center" vertical="top"/>
    </xf>
    <xf numFmtId="173" fontId="25" fillId="0" borderId="0" xfId="9" applyNumberFormat="1" applyFont="1" applyAlignment="1">
      <alignment horizontal="center" vertical="top"/>
    </xf>
    <xf numFmtId="172" fontId="25" fillId="0" borderId="0" xfId="9" applyNumberFormat="1" applyFont="1" applyAlignment="1">
      <alignment horizontal="center" vertical="top"/>
    </xf>
    <xf numFmtId="168" fontId="11" fillId="0" borderId="0" xfId="9" applyNumberFormat="1" applyAlignment="1">
      <alignment horizontal="center" vertical="top"/>
    </xf>
    <xf numFmtId="7" fontId="35" fillId="0" borderId="0" xfId="9" applyNumberFormat="1" applyFont="1">
      <alignment vertical="top"/>
    </xf>
    <xf numFmtId="0" fontId="35" fillId="0" borderId="0" xfId="9" applyNumberFormat="1" applyFont="1">
      <alignment vertical="top"/>
    </xf>
    <xf numFmtId="14" fontId="25" fillId="0" borderId="0" xfId="9" applyNumberFormat="1" applyFont="1" applyAlignment="1">
      <alignment horizontal="center" vertical="top"/>
    </xf>
    <xf numFmtId="7" fontId="25" fillId="0" borderId="0" xfId="9" applyNumberFormat="1" applyFont="1" applyAlignment="1">
      <alignment horizontal="center" vertical="top"/>
    </xf>
    <xf numFmtId="168" fontId="25" fillId="0" borderId="0" xfId="9" applyNumberFormat="1" applyFont="1" applyAlignment="1">
      <alignment horizontal="center" vertical="top"/>
    </xf>
    <xf numFmtId="0" fontId="25" fillId="0" borderId="0" xfId="9" applyFont="1" applyBorder="1" applyAlignment="1">
      <alignment horizontal="center" wrapText="1"/>
    </xf>
    <xf numFmtId="0" fontId="47" fillId="0" borderId="0" xfId="9" applyFont="1" applyBorder="1" applyAlignment="1">
      <alignment horizontal="center" vertical="top"/>
    </xf>
    <xf numFmtId="14" fontId="26" fillId="0" borderId="0" xfId="9" applyNumberFormat="1" applyFont="1">
      <alignment vertical="top"/>
    </xf>
    <xf numFmtId="0" fontId="22" fillId="0" borderId="0" xfId="9" applyFont="1" applyAlignment="1">
      <alignment horizontal="left" vertical="top"/>
    </xf>
    <xf numFmtId="175" fontId="25" fillId="0" borderId="19" xfId="9" applyNumberFormat="1" applyFont="1" applyBorder="1" applyAlignment="1">
      <alignment horizontal="center" vertical="top" wrapText="1"/>
    </xf>
    <xf numFmtId="7" fontId="25" fillId="0" borderId="19" xfId="9" applyNumberFormat="1" applyFont="1" applyBorder="1" applyAlignment="1">
      <alignment horizontal="center" vertical="top" wrapText="1"/>
    </xf>
    <xf numFmtId="168" fontId="25" fillId="0" borderId="19" xfId="9" applyNumberFormat="1" applyFont="1" applyBorder="1" applyAlignment="1">
      <alignment horizontal="center" vertical="top" wrapText="1"/>
    </xf>
    <xf numFmtId="7" fontId="11" fillId="0" borderId="19" xfId="9" applyNumberFormat="1" applyBorder="1" applyAlignment="1">
      <alignment horizontal="center" vertical="top" wrapText="1"/>
    </xf>
    <xf numFmtId="173" fontId="11" fillId="0" borderId="0" xfId="9" applyNumberFormat="1" applyAlignment="1">
      <alignment horizontal="center" vertical="top"/>
    </xf>
    <xf numFmtId="0" fontId="19" fillId="0" borderId="0" xfId="9" applyFont="1" applyAlignment="1"/>
    <xf numFmtId="0" fontId="23" fillId="0" borderId="0" xfId="9" applyFont="1">
      <alignment vertical="top"/>
    </xf>
    <xf numFmtId="0" fontId="38" fillId="0" borderId="0" xfId="9" applyFont="1" applyAlignment="1">
      <alignment horizontal="left"/>
    </xf>
    <xf numFmtId="0" fontId="25" fillId="0" borderId="0" xfId="9" applyNumberFormat="1" applyFont="1">
      <alignment vertical="top"/>
    </xf>
    <xf numFmtId="0" fontId="19" fillId="0" borderId="0" xfId="9" applyFont="1" applyAlignment="1">
      <alignment horizontal="left" vertical="top"/>
    </xf>
    <xf numFmtId="0" fontId="9" fillId="0" borderId="0" xfId="9" applyFont="1" applyAlignment="1">
      <alignment horizontal="left" vertical="top"/>
    </xf>
    <xf numFmtId="0" fontId="25" fillId="0" borderId="14" xfId="9" applyFont="1" applyBorder="1" applyAlignment="1">
      <alignment horizontal="center"/>
    </xf>
    <xf numFmtId="0" fontId="25" fillId="0" borderId="14" xfId="9" applyFont="1" applyBorder="1" applyAlignment="1">
      <alignment horizontal="center" wrapText="1"/>
    </xf>
    <xf numFmtId="7" fontId="11" fillId="0" borderId="6" xfId="9" applyNumberFormat="1" applyBorder="1" applyAlignment="1">
      <alignment horizontal="center" vertical="top" wrapText="1" shrinkToFit="1"/>
    </xf>
    <xf numFmtId="7" fontId="11" fillId="0" borderId="19" xfId="9" applyNumberFormat="1" applyBorder="1" applyAlignment="1">
      <alignment horizontal="center" vertical="top" wrapText="1" shrinkToFit="1"/>
    </xf>
    <xf numFmtId="7" fontId="11" fillId="0" borderId="13" xfId="9" applyNumberFormat="1" applyBorder="1" applyAlignment="1">
      <alignment horizontal="center" vertical="top" wrapText="1"/>
    </xf>
    <xf numFmtId="7" fontId="11" fillId="0" borderId="0" xfId="9" applyNumberFormat="1" applyBorder="1" applyAlignment="1">
      <alignment horizontal="center" vertical="top" wrapText="1"/>
    </xf>
    <xf numFmtId="0" fontId="34" fillId="0" borderId="0" xfId="9" applyFont="1" applyAlignment="1">
      <alignment horizontal="center" vertical="top"/>
    </xf>
    <xf numFmtId="0" fontId="25" fillId="0" borderId="0" xfId="9" applyFont="1" applyAlignment="1">
      <alignment horizontal="center" vertical="top" wrapText="1"/>
    </xf>
    <xf numFmtId="7" fontId="11" fillId="0" borderId="5" xfId="9" applyNumberFormat="1" applyBorder="1" applyAlignment="1">
      <alignment horizontal="center" vertical="top" wrapText="1" shrinkToFit="1"/>
    </xf>
    <xf numFmtId="7" fontId="11" fillId="0" borderId="0" xfId="9" applyNumberFormat="1" applyBorder="1" applyAlignment="1">
      <alignment horizontal="center" vertical="top" wrapText="1" shrinkToFit="1"/>
    </xf>
    <xf numFmtId="7" fontId="11" fillId="0" borderId="9" xfId="9" applyNumberFormat="1" applyBorder="1" applyAlignment="1">
      <alignment horizontal="center" vertical="top" wrapText="1"/>
    </xf>
    <xf numFmtId="7" fontId="11" fillId="0" borderId="0" xfId="9" applyNumberFormat="1" applyBorder="1" applyAlignment="1">
      <alignment vertical="top" wrapText="1"/>
    </xf>
    <xf numFmtId="179" fontId="25" fillId="0" borderId="0" xfId="9" applyNumberFormat="1" applyFont="1" applyAlignment="1">
      <alignment horizontal="center" vertical="top"/>
    </xf>
    <xf numFmtId="168" fontId="25" fillId="0" borderId="6" xfId="9" applyNumberFormat="1" applyFont="1" applyBorder="1" applyAlignment="1">
      <alignment horizontal="center" vertical="top"/>
    </xf>
    <xf numFmtId="7" fontId="25" fillId="0" borderId="13" xfId="9" applyNumberFormat="1" applyFont="1" applyBorder="1" applyAlignment="1">
      <alignment horizontal="center" vertical="top"/>
    </xf>
    <xf numFmtId="7" fontId="11" fillId="0" borderId="14" xfId="9" applyNumberFormat="1" applyBorder="1" applyAlignment="1">
      <alignment horizontal="center" vertical="top" wrapText="1"/>
    </xf>
    <xf numFmtId="7" fontId="9" fillId="0" borderId="0" xfId="9" applyNumberFormat="1" applyFont="1" applyAlignment="1">
      <alignment vertical="top"/>
    </xf>
    <xf numFmtId="7" fontId="19" fillId="0" borderId="0" xfId="9" applyNumberFormat="1" applyFont="1" applyAlignment="1"/>
    <xf numFmtId="0" fontId="35" fillId="0" borderId="0" xfId="9" applyFont="1" applyAlignment="1">
      <alignment horizontal="center" vertical="top"/>
    </xf>
    <xf numFmtId="0" fontId="11" fillId="0" borderId="14" xfId="9" applyBorder="1" applyAlignment="1">
      <alignment horizontal="center" wrapText="1"/>
    </xf>
    <xf numFmtId="7" fontId="11" fillId="0" borderId="23" xfId="9" applyNumberFormat="1" applyBorder="1" applyAlignment="1">
      <alignment horizontal="center" vertical="top" wrapText="1"/>
    </xf>
    <xf numFmtId="7" fontId="11" fillId="0" borderId="14" xfId="9" applyNumberFormat="1" applyBorder="1" applyAlignment="1">
      <alignment horizontal="center" vertical="top" wrapText="1" shrinkToFit="1"/>
    </xf>
    <xf numFmtId="7" fontId="11" fillId="0" borderId="31" xfId="9" applyNumberFormat="1" applyBorder="1" applyAlignment="1">
      <alignment horizontal="center" vertical="top" wrapText="1"/>
    </xf>
    <xf numFmtId="7" fontId="11" fillId="0" borderId="6" xfId="9" applyNumberFormat="1" applyBorder="1" applyAlignment="1">
      <alignment horizontal="center" vertical="top" wrapText="1"/>
    </xf>
    <xf numFmtId="168" fontId="11" fillId="0" borderId="0" xfId="9" applyNumberFormat="1" applyBorder="1" applyAlignment="1">
      <alignment horizontal="center" vertical="top" wrapText="1"/>
    </xf>
    <xf numFmtId="7" fontId="9" fillId="0" borderId="0" xfId="9" applyNumberFormat="1" applyFont="1">
      <alignment vertical="top"/>
    </xf>
    <xf numFmtId="0" fontId="9" fillId="0" borderId="0" xfId="9" applyFont="1" applyAlignment="1">
      <alignment horizontal="left" vertical="top" wrapText="1"/>
    </xf>
    <xf numFmtId="7" fontId="25" fillId="0" borderId="0" xfId="9" applyNumberFormat="1" applyFont="1" applyBorder="1" applyAlignment="1">
      <alignment horizontal="center" wrapText="1"/>
    </xf>
    <xf numFmtId="7" fontId="25" fillId="0" borderId="0" xfId="9" applyNumberFormat="1" applyFont="1" applyBorder="1" applyAlignment="1">
      <alignment wrapText="1"/>
    </xf>
    <xf numFmtId="7" fontId="34" fillId="0" borderId="0" xfId="9" applyNumberFormat="1" applyFont="1" applyAlignment="1">
      <alignment horizontal="center" vertical="top"/>
    </xf>
    <xf numFmtId="8" fontId="25" fillId="0" borderId="0" xfId="9" applyNumberFormat="1" applyFont="1" applyAlignment="1">
      <alignment horizontal="center" vertical="top"/>
    </xf>
    <xf numFmtId="0" fontId="21" fillId="0" borderId="0" xfId="9" applyFont="1" applyAlignment="1">
      <alignment horizontal="centerContinuous" vertical="top"/>
    </xf>
    <xf numFmtId="0" fontId="4" fillId="0" borderId="3" xfId="9" applyFont="1" applyBorder="1" applyAlignment="1">
      <alignment horizontal="center" vertical="top" wrapText="1"/>
    </xf>
    <xf numFmtId="0" fontId="25" fillId="0" borderId="0" xfId="9" applyFont="1" applyAlignment="1">
      <alignment vertical="top"/>
    </xf>
    <xf numFmtId="177" fontId="25" fillId="0" borderId="0" xfId="9" applyNumberFormat="1" applyFont="1" applyBorder="1" applyAlignment="1">
      <alignment horizontal="center" vertical="top"/>
    </xf>
    <xf numFmtId="180" fontId="25" fillId="0" borderId="0" xfId="9" applyNumberFormat="1" applyFont="1" applyAlignment="1">
      <alignment horizontal="center" vertical="top"/>
    </xf>
    <xf numFmtId="7" fontId="9" fillId="0" borderId="0" xfId="9" applyNumberFormat="1" applyFont="1" applyAlignment="1">
      <alignment horizontal="left"/>
    </xf>
    <xf numFmtId="0" fontId="11" fillId="0" borderId="9" xfId="9" applyBorder="1" applyAlignment="1">
      <alignment horizontal="right" vertical="top"/>
    </xf>
    <xf numFmtId="177" fontId="25" fillId="0" borderId="13" xfId="9" applyNumberFormat="1" applyFont="1" applyBorder="1" applyAlignment="1">
      <alignment horizontal="right" vertical="top"/>
    </xf>
    <xf numFmtId="168" fontId="25" fillId="0" borderId="0" xfId="9" applyNumberFormat="1" applyFont="1" applyAlignment="1">
      <alignment horizontal="left" vertical="top"/>
    </xf>
    <xf numFmtId="7" fontId="11" fillId="0" borderId="0" xfId="9" applyNumberFormat="1" applyFont="1" applyAlignment="1">
      <alignment horizontal="left" vertical="top"/>
    </xf>
    <xf numFmtId="168" fontId="25" fillId="0" borderId="36" xfId="9" applyNumberFormat="1" applyFont="1" applyBorder="1" applyAlignment="1">
      <alignment horizontal="center" vertical="top"/>
    </xf>
    <xf numFmtId="7" fontId="11" fillId="0" borderId="38" xfId="9" applyNumberFormat="1" applyBorder="1" applyAlignment="1">
      <alignment horizontal="center" vertical="top"/>
    </xf>
    <xf numFmtId="14" fontId="11" fillId="0" borderId="0" xfId="9" applyNumberFormat="1" applyAlignment="1">
      <alignment horizontal="center" vertical="top"/>
    </xf>
    <xf numFmtId="174" fontId="23" fillId="0" borderId="0" xfId="9" applyNumberFormat="1" applyFont="1" applyFill="1" applyAlignment="1">
      <alignment vertical="top"/>
    </xf>
    <xf numFmtId="0" fontId="25" fillId="0" borderId="0" xfId="9" applyFont="1" applyFill="1" applyAlignment="1">
      <alignment horizontal="centerContinuous" vertical="top"/>
    </xf>
    <xf numFmtId="0" fontId="10" fillId="0" borderId="0" xfId="8"/>
    <xf numFmtId="0" fontId="43" fillId="0" borderId="0" xfId="8" applyFont="1"/>
    <xf numFmtId="0" fontId="49" fillId="0" borderId="0" xfId="8" applyFont="1" applyAlignment="1">
      <alignment horizontal="centerContinuous" vertical="top"/>
    </xf>
    <xf numFmtId="0" fontId="35" fillId="0" borderId="0" xfId="8" applyFont="1" applyAlignment="1">
      <alignment horizontal="centerContinuous" vertical="top"/>
    </xf>
    <xf numFmtId="0" fontId="19" fillId="0" borderId="0" xfId="8" applyFont="1" applyAlignment="1">
      <alignment horizontal="left"/>
    </xf>
    <xf numFmtId="0" fontId="35" fillId="0" borderId="0" xfId="8" applyFont="1" applyAlignment="1">
      <alignment horizontal="left" vertical="top"/>
    </xf>
    <xf numFmtId="0" fontId="19" fillId="0" borderId="0" xfId="8" applyFont="1"/>
    <xf numFmtId="0" fontId="35" fillId="0" borderId="0" xfId="8" applyFont="1" applyAlignment="1">
      <alignment vertical="top"/>
    </xf>
    <xf numFmtId="0" fontId="50" fillId="0" borderId="0" xfId="8" applyFont="1"/>
    <xf numFmtId="0" fontId="25" fillId="0" borderId="0" xfId="8" applyFont="1"/>
    <xf numFmtId="0" fontId="25" fillId="0" borderId="0" xfId="8" applyFont="1" applyAlignment="1">
      <alignment horizontal="center" vertical="top"/>
    </xf>
    <xf numFmtId="0" fontId="25" fillId="0" borderId="19" xfId="8" applyFont="1" applyBorder="1" applyAlignment="1">
      <alignment horizontal="center" vertical="top"/>
    </xf>
    <xf numFmtId="14" fontId="43" fillId="0" borderId="0" xfId="8" applyNumberFormat="1" applyFont="1"/>
    <xf numFmtId="172" fontId="43" fillId="0" borderId="0" xfId="8" applyNumberFormat="1" applyFont="1"/>
    <xf numFmtId="15" fontId="43" fillId="0" borderId="0" xfId="8" applyNumberFormat="1" applyFont="1"/>
    <xf numFmtId="0" fontId="35" fillId="0" borderId="0" xfId="8" applyFont="1"/>
    <xf numFmtId="0" fontId="3" fillId="0" borderId="0" xfId="8" applyFont="1"/>
    <xf numFmtId="14" fontId="3" fillId="0" borderId="0" xfId="8" applyNumberFormat="1" applyFont="1"/>
    <xf numFmtId="44" fontId="3" fillId="0" borderId="0" xfId="2" applyFont="1"/>
    <xf numFmtId="172" fontId="25" fillId="0" borderId="0" xfId="8" applyNumberFormat="1" applyFont="1" applyAlignment="1">
      <alignment horizontal="center" vertical="top"/>
    </xf>
    <xf numFmtId="172" fontId="3" fillId="0" borderId="0" xfId="8" applyNumberFormat="1" applyFont="1" applyAlignment="1">
      <alignment horizontal="center"/>
    </xf>
    <xf numFmtId="172" fontId="3" fillId="0" borderId="0" xfId="8" applyNumberFormat="1" applyFont="1" applyFill="1" applyAlignment="1">
      <alignment horizontal="center"/>
    </xf>
    <xf numFmtId="0" fontId="3" fillId="0" borderId="0" xfId="8" applyFont="1" applyAlignment="1">
      <alignment horizontal="center"/>
    </xf>
    <xf numFmtId="172" fontId="3" fillId="0" borderId="19" xfId="8" applyNumberFormat="1" applyFont="1" applyFill="1" applyBorder="1" applyAlignment="1">
      <alignment horizontal="center"/>
    </xf>
    <xf numFmtId="0" fontId="3" fillId="0" borderId="19" xfId="8" applyFont="1" applyBorder="1" applyAlignment="1">
      <alignment horizontal="center"/>
    </xf>
    <xf numFmtId="172" fontId="3" fillId="0" borderId="0" xfId="8" applyNumberFormat="1" applyFont="1" applyFill="1" applyBorder="1" applyAlignment="1">
      <alignment horizontal="center"/>
    </xf>
    <xf numFmtId="0" fontId="3" fillId="0" borderId="0" xfId="8" applyFont="1" applyBorder="1" applyAlignment="1">
      <alignment horizontal="center"/>
    </xf>
    <xf numFmtId="14" fontId="26" fillId="0" borderId="0" xfId="8" applyNumberFormat="1" applyFont="1"/>
    <xf numFmtId="0" fontId="25" fillId="0" borderId="0" xfId="8" applyFont="1" applyAlignment="1">
      <alignment horizontal="centerContinuous" vertical="top"/>
    </xf>
    <xf numFmtId="0" fontId="22" fillId="0" borderId="0" xfId="8" applyFont="1" applyAlignment="1">
      <alignment horizontal="left" vertical="top"/>
    </xf>
    <xf numFmtId="0" fontId="22" fillId="0" borderId="0" xfId="8" applyFont="1"/>
    <xf numFmtId="0" fontId="45" fillId="0" borderId="0" xfId="9" applyFont="1" applyAlignment="1">
      <alignment horizontal="centerContinuous" vertical="top"/>
    </xf>
    <xf numFmtId="0" fontId="25" fillId="0" borderId="42" xfId="9" applyFont="1" applyBorder="1">
      <alignment vertical="top"/>
    </xf>
    <xf numFmtId="0" fontId="25" fillId="0" borderId="4" xfId="9" applyFont="1" applyBorder="1">
      <alignment vertical="top"/>
    </xf>
    <xf numFmtId="0" fontId="25" fillId="0" borderId="10" xfId="9" applyFont="1" applyBorder="1">
      <alignment vertical="top"/>
    </xf>
    <xf numFmtId="0" fontId="25" fillId="0" borderId="2" xfId="9" applyNumberFormat="1" applyFont="1" applyBorder="1" applyAlignment="1">
      <alignment horizontal="center" vertical="top"/>
    </xf>
    <xf numFmtId="176" fontId="25" fillId="0" borderId="2" xfId="9" applyNumberFormat="1" applyFont="1" applyBorder="1" applyAlignment="1">
      <alignment horizontal="center" vertical="top"/>
    </xf>
    <xf numFmtId="0" fontId="51" fillId="0" borderId="0" xfId="0" applyFont="1" applyBorder="1"/>
    <xf numFmtId="0" fontId="52" fillId="0" borderId="0" xfId="0" applyFont="1"/>
    <xf numFmtId="0" fontId="52" fillId="0" borderId="0" xfId="0" applyFont="1" applyBorder="1"/>
    <xf numFmtId="0" fontId="53" fillId="0" borderId="0" xfId="0" applyFont="1" applyBorder="1" applyAlignment="1">
      <alignment horizontal="center"/>
    </xf>
    <xf numFmtId="0" fontId="54" fillId="0" borderId="0" xfId="0" applyFont="1" applyAlignment="1">
      <alignment horizontal="center"/>
    </xf>
    <xf numFmtId="14" fontId="54" fillId="0" borderId="0" xfId="0" applyNumberFormat="1" applyFont="1" applyAlignment="1">
      <alignment horizontal="center"/>
    </xf>
    <xf numFmtId="0" fontId="54" fillId="0" borderId="14" xfId="0" applyFont="1" applyBorder="1" applyAlignment="1">
      <alignment horizontal="center" wrapText="1"/>
    </xf>
    <xf numFmtId="0" fontId="54" fillId="0" borderId="0" xfId="0" applyFont="1" applyBorder="1" applyAlignment="1">
      <alignment horizontal="right"/>
    </xf>
    <xf numFmtId="0" fontId="54" fillId="0" borderId="0" xfId="0" applyFont="1" applyAlignment="1">
      <alignment horizontal="right"/>
    </xf>
    <xf numFmtId="0" fontId="54" fillId="0" borderId="0" xfId="0" applyFont="1" applyBorder="1" applyAlignment="1">
      <alignment horizontal="center"/>
    </xf>
    <xf numFmtId="0" fontId="55" fillId="0" borderId="11" xfId="0" applyFont="1" applyFill="1" applyBorder="1" applyAlignment="1">
      <alignment horizontal="center"/>
    </xf>
    <xf numFmtId="0" fontId="54" fillId="0" borderId="19" xfId="0" applyFont="1" applyBorder="1" applyAlignment="1">
      <alignment horizontal="center"/>
    </xf>
    <xf numFmtId="0" fontId="55" fillId="0" borderId="37" xfId="0" applyFont="1" applyFill="1" applyBorder="1" applyAlignment="1">
      <alignment horizontal="center"/>
    </xf>
    <xf numFmtId="171" fontId="52" fillId="0" borderId="19" xfId="0" applyNumberFormat="1" applyFont="1" applyBorder="1"/>
    <xf numFmtId="0" fontId="53" fillId="0" borderId="37" xfId="0" applyFont="1" applyFill="1" applyBorder="1" applyAlignment="1">
      <alignment horizontal="center"/>
    </xf>
    <xf numFmtId="0" fontId="52" fillId="0" borderId="37" xfId="0" applyFont="1" applyFill="1" applyBorder="1" applyAlignment="1">
      <alignment horizontal="center"/>
    </xf>
    <xf numFmtId="0" fontId="55" fillId="0" borderId="0" xfId="0" applyFont="1" applyFill="1" applyBorder="1" applyAlignment="1">
      <alignment horizontal="center"/>
    </xf>
    <xf numFmtId="164" fontId="55" fillId="0" borderId="0" xfId="0" applyNumberFormat="1" applyFont="1" applyFill="1" applyBorder="1" applyAlignment="1">
      <alignment horizontal="center"/>
    </xf>
    <xf numFmtId="39" fontId="52" fillId="0" borderId="0" xfId="0" applyNumberFormat="1" applyFont="1" applyBorder="1"/>
    <xf numFmtId="171" fontId="52" fillId="0" borderId="0" xfId="0" applyNumberFormat="1" applyFont="1" applyBorder="1"/>
    <xf numFmtId="0" fontId="55" fillId="0" borderId="19" xfId="0" applyFont="1" applyFill="1" applyBorder="1" applyAlignment="1">
      <alignment horizontal="center"/>
    </xf>
    <xf numFmtId="164" fontId="55" fillId="0" borderId="19" xfId="0" applyNumberFormat="1" applyFont="1" applyFill="1" applyBorder="1" applyAlignment="1">
      <alignment horizontal="center"/>
    </xf>
    <xf numFmtId="171" fontId="52" fillId="0" borderId="37" xfId="0" applyNumberFormat="1" applyFont="1" applyFill="1" applyBorder="1" applyAlignment="1"/>
    <xf numFmtId="171" fontId="52" fillId="0" borderId="19" xfId="0" applyNumberFormat="1" applyFont="1" applyFill="1" applyBorder="1" applyAlignment="1"/>
    <xf numFmtId="171" fontId="52" fillId="0" borderId="19" xfId="0" applyNumberFormat="1" applyFont="1" applyBorder="1" applyAlignment="1"/>
    <xf numFmtId="0" fontId="56" fillId="0" borderId="0" xfId="0" applyFont="1"/>
    <xf numFmtId="0" fontId="54" fillId="0" borderId="43" xfId="0" applyFont="1" applyBorder="1"/>
    <xf numFmtId="0" fontId="52" fillId="0" borderId="40" xfId="0" applyFont="1" applyBorder="1"/>
    <xf numFmtId="0" fontId="52" fillId="2" borderId="40" xfId="0" applyFont="1" applyFill="1" applyBorder="1"/>
    <xf numFmtId="0" fontId="52" fillId="0" borderId="40" xfId="0" applyFont="1" applyFill="1" applyBorder="1" applyAlignment="1">
      <alignment horizontal="center"/>
    </xf>
    <xf numFmtId="0" fontId="53" fillId="0" borderId="0" xfId="0" applyFont="1" applyBorder="1"/>
    <xf numFmtId="7" fontId="57" fillId="0" borderId="0" xfId="9" applyNumberFormat="1" applyFont="1" applyBorder="1" applyAlignment="1">
      <alignment horizontal="center" vertical="top"/>
    </xf>
    <xf numFmtId="172" fontId="26" fillId="0" borderId="12" xfId="9" applyNumberFormat="1" applyFont="1" applyBorder="1" applyAlignment="1">
      <alignment horizontal="center" vertical="top"/>
    </xf>
    <xf numFmtId="0" fontId="51" fillId="0" borderId="0" xfId="0" applyFont="1"/>
    <xf numFmtId="0" fontId="52" fillId="0" borderId="0" xfId="0" applyFont="1" applyAlignment="1">
      <alignment horizontal="center"/>
    </xf>
    <xf numFmtId="37" fontId="58" fillId="0" borderId="0" xfId="0" applyNumberFormat="1" applyFont="1"/>
    <xf numFmtId="0" fontId="54" fillId="0" borderId="0" xfId="0" applyFont="1"/>
    <xf numFmtId="168" fontId="58" fillId="0" borderId="0" xfId="0" applyNumberFormat="1" applyFont="1" applyFill="1"/>
    <xf numFmtId="37" fontId="58" fillId="0" borderId="0" xfId="0" applyNumberFormat="1" applyFont="1" applyFill="1"/>
    <xf numFmtId="7" fontId="58" fillId="0" borderId="0" xfId="0" applyNumberFormat="1" applyFont="1" applyFill="1"/>
    <xf numFmtId="169" fontId="58" fillId="0" borderId="0" xfId="0" applyNumberFormat="1" applyFont="1" applyFill="1"/>
    <xf numFmtId="0" fontId="58" fillId="0" borderId="0" xfId="0" applyFont="1"/>
    <xf numFmtId="0" fontId="54" fillId="0" borderId="0" xfId="0" quotePrefix="1" applyFont="1" applyAlignment="1">
      <alignment horizontal="center"/>
    </xf>
    <xf numFmtId="0" fontId="58" fillId="0" borderId="0" xfId="0" applyFont="1" applyAlignment="1">
      <alignment horizontal="center"/>
    </xf>
    <xf numFmtId="0" fontId="52" fillId="0" borderId="0" xfId="0" applyFont="1" applyBorder="1" applyAlignment="1">
      <alignment horizontal="center"/>
    </xf>
    <xf numFmtId="37" fontId="54" fillId="0" borderId="44" xfId="0" applyNumberFormat="1" applyFont="1" applyBorder="1" applyAlignment="1">
      <alignment horizontal="centerContinuous"/>
    </xf>
    <xf numFmtId="0" fontId="54" fillId="0" borderId="45" xfId="0" applyNumberFormat="1" applyFont="1" applyBorder="1" applyAlignment="1">
      <alignment horizontal="centerContinuous"/>
    </xf>
    <xf numFmtId="0" fontId="52" fillId="0" borderId="46" xfId="0" applyFont="1" applyBorder="1" applyAlignment="1">
      <alignment horizontal="centerContinuous"/>
    </xf>
    <xf numFmtId="0" fontId="52" fillId="0" borderId="42" xfId="0" applyFont="1" applyBorder="1"/>
    <xf numFmtId="37" fontId="58" fillId="0" borderId="47" xfId="0" applyNumberFormat="1" applyFont="1" applyBorder="1"/>
    <xf numFmtId="0" fontId="52" fillId="0" borderId="48" xfId="0" applyFont="1" applyBorder="1"/>
    <xf numFmtId="169" fontId="52" fillId="0" borderId="47" xfId="11" applyNumberFormat="1" applyFont="1" applyBorder="1" applyAlignment="1">
      <alignment horizontal="right"/>
    </xf>
    <xf numFmtId="0" fontId="52" fillId="0" borderId="40" xfId="0" applyFont="1" applyBorder="1" applyAlignment="1">
      <alignment horizontal="left"/>
    </xf>
    <xf numFmtId="0" fontId="52" fillId="0" borderId="14" xfId="0" applyFont="1" applyBorder="1" applyAlignment="1">
      <alignment horizontal="center"/>
    </xf>
    <xf numFmtId="0" fontId="52" fillId="0" borderId="28" xfId="0" applyFont="1" applyBorder="1"/>
    <xf numFmtId="37" fontId="54" fillId="0" borderId="33" xfId="0" applyNumberFormat="1" applyFont="1" applyBorder="1"/>
    <xf numFmtId="37" fontId="52" fillId="0" borderId="34" xfId="0" applyNumberFormat="1" applyFont="1" applyBorder="1"/>
    <xf numFmtId="37" fontId="52" fillId="0" borderId="35" xfId="0" applyNumberFormat="1" applyFont="1" applyBorder="1"/>
    <xf numFmtId="0" fontId="54" fillId="2" borderId="3" xfId="0" applyFont="1" applyFill="1" applyBorder="1" applyAlignment="1">
      <alignment horizontal="right"/>
    </xf>
    <xf numFmtId="0" fontId="54" fillId="0" borderId="5" xfId="0" applyFont="1" applyBorder="1" applyAlignment="1">
      <alignment horizontal="center"/>
    </xf>
    <xf numFmtId="0" fontId="54" fillId="0" borderId="9" xfId="0" applyFont="1" applyBorder="1" applyAlignment="1">
      <alignment horizontal="center"/>
    </xf>
    <xf numFmtId="0" fontId="52" fillId="0" borderId="11" xfId="0" applyFont="1" applyFill="1" applyBorder="1" applyAlignment="1">
      <alignment horizontal="center"/>
    </xf>
    <xf numFmtId="0" fontId="54" fillId="2" borderId="21" xfId="0" applyFont="1" applyFill="1" applyBorder="1" applyAlignment="1">
      <alignment horizontal="center"/>
    </xf>
    <xf numFmtId="0" fontId="54" fillId="0" borderId="6" xfId="0" applyFont="1" applyBorder="1" applyAlignment="1">
      <alignment horizontal="center"/>
    </xf>
    <xf numFmtId="0" fontId="54" fillId="0" borderId="13" xfId="0" applyFont="1" applyBorder="1" applyAlignment="1">
      <alignment horizontal="center"/>
    </xf>
    <xf numFmtId="37" fontId="52" fillId="0" borderId="19" xfId="0" applyNumberFormat="1" applyFont="1" applyBorder="1"/>
    <xf numFmtId="171" fontId="52" fillId="2" borderId="21" xfId="0" applyNumberFormat="1" applyFont="1" applyFill="1" applyBorder="1"/>
    <xf numFmtId="170" fontId="58" fillId="0" borderId="6" xfId="0" applyNumberFormat="1" applyFont="1" applyBorder="1" applyAlignment="1">
      <alignment horizontal="center"/>
    </xf>
    <xf numFmtId="171" fontId="52" fillId="0" borderId="13" xfId="0" applyNumberFormat="1" applyFont="1" applyBorder="1"/>
    <xf numFmtId="39" fontId="52" fillId="0" borderId="19" xfId="0" applyNumberFormat="1" applyFont="1" applyBorder="1"/>
    <xf numFmtId="0" fontId="52" fillId="0" borderId="0" xfId="0" applyFont="1" applyFill="1" applyBorder="1" applyAlignment="1">
      <alignment horizontal="center"/>
    </xf>
    <xf numFmtId="37" fontId="52" fillId="0" borderId="0" xfId="0" applyNumberFormat="1" applyFont="1" applyBorder="1"/>
    <xf numFmtId="170" fontId="58" fillId="0" borderId="5" xfId="0" applyNumberFormat="1" applyFont="1" applyBorder="1" applyAlignment="1">
      <alignment horizontal="center"/>
    </xf>
    <xf numFmtId="171" fontId="52" fillId="2" borderId="4" xfId="0" applyNumberFormat="1" applyFont="1" applyFill="1" applyBorder="1"/>
    <xf numFmtId="171" fontId="52" fillId="0" borderId="9" xfId="0" applyNumberFormat="1" applyFont="1" applyBorder="1"/>
    <xf numFmtId="0" fontId="52" fillId="0" borderId="19" xfId="0" applyFont="1" applyFill="1" applyBorder="1" applyAlignment="1">
      <alignment horizontal="center"/>
    </xf>
    <xf numFmtId="171" fontId="52" fillId="0" borderId="0" xfId="0" applyNumberFormat="1" applyFont="1" applyBorder="1" applyAlignment="1"/>
    <xf numFmtId="171" fontId="52" fillId="2" borderId="4" xfId="0" applyNumberFormat="1" applyFont="1" applyFill="1" applyBorder="1" applyAlignment="1"/>
    <xf numFmtId="171" fontId="52" fillId="0" borderId="0" xfId="0" applyNumberFormat="1" applyFont="1" applyFill="1" applyBorder="1" applyAlignment="1"/>
    <xf numFmtId="37" fontId="52" fillId="0" borderId="0" xfId="0" applyNumberFormat="1" applyFont="1"/>
    <xf numFmtId="39" fontId="52" fillId="0" borderId="0" xfId="0" applyNumberFormat="1" applyFont="1"/>
    <xf numFmtId="171" fontId="52" fillId="2" borderId="21" xfId="0" applyNumberFormat="1" applyFont="1" applyFill="1" applyBorder="1" applyAlignment="1"/>
    <xf numFmtId="171" fontId="52" fillId="2" borderId="49" xfId="0" applyNumberFormat="1" applyFont="1" applyFill="1" applyBorder="1" applyAlignment="1"/>
    <xf numFmtId="170" fontId="58" fillId="0" borderId="0" xfId="0" applyNumberFormat="1" applyFont="1" applyAlignment="1">
      <alignment horizontal="center"/>
    </xf>
    <xf numFmtId="0" fontId="52" fillId="2" borderId="40" xfId="0" applyFont="1" applyFill="1" applyBorder="1" applyAlignment="1">
      <alignment horizontal="center"/>
    </xf>
    <xf numFmtId="0" fontId="52" fillId="2" borderId="41" xfId="0" applyFont="1" applyFill="1" applyBorder="1"/>
    <xf numFmtId="0" fontId="55" fillId="0" borderId="0" xfId="0" applyFont="1" applyBorder="1" applyAlignment="1">
      <alignment horizontal="center"/>
    </xf>
    <xf numFmtId="169" fontId="52" fillId="0" borderId="47" xfId="11" applyNumberFormat="1" applyFont="1" applyBorder="1"/>
    <xf numFmtId="0" fontId="52" fillId="0" borderId="32" xfId="0" applyFont="1" applyBorder="1"/>
    <xf numFmtId="37" fontId="52" fillId="0" borderId="33" xfId="0" applyNumberFormat="1" applyFont="1" applyBorder="1"/>
    <xf numFmtId="0" fontId="54" fillId="0" borderId="5" xfId="0" applyFont="1" applyBorder="1" applyAlignment="1">
      <alignment horizontal="right"/>
    </xf>
    <xf numFmtId="37" fontId="52" fillId="2" borderId="21" xfId="0" applyNumberFormat="1" applyFont="1" applyFill="1" applyBorder="1"/>
    <xf numFmtId="37" fontId="52" fillId="2" borderId="4" xfId="0" applyNumberFormat="1" applyFont="1" applyFill="1" applyBorder="1"/>
    <xf numFmtId="171" fontId="52" fillId="0" borderId="0" xfId="0" applyNumberFormat="1" applyFont="1"/>
    <xf numFmtId="0" fontId="54" fillId="0" borderId="43" xfId="0" applyFont="1" applyFill="1" applyBorder="1"/>
    <xf numFmtId="0" fontId="52" fillId="0" borderId="40" xfId="0" applyFont="1" applyFill="1" applyBorder="1"/>
    <xf numFmtId="0" fontId="58" fillId="2" borderId="40" xfId="0" applyFont="1" applyFill="1" applyBorder="1"/>
    <xf numFmtId="170" fontId="52" fillId="0" borderId="40" xfId="0" applyNumberFormat="1" applyFont="1" applyFill="1" applyBorder="1" applyAlignment="1">
      <alignment horizontal="center"/>
    </xf>
    <xf numFmtId="171" fontId="58" fillId="0" borderId="0" xfId="0" applyNumberFormat="1" applyFont="1" applyBorder="1"/>
    <xf numFmtId="171" fontId="58" fillId="0" borderId="19" xfId="0" applyNumberFormat="1" applyFont="1" applyFill="1" applyBorder="1" applyAlignment="1"/>
    <xf numFmtId="171" fontId="58" fillId="0" borderId="19" xfId="0" applyNumberFormat="1" applyFont="1" applyBorder="1" applyAlignment="1"/>
    <xf numFmtId="0" fontId="54" fillId="0" borderId="14" xfId="0" applyFont="1" applyBorder="1" applyAlignment="1">
      <alignment horizontal="center"/>
    </xf>
    <xf numFmtId="0" fontId="52" fillId="0" borderId="2" xfId="0" applyFont="1" applyBorder="1"/>
    <xf numFmtId="0" fontId="52" fillId="0" borderId="0" xfId="0" applyFont="1" applyFill="1" applyBorder="1"/>
    <xf numFmtId="0" fontId="52" fillId="0" borderId="43" xfId="0" applyFont="1" applyBorder="1"/>
    <xf numFmtId="37" fontId="54" fillId="0" borderId="0" xfId="0" applyNumberFormat="1" applyFont="1" applyAlignment="1" applyProtection="1">
      <alignment horizontal="left"/>
    </xf>
    <xf numFmtId="43" fontId="52" fillId="0" borderId="0" xfId="0" applyNumberFormat="1" applyFont="1" applyBorder="1"/>
    <xf numFmtId="0" fontId="60" fillId="2" borderId="40" xfId="0" applyFont="1" applyFill="1" applyBorder="1" applyAlignment="1">
      <alignment horizontal="center"/>
    </xf>
    <xf numFmtId="0" fontId="58" fillId="2" borderId="40" xfId="0" applyFont="1" applyFill="1" applyBorder="1" applyAlignment="1">
      <alignment horizontal="center"/>
    </xf>
    <xf numFmtId="0" fontId="61" fillId="0" borderId="0" xfId="0" applyFont="1" applyBorder="1"/>
    <xf numFmtId="0" fontId="61" fillId="0" borderId="0" xfId="0" applyFont="1"/>
    <xf numFmtId="14" fontId="52" fillId="0" borderId="0" xfId="0" applyNumberFormat="1" applyFont="1" applyAlignment="1">
      <alignment horizontal="center"/>
    </xf>
    <xf numFmtId="0" fontId="52" fillId="0" borderId="50" xfId="0" applyFont="1" applyBorder="1" applyAlignment="1">
      <alignment horizontal="center"/>
    </xf>
    <xf numFmtId="14" fontId="52" fillId="0" borderId="51" xfId="0" applyNumberFormat="1" applyFont="1" applyBorder="1" applyAlignment="1">
      <alignment horizontal="center"/>
    </xf>
    <xf numFmtId="0" fontId="54" fillId="0" borderId="51" xfId="0" applyFont="1" applyBorder="1" applyAlignment="1">
      <alignment horizontal="center"/>
    </xf>
    <xf numFmtId="0" fontId="54" fillId="0" borderId="52" xfId="0" applyFont="1" applyBorder="1" applyAlignment="1">
      <alignment horizontal="center"/>
    </xf>
    <xf numFmtId="0" fontId="54" fillId="0" borderId="53" xfId="0" applyFont="1" applyBorder="1" applyAlignment="1">
      <alignment horizontal="center"/>
    </xf>
    <xf numFmtId="171" fontId="52" fillId="0" borderId="19" xfId="0" applyNumberFormat="1" applyFont="1" applyBorder="1" applyAlignment="1">
      <alignment horizontal="center"/>
    </xf>
    <xf numFmtId="170" fontId="52" fillId="0" borderId="19" xfId="0" applyNumberFormat="1" applyFont="1" applyBorder="1"/>
    <xf numFmtId="166" fontId="52" fillId="0" borderId="53" xfId="11" applyNumberFormat="1" applyFont="1" applyBorder="1"/>
    <xf numFmtId="37" fontId="52" fillId="0" borderId="0" xfId="0" applyNumberFormat="1" applyFont="1" applyBorder="1" applyAlignment="1">
      <alignment horizontal="center"/>
    </xf>
    <xf numFmtId="170" fontId="52" fillId="0" borderId="0" xfId="0" applyNumberFormat="1" applyFont="1" applyBorder="1"/>
    <xf numFmtId="171" fontId="52" fillId="0" borderId="51" xfId="0" applyNumberFormat="1" applyFont="1" applyBorder="1"/>
    <xf numFmtId="164" fontId="62" fillId="0" borderId="19" xfId="0" applyNumberFormat="1" applyFont="1" applyFill="1" applyBorder="1" applyAlignment="1">
      <alignment horizontal="center"/>
    </xf>
    <xf numFmtId="37" fontId="54" fillId="0" borderId="19" xfId="0" applyNumberFormat="1" applyFont="1" applyBorder="1"/>
    <xf numFmtId="37" fontId="54" fillId="0" borderId="19" xfId="0" applyNumberFormat="1" applyFont="1" applyBorder="1" applyAlignment="1">
      <alignment horizontal="center"/>
    </xf>
    <xf numFmtId="170" fontId="54" fillId="0" borderId="19" xfId="0" applyNumberFormat="1" applyFont="1" applyBorder="1"/>
    <xf numFmtId="171" fontId="54" fillId="0" borderId="19" xfId="0" applyNumberFormat="1" applyFont="1" applyBorder="1"/>
    <xf numFmtId="39" fontId="54" fillId="0" borderId="19" xfId="0" applyNumberFormat="1" applyFont="1" applyBorder="1"/>
    <xf numFmtId="166" fontId="54" fillId="0" borderId="53" xfId="11" applyNumberFormat="1" applyFont="1" applyBorder="1"/>
    <xf numFmtId="37" fontId="52" fillId="0" borderId="0" xfId="0" applyNumberFormat="1" applyFont="1" applyBorder="1" applyAlignment="1"/>
    <xf numFmtId="170" fontId="52" fillId="0" borderId="0" xfId="0" applyNumberFormat="1" applyFont="1" applyBorder="1" applyAlignment="1"/>
    <xf numFmtId="171" fontId="52" fillId="0" borderId="51" xfId="0" applyNumberFormat="1" applyFont="1" applyBorder="1" applyAlignment="1"/>
    <xf numFmtId="37" fontId="52" fillId="0" borderId="0" xfId="0" applyNumberFormat="1" applyFont="1" applyFill="1" applyBorder="1" applyAlignment="1"/>
    <xf numFmtId="170" fontId="52" fillId="0" borderId="0" xfId="0" applyNumberFormat="1" applyFont="1" applyFill="1" applyBorder="1" applyAlignment="1"/>
    <xf numFmtId="171" fontId="52" fillId="0" borderId="51" xfId="0" applyNumberFormat="1" applyFont="1" applyFill="1" applyBorder="1" applyAlignment="1"/>
    <xf numFmtId="37" fontId="52" fillId="0" borderId="37" xfId="0" applyNumberFormat="1" applyFont="1" applyFill="1" applyBorder="1" applyAlignment="1"/>
    <xf numFmtId="171" fontId="52" fillId="0" borderId="37" xfId="0" applyNumberFormat="1" applyFont="1" applyFill="1" applyBorder="1" applyAlignment="1">
      <alignment horizontal="center"/>
    </xf>
    <xf numFmtId="170" fontId="52" fillId="0" borderId="37" xfId="0" applyNumberFormat="1" applyFont="1" applyFill="1" applyBorder="1" applyAlignment="1"/>
    <xf numFmtId="166" fontId="52" fillId="0" borderId="53" xfId="11" applyNumberFormat="1" applyFont="1" applyBorder="1" applyAlignment="1">
      <alignment horizontal="center"/>
    </xf>
    <xf numFmtId="37" fontId="52" fillId="0" borderId="19" xfId="0" applyNumberFormat="1" applyFont="1" applyFill="1" applyBorder="1" applyAlignment="1"/>
    <xf numFmtId="170" fontId="52" fillId="0" borderId="19" xfId="0" applyNumberFormat="1" applyFont="1" applyFill="1" applyBorder="1" applyAlignment="1"/>
    <xf numFmtId="37" fontId="52" fillId="0" borderId="19" xfId="0" applyNumberFormat="1" applyFont="1" applyBorder="1" applyAlignment="1"/>
    <xf numFmtId="170" fontId="52" fillId="0" borderId="19" xfId="0" applyNumberFormat="1" applyFont="1" applyBorder="1" applyAlignment="1"/>
    <xf numFmtId="39" fontId="58" fillId="0" borderId="19" xfId="0" applyNumberFormat="1" applyFont="1" applyBorder="1" applyAlignment="1"/>
    <xf numFmtId="166" fontId="52" fillId="0" borderId="52" xfId="11" applyNumberFormat="1" applyFont="1" applyBorder="1" applyAlignment="1">
      <alignment horizontal="center"/>
    </xf>
    <xf numFmtId="166" fontId="54" fillId="0" borderId="0" xfId="11" applyNumberFormat="1" applyFont="1" applyBorder="1"/>
    <xf numFmtId="0" fontId="54" fillId="3" borderId="37" xfId="0" applyFont="1" applyFill="1" applyBorder="1"/>
    <xf numFmtId="0" fontId="52" fillId="3" borderId="37" xfId="0" applyFont="1" applyFill="1" applyBorder="1"/>
    <xf numFmtId="0" fontId="54" fillId="0" borderId="25" xfId="0" applyFont="1" applyBorder="1"/>
    <xf numFmtId="0" fontId="52" fillId="0" borderId="26" xfId="0" applyFont="1" applyBorder="1"/>
    <xf numFmtId="0" fontId="52" fillId="0" borderId="29" xfId="0" applyFont="1" applyBorder="1"/>
    <xf numFmtId="0" fontId="54" fillId="0" borderId="7" xfId="0" applyFont="1" applyBorder="1"/>
    <xf numFmtId="0" fontId="52" fillId="0" borderId="14" xfId="0" applyFont="1" applyBorder="1"/>
    <xf numFmtId="0" fontId="52" fillId="0" borderId="16" xfId="0" applyFont="1" applyBorder="1"/>
    <xf numFmtId="0" fontId="54" fillId="0" borderId="8" xfId="0" applyFont="1" applyBorder="1"/>
    <xf numFmtId="0" fontId="52" fillId="0" borderId="7" xfId="0" applyFont="1" applyBorder="1"/>
    <xf numFmtId="0" fontId="54" fillId="4" borderId="37" xfId="0" applyFont="1" applyFill="1" applyBorder="1"/>
    <xf numFmtId="0" fontId="52" fillId="4" borderId="37" xfId="0" applyFont="1" applyFill="1" applyBorder="1"/>
    <xf numFmtId="0" fontId="55" fillId="0" borderId="0" xfId="0" applyFont="1" applyAlignment="1">
      <alignment horizontal="center"/>
    </xf>
    <xf numFmtId="0" fontId="62" fillId="0" borderId="0" xfId="0" applyFont="1"/>
    <xf numFmtId="170" fontId="52" fillId="0" borderId="0" xfId="0" applyNumberFormat="1" applyFont="1"/>
    <xf numFmtId="0" fontId="63" fillId="0" borderId="0" xfId="0" applyFont="1" applyFill="1" applyBorder="1" applyAlignment="1">
      <alignment horizontal="left"/>
    </xf>
    <xf numFmtId="0" fontId="51" fillId="0" borderId="0" xfId="0" applyFont="1" applyFill="1" applyBorder="1" applyAlignment="1">
      <alignment horizontal="left"/>
    </xf>
    <xf numFmtId="0" fontId="65" fillId="0" borderId="0" xfId="0" applyFont="1" applyFill="1" applyBorder="1" applyAlignment="1">
      <alignment horizontal="left"/>
    </xf>
    <xf numFmtId="0" fontId="54" fillId="0" borderId="0" xfId="0" applyFont="1" applyFill="1" applyBorder="1" applyAlignment="1">
      <alignment horizontal="center"/>
    </xf>
    <xf numFmtId="0" fontId="52" fillId="0" borderId="0" xfId="3" applyFont="1" applyAlignment="1">
      <alignment horizontal="left"/>
    </xf>
    <xf numFmtId="0" fontId="54" fillId="0" borderId="14" xfId="0" applyFont="1" applyFill="1" applyBorder="1" applyAlignment="1">
      <alignment horizontal="center"/>
    </xf>
    <xf numFmtId="170" fontId="55" fillId="0" borderId="37" xfId="0" applyNumberFormat="1" applyFont="1" applyFill="1" applyBorder="1" applyAlignment="1"/>
    <xf numFmtId="170" fontId="55" fillId="0" borderId="0" xfId="0" applyNumberFormat="1" applyFont="1" applyFill="1" applyBorder="1" applyAlignment="1"/>
    <xf numFmtId="3" fontId="52" fillId="0" borderId="0" xfId="5" applyFont="1" applyBorder="1"/>
    <xf numFmtId="167" fontId="52" fillId="0" borderId="0" xfId="1" applyNumberFormat="1" applyFont="1" applyFill="1" applyBorder="1"/>
    <xf numFmtId="4" fontId="52" fillId="0" borderId="0" xfId="5" applyNumberFormat="1" applyFont="1" applyBorder="1"/>
    <xf numFmtId="170" fontId="55" fillId="0" borderId="19" xfId="0" applyNumberFormat="1" applyFont="1" applyFill="1" applyBorder="1" applyAlignment="1"/>
    <xf numFmtId="3" fontId="52" fillId="0" borderId="0" xfId="5" applyFont="1" applyBorder="1" applyAlignment="1">
      <alignment horizontal="centerContinuous"/>
    </xf>
    <xf numFmtId="17" fontId="52" fillId="0" borderId="0" xfId="5" applyNumberFormat="1" applyFont="1" applyBorder="1" applyAlignment="1">
      <alignment horizontal="centerContinuous"/>
    </xf>
    <xf numFmtId="3" fontId="52" fillId="0" borderId="0" xfId="5" applyFont="1" applyBorder="1" applyAlignment="1">
      <alignment horizontal="center"/>
    </xf>
    <xf numFmtId="3" fontId="52" fillId="0" borderId="0" xfId="5" applyFont="1" applyFill="1" applyBorder="1"/>
    <xf numFmtId="170" fontId="54" fillId="0" borderId="0" xfId="0" applyNumberFormat="1" applyFont="1"/>
    <xf numFmtId="170" fontId="54" fillId="0" borderId="0" xfId="0" applyNumberFormat="1" applyFont="1" applyBorder="1"/>
    <xf numFmtId="167" fontId="52" fillId="0" borderId="0" xfId="1" applyNumberFormat="1" applyFont="1"/>
    <xf numFmtId="43" fontId="52" fillId="0" borderId="0" xfId="0" applyNumberFormat="1" applyFont="1"/>
    <xf numFmtId="165" fontId="52" fillId="0" borderId="0" xfId="0" applyNumberFormat="1" applyFont="1"/>
    <xf numFmtId="165" fontId="52" fillId="0" borderId="0" xfId="0" applyNumberFormat="1" applyFont="1" applyBorder="1"/>
    <xf numFmtId="0" fontId="62" fillId="0" borderId="43" xfId="3" applyFont="1" applyBorder="1" applyAlignment="1">
      <alignment horizontal="left"/>
    </xf>
    <xf numFmtId="0" fontId="54" fillId="0" borderId="40" xfId="0" applyFont="1" applyFill="1" applyBorder="1" applyAlignment="1">
      <alignment horizontal="center"/>
    </xf>
    <xf numFmtId="0" fontId="54" fillId="0" borderId="40" xfId="0" applyFont="1" applyBorder="1"/>
    <xf numFmtId="165" fontId="52" fillId="0" borderId="0" xfId="1" applyNumberFormat="1" applyFont="1" applyBorder="1"/>
    <xf numFmtId="0" fontId="52" fillId="0" borderId="0" xfId="0" applyFont="1" applyFill="1" applyBorder="1" applyAlignment="1">
      <alignment horizontal="left"/>
    </xf>
    <xf numFmtId="0" fontId="56" fillId="0" borderId="0" xfId="0" applyFont="1" applyFill="1" applyBorder="1" applyAlignment="1">
      <alignment horizontal="left"/>
    </xf>
    <xf numFmtId="167" fontId="52" fillId="0" borderId="0" xfId="1" applyNumberFormat="1" applyFont="1" applyBorder="1"/>
    <xf numFmtId="165" fontId="58" fillId="0" borderId="0" xfId="1" applyNumberFormat="1" applyFont="1" applyBorder="1"/>
    <xf numFmtId="0" fontId="68" fillId="0" borderId="0" xfId="0" applyFont="1" applyBorder="1" applyAlignment="1">
      <alignment horizontal="center"/>
    </xf>
    <xf numFmtId="0" fontId="52" fillId="0" borderId="14" xfId="0" applyFont="1" applyBorder="1" applyAlignment="1">
      <alignment horizontal="center" wrapText="1"/>
    </xf>
    <xf numFmtId="7" fontId="4" fillId="0" borderId="37" xfId="9" applyNumberFormat="1" applyFont="1" applyBorder="1" applyAlignment="1">
      <alignment horizontal="center" vertical="top"/>
    </xf>
    <xf numFmtId="172" fontId="11" fillId="0" borderId="0" xfId="9" applyNumberFormat="1" applyAlignment="1">
      <alignment horizontal="center" vertical="top"/>
    </xf>
    <xf numFmtId="10" fontId="11" fillId="0" borderId="2" xfId="9" applyNumberFormat="1" applyBorder="1" applyAlignment="1">
      <alignment horizontal="center" vertical="top"/>
    </xf>
    <xf numFmtId="168" fontId="11" fillId="0" borderId="9" xfId="9" applyNumberFormat="1" applyBorder="1" applyAlignment="1">
      <alignment horizontal="center" vertical="top"/>
    </xf>
    <xf numFmtId="7" fontId="4" fillId="0" borderId="19" xfId="9" applyNumberFormat="1" applyFont="1" applyBorder="1" applyAlignment="1">
      <alignment horizontal="center" vertical="top"/>
    </xf>
    <xf numFmtId="7" fontId="4" fillId="0" borderId="0" xfId="9" applyNumberFormat="1" applyFont="1" applyAlignment="1">
      <alignment horizontal="center" vertical="top"/>
    </xf>
    <xf numFmtId="14" fontId="3" fillId="0" borderId="0" xfId="8" applyNumberFormat="1" applyFont="1" applyAlignment="1">
      <alignment horizontal="center"/>
    </xf>
    <xf numFmtId="7" fontId="3" fillId="0" borderId="0" xfId="2" applyNumberFormat="1" applyFont="1" applyAlignment="1">
      <alignment horizontal="center"/>
    </xf>
    <xf numFmtId="15" fontId="25" fillId="0" borderId="0" xfId="9" applyNumberFormat="1" applyFont="1" applyBorder="1" applyAlignment="1">
      <alignment horizontal="left" vertical="top"/>
    </xf>
    <xf numFmtId="15" fontId="25" fillId="0" borderId="22" xfId="9" applyNumberFormat="1" applyFont="1" applyBorder="1" applyAlignment="1">
      <alignment horizontal="center" vertical="top"/>
    </xf>
    <xf numFmtId="172" fontId="25" fillId="0" borderId="16" xfId="9" applyNumberFormat="1" applyFont="1" applyBorder="1" applyAlignment="1">
      <alignment horizontal="center" vertical="top"/>
    </xf>
    <xf numFmtId="0" fontId="11" fillId="0" borderId="0" xfId="7">
      <alignment vertical="top"/>
    </xf>
    <xf numFmtId="7" fontId="11" fillId="0" borderId="0" xfId="7" applyNumberFormat="1">
      <alignment vertical="top"/>
    </xf>
    <xf numFmtId="0" fontId="49" fillId="0" borderId="0" xfId="7" applyFont="1" applyAlignment="1">
      <alignment horizontal="centerContinuous" vertical="top"/>
    </xf>
    <xf numFmtId="0" fontId="35" fillId="0" borderId="0" xfId="7" applyFont="1" applyAlignment="1">
      <alignment horizontal="centerContinuous" vertical="top"/>
    </xf>
    <xf numFmtId="7" fontId="9" fillId="0" borderId="0" xfId="7" applyNumberFormat="1" applyFont="1">
      <alignment vertical="top"/>
    </xf>
    <xf numFmtId="0" fontId="19" fillId="0" borderId="0" xfId="7" applyFont="1" applyAlignment="1">
      <alignment horizontal="center" vertical="top"/>
    </xf>
    <xf numFmtId="0" fontId="21" fillId="0" borderId="0" xfId="7" applyFont="1" applyAlignment="1">
      <alignment horizontal="left" vertical="top"/>
    </xf>
    <xf numFmtId="0" fontId="35" fillId="0" borderId="0" xfId="7" applyFont="1" applyAlignment="1">
      <alignment horizontal="left" vertical="top"/>
    </xf>
    <xf numFmtId="0" fontId="47" fillId="0" borderId="0" xfId="7" applyFont="1" applyAlignment="1">
      <alignment horizontal="center" vertical="top"/>
    </xf>
    <xf numFmtId="0" fontId="47" fillId="0" borderId="0" xfId="7" applyFont="1">
      <alignment vertical="top"/>
    </xf>
    <xf numFmtId="0" fontId="47" fillId="0" borderId="19" xfId="7" applyFont="1" applyBorder="1" applyAlignment="1">
      <alignment horizontal="center" vertical="top"/>
    </xf>
    <xf numFmtId="179" fontId="47" fillId="0" borderId="0" xfId="7" applyNumberFormat="1" applyFont="1" applyAlignment="1">
      <alignment horizontal="center" vertical="top"/>
    </xf>
    <xf numFmtId="168" fontId="47" fillId="0" borderId="0" xfId="7" applyNumberFormat="1" applyFont="1" applyAlignment="1">
      <alignment horizontal="center" vertical="top"/>
    </xf>
    <xf numFmtId="0" fontId="52" fillId="0" borderId="0" xfId="0" applyFont="1" applyFill="1"/>
    <xf numFmtId="0" fontId="54" fillId="0" borderId="0" xfId="0" applyFont="1" applyFill="1" applyAlignment="1">
      <alignment horizontal="center"/>
    </xf>
    <xf numFmtId="0" fontId="58" fillId="0" borderId="0" xfId="0" applyFont="1" applyFill="1"/>
    <xf numFmtId="165" fontId="58" fillId="0" borderId="0" xfId="1" applyNumberFormat="1" applyFont="1" applyFill="1"/>
    <xf numFmtId="37" fontId="52" fillId="0" borderId="0" xfId="3" quotePrefix="1" applyNumberFormat="1" applyFont="1" applyBorder="1"/>
    <xf numFmtId="37" fontId="52" fillId="0" borderId="0" xfId="3" applyNumberFormat="1" applyFont="1" applyBorder="1"/>
    <xf numFmtId="171" fontId="54" fillId="0" borderId="45" xfId="0" applyNumberFormat="1" applyFont="1" applyBorder="1" applyAlignment="1">
      <alignment horizontal="centerContinuous"/>
    </xf>
    <xf numFmtId="171" fontId="52" fillId="0" borderId="40" xfId="0" applyNumberFormat="1" applyFont="1" applyBorder="1"/>
    <xf numFmtId="171" fontId="52" fillId="0" borderId="40" xfId="0" applyNumberFormat="1" applyFont="1" applyBorder="1" applyAlignment="1">
      <alignment horizontal="left"/>
    </xf>
    <xf numFmtId="171" fontId="52" fillId="0" borderId="34" xfId="0" applyNumberFormat="1" applyFont="1" applyBorder="1"/>
    <xf numFmtId="171" fontId="52" fillId="0" borderId="0" xfId="0" applyNumberFormat="1" applyFont="1" applyBorder="1" applyAlignment="1">
      <alignment horizontal="center"/>
    </xf>
    <xf numFmtId="171" fontId="54" fillId="0" borderId="19" xfId="0" applyNumberFormat="1" applyFont="1" applyBorder="1" applyAlignment="1">
      <alignment horizontal="center"/>
    </xf>
    <xf numFmtId="171" fontId="52" fillId="2" borderId="40" xfId="0" applyNumberFormat="1" applyFont="1" applyFill="1" applyBorder="1"/>
    <xf numFmtId="170" fontId="52" fillId="0" borderId="0" xfId="1" applyNumberFormat="1" applyFont="1" applyBorder="1"/>
    <xf numFmtId="10" fontId="58" fillId="0" borderId="0" xfId="11" applyNumberFormat="1" applyFont="1" applyAlignment="1">
      <alignment horizontal="center"/>
    </xf>
    <xf numFmtId="0" fontId="11" fillId="0" borderId="5" xfId="9" applyFont="1" applyBorder="1">
      <alignment vertical="top"/>
    </xf>
    <xf numFmtId="0" fontId="4" fillId="0" borderId="9" xfId="9" applyFont="1" applyBorder="1" applyAlignment="1">
      <alignment horizontal="left" vertical="top"/>
    </xf>
    <xf numFmtId="0" fontId="54" fillId="3" borderId="0" xfId="0" applyFont="1" applyFill="1" applyAlignment="1">
      <alignment horizontal="center"/>
    </xf>
    <xf numFmtId="0" fontId="59" fillId="3" borderId="0" xfId="0" applyFont="1" applyFill="1" applyAlignment="1">
      <alignment horizontal="center"/>
    </xf>
    <xf numFmtId="0" fontId="59" fillId="3" borderId="14" xfId="0" applyFont="1" applyFill="1" applyBorder="1" applyAlignment="1">
      <alignment horizontal="center" wrapText="1"/>
    </xf>
    <xf numFmtId="0" fontId="4" fillId="0" borderId="0" xfId="9" applyFont="1" applyBorder="1">
      <alignment vertical="top"/>
    </xf>
    <xf numFmtId="7" fontId="69" fillId="0" borderId="25" xfId="9" applyNumberFormat="1" applyFont="1" applyBorder="1">
      <alignment vertical="top"/>
    </xf>
    <xf numFmtId="7" fontId="69" fillId="0" borderId="26" xfId="9" applyNumberFormat="1" applyFont="1" applyBorder="1">
      <alignment vertical="top"/>
    </xf>
    <xf numFmtId="0" fontId="70" fillId="0" borderId="26" xfId="9" applyFont="1" applyBorder="1" applyAlignment="1">
      <alignment horizontal="left"/>
    </xf>
    <xf numFmtId="7" fontId="69" fillId="0" borderId="29" xfId="9" applyNumberFormat="1" applyFont="1" applyBorder="1">
      <alignment vertical="top"/>
    </xf>
    <xf numFmtId="7" fontId="69" fillId="0" borderId="0" xfId="9" applyNumberFormat="1" applyFont="1">
      <alignment vertical="top"/>
    </xf>
    <xf numFmtId="0" fontId="70" fillId="0" borderId="8" xfId="9" applyFont="1" applyBorder="1" applyAlignment="1">
      <alignment horizontal="center" vertical="top"/>
    </xf>
    <xf numFmtId="7" fontId="69" fillId="0" borderId="0" xfId="9" applyNumberFormat="1" applyFont="1" applyBorder="1">
      <alignment vertical="top"/>
    </xf>
    <xf numFmtId="0" fontId="71" fillId="0" borderId="0" xfId="9" applyFont="1" applyBorder="1">
      <alignment vertical="top"/>
    </xf>
    <xf numFmtId="174" fontId="71" fillId="0" borderId="0" xfId="9" applyNumberFormat="1" applyFont="1" applyBorder="1" applyAlignment="1">
      <alignment horizontal="center" vertical="top"/>
    </xf>
    <xf numFmtId="7" fontId="69" fillId="0" borderId="2" xfId="9" applyNumberFormat="1" applyFont="1" applyBorder="1">
      <alignment vertical="top"/>
    </xf>
    <xf numFmtId="0" fontId="72" fillId="0" borderId="0" xfId="9" applyFont="1">
      <alignment vertical="top"/>
    </xf>
    <xf numFmtId="0" fontId="73" fillId="0" borderId="0" xfId="9" applyFont="1">
      <alignment vertical="top"/>
    </xf>
    <xf numFmtId="7" fontId="69" fillId="0" borderId="11" xfId="9" applyNumberFormat="1" applyFont="1" applyBorder="1">
      <alignment vertical="top"/>
    </xf>
    <xf numFmtId="0" fontId="69" fillId="0" borderId="11" xfId="9" applyFont="1" applyBorder="1">
      <alignment vertical="top"/>
    </xf>
    <xf numFmtId="0" fontId="72" fillId="0" borderId="0" xfId="9" applyFont="1" applyBorder="1">
      <alignment vertical="top"/>
    </xf>
    <xf numFmtId="0" fontId="73" fillId="0" borderId="0" xfId="9" applyFont="1" applyBorder="1">
      <alignment vertical="top"/>
    </xf>
    <xf numFmtId="0" fontId="69" fillId="0" borderId="37" xfId="9" applyFont="1" applyBorder="1">
      <alignment vertical="top"/>
    </xf>
    <xf numFmtId="0" fontId="54" fillId="0" borderId="53" xfId="9" applyFont="1" applyBorder="1" applyAlignment="1">
      <alignment horizontal="center" vertical="top"/>
    </xf>
    <xf numFmtId="0" fontId="69" fillId="0" borderId="8" xfId="9" applyFont="1" applyBorder="1">
      <alignment vertical="top"/>
    </xf>
    <xf numFmtId="0" fontId="69" fillId="0" borderId="8" xfId="9" applyFont="1" applyBorder="1" applyAlignment="1">
      <alignment horizontal="center" vertical="top"/>
    </xf>
    <xf numFmtId="0" fontId="54" fillId="0" borderId="51" xfId="9" applyFont="1" applyBorder="1" applyAlignment="1">
      <alignment horizontal="center" vertical="top"/>
    </xf>
    <xf numFmtId="0" fontId="69" fillId="0" borderId="0" xfId="9" applyFont="1" applyBorder="1">
      <alignment vertical="top"/>
    </xf>
    <xf numFmtId="0" fontId="69" fillId="0" borderId="12" xfId="9" applyFont="1" applyBorder="1" applyAlignment="1">
      <alignment horizontal="center" vertical="top"/>
    </xf>
    <xf numFmtId="0" fontId="54" fillId="0" borderId="58" xfId="9" applyFont="1" applyBorder="1" applyAlignment="1">
      <alignment horizontal="center" vertical="top"/>
    </xf>
    <xf numFmtId="0" fontId="69" fillId="0" borderId="5" xfId="9" applyFont="1" applyBorder="1">
      <alignment vertical="top"/>
    </xf>
    <xf numFmtId="0" fontId="69" fillId="0" borderId="51" xfId="9" applyFont="1" applyBorder="1">
      <alignment vertical="top"/>
    </xf>
    <xf numFmtId="0" fontId="54" fillId="0" borderId="8" xfId="9" applyFont="1" applyBorder="1">
      <alignment vertical="top"/>
    </xf>
    <xf numFmtId="7" fontId="69" fillId="0" borderId="8" xfId="9" applyNumberFormat="1" applyFont="1" applyBorder="1">
      <alignment vertical="top"/>
    </xf>
    <xf numFmtId="0" fontId="54" fillId="5" borderId="51" xfId="9" applyFont="1" applyFill="1" applyBorder="1" applyAlignment="1">
      <alignment horizontal="center" vertical="top"/>
    </xf>
    <xf numFmtId="0" fontId="69" fillId="0" borderId="60" xfId="9" applyFont="1" applyBorder="1">
      <alignment vertical="top"/>
    </xf>
    <xf numFmtId="0" fontId="54" fillId="5" borderId="53" xfId="9" applyFont="1" applyFill="1" applyBorder="1" applyAlignment="1">
      <alignment horizontal="center" vertical="top"/>
    </xf>
    <xf numFmtId="168" fontId="54" fillId="0" borderId="51" xfId="9" applyNumberFormat="1" applyFont="1" applyBorder="1">
      <alignment vertical="top"/>
    </xf>
    <xf numFmtId="7" fontId="74" fillId="0" borderId="11" xfId="9" applyNumberFormat="1" applyFont="1" applyBorder="1">
      <alignment vertical="top"/>
    </xf>
    <xf numFmtId="168" fontId="69" fillId="0" borderId="0" xfId="9" applyNumberFormat="1" applyFont="1" applyBorder="1">
      <alignment vertical="top"/>
    </xf>
    <xf numFmtId="168" fontId="69" fillId="0" borderId="19" xfId="9" applyNumberFormat="1" applyFont="1" applyBorder="1">
      <alignment vertical="top"/>
    </xf>
    <xf numFmtId="7" fontId="69" fillId="0" borderId="60" xfId="9" applyNumberFormat="1" applyFont="1" applyBorder="1">
      <alignment vertical="top"/>
    </xf>
    <xf numFmtId="168" fontId="54" fillId="0" borderId="53" xfId="9" applyNumberFormat="1" applyFont="1" applyBorder="1">
      <alignment vertical="top"/>
    </xf>
    <xf numFmtId="7" fontId="54" fillId="5" borderId="51" xfId="9" applyNumberFormat="1" applyFont="1" applyFill="1" applyBorder="1" applyAlignment="1">
      <alignment horizontal="center" vertical="top"/>
    </xf>
    <xf numFmtId="7" fontId="54" fillId="5" borderId="53" xfId="9" applyNumberFormat="1" applyFont="1" applyFill="1" applyBorder="1" applyAlignment="1">
      <alignment horizontal="center" vertical="top"/>
    </xf>
    <xf numFmtId="0" fontId="72" fillId="0" borderId="0" xfId="9" applyFont="1" applyFill="1" applyBorder="1">
      <alignment vertical="top"/>
    </xf>
    <xf numFmtId="0" fontId="52" fillId="0" borderId="8" xfId="9" applyFont="1" applyBorder="1">
      <alignment vertical="top"/>
    </xf>
    <xf numFmtId="7" fontId="69" fillId="6" borderId="20" xfId="9" applyNumberFormat="1" applyFont="1" applyFill="1" applyBorder="1">
      <alignment vertical="top"/>
    </xf>
    <xf numFmtId="0" fontId="69" fillId="0" borderId="19" xfId="9" applyFont="1" applyBorder="1">
      <alignment vertical="top"/>
    </xf>
    <xf numFmtId="7" fontId="54" fillId="0" borderId="51" xfId="9" applyNumberFormat="1" applyFont="1" applyFill="1" applyBorder="1">
      <alignment vertical="top"/>
    </xf>
    <xf numFmtId="7" fontId="54" fillId="0" borderId="51" xfId="9" applyNumberFormat="1" applyFont="1" applyBorder="1">
      <alignment vertical="top"/>
    </xf>
    <xf numFmtId="7" fontId="54" fillId="0" borderId="51" xfId="9" applyNumberFormat="1" applyFont="1" applyFill="1" applyBorder="1" applyAlignment="1">
      <alignment horizontal="center" vertical="top"/>
    </xf>
    <xf numFmtId="0" fontId="69" fillId="0" borderId="0" xfId="9" applyFont="1" applyFill="1" applyBorder="1" applyAlignment="1">
      <alignment horizontal="left" vertical="top"/>
    </xf>
    <xf numFmtId="7" fontId="54" fillId="0" borderId="53" xfId="9" applyNumberFormat="1" applyFont="1" applyFill="1" applyBorder="1" applyAlignment="1">
      <alignment horizontal="center" vertical="top"/>
    </xf>
    <xf numFmtId="168" fontId="54" fillId="0" borderId="51" xfId="9" applyNumberFormat="1" applyFont="1" applyFill="1" applyBorder="1">
      <alignment vertical="top"/>
    </xf>
    <xf numFmtId="168" fontId="54" fillId="0" borderId="53" xfId="9" applyNumberFormat="1" applyFont="1" applyFill="1" applyBorder="1">
      <alignment vertical="top"/>
    </xf>
    <xf numFmtId="0" fontId="69" fillId="0" borderId="0" xfId="9" applyFont="1">
      <alignment vertical="top"/>
    </xf>
    <xf numFmtId="0" fontId="69" fillId="0" borderId="0" xfId="9" applyFont="1" applyFill="1" applyBorder="1">
      <alignment vertical="top"/>
    </xf>
    <xf numFmtId="168" fontId="69" fillId="0" borderId="0" xfId="9" applyNumberFormat="1" applyFont="1" applyAlignment="1">
      <alignment horizontal="center" vertical="top"/>
    </xf>
    <xf numFmtId="172" fontId="69" fillId="0" borderId="0" xfId="9" applyNumberFormat="1" applyFont="1">
      <alignment vertical="top"/>
    </xf>
    <xf numFmtId="0" fontId="69" fillId="0" borderId="0" xfId="9" applyFont="1" applyAlignment="1">
      <alignment horizontal="right" vertical="top"/>
    </xf>
    <xf numFmtId="0" fontId="69" fillId="0" borderId="0" xfId="9" applyNumberFormat="1" applyFont="1">
      <alignment vertical="top"/>
    </xf>
    <xf numFmtId="7" fontId="74" fillId="0" borderId="0" xfId="9" applyNumberFormat="1" applyFont="1">
      <alignment vertical="top"/>
    </xf>
    <xf numFmtId="0" fontId="74" fillId="0" borderId="0" xfId="9" applyFont="1">
      <alignment vertical="top"/>
    </xf>
    <xf numFmtId="0" fontId="74" fillId="0" borderId="0" xfId="9" applyFont="1" applyBorder="1">
      <alignment vertical="top"/>
    </xf>
    <xf numFmtId="0" fontId="74" fillId="0" borderId="0" xfId="9" applyFont="1" applyBorder="1" applyAlignment="1">
      <alignment horizontal="center" vertical="top"/>
    </xf>
    <xf numFmtId="7" fontId="74" fillId="0" borderId="0" xfId="9" applyNumberFormat="1" applyFont="1" applyBorder="1">
      <alignment vertical="top"/>
    </xf>
    <xf numFmtId="7" fontId="69" fillId="0" borderId="0" xfId="9" applyNumberFormat="1" applyFont="1" applyFill="1" applyBorder="1" applyAlignment="1">
      <alignment horizontal="center" vertical="top"/>
    </xf>
    <xf numFmtId="0" fontId="54" fillId="0" borderId="57" xfId="9" applyFont="1" applyBorder="1">
      <alignment vertical="top"/>
    </xf>
    <xf numFmtId="0" fontId="69" fillId="0" borderId="8" xfId="9" applyNumberFormat="1" applyFont="1" applyFill="1" applyBorder="1">
      <alignment vertical="top"/>
    </xf>
    <xf numFmtId="7" fontId="69" fillId="0" borderId="57" xfId="9" applyNumberFormat="1" applyFont="1" applyBorder="1">
      <alignment vertical="top"/>
    </xf>
    <xf numFmtId="0" fontId="69" fillId="0" borderId="61" xfId="9" applyFont="1" applyBorder="1" applyAlignment="1">
      <alignment horizontal="center" vertical="top"/>
    </xf>
    <xf numFmtId="0" fontId="54" fillId="0" borderId="37" xfId="9" applyFont="1" applyBorder="1" applyAlignment="1">
      <alignment horizontal="centerContinuous" vertical="top"/>
    </xf>
    <xf numFmtId="0" fontId="69" fillId="0" borderId="5" xfId="9" applyFont="1" applyBorder="1" applyAlignment="1">
      <alignment horizontal="center" vertical="top"/>
    </xf>
    <xf numFmtId="0" fontId="69" fillId="0" borderId="6" xfId="9" applyFont="1" applyBorder="1" applyAlignment="1">
      <alignment horizontal="center" vertical="top"/>
    </xf>
    <xf numFmtId="0" fontId="69" fillId="0" borderId="0" xfId="9" applyFont="1" applyBorder="1" applyAlignment="1">
      <alignment horizontal="center" vertical="top"/>
    </xf>
    <xf numFmtId="0" fontId="69" fillId="0" borderId="19" xfId="9" applyFont="1" applyBorder="1" applyAlignment="1">
      <alignment horizontal="center" vertical="top"/>
    </xf>
    <xf numFmtId="7" fontId="69" fillId="0" borderId="19" xfId="9" applyNumberFormat="1" applyFont="1" applyFill="1" applyBorder="1" applyAlignment="1">
      <alignment horizontal="center" vertical="top"/>
    </xf>
    <xf numFmtId="7" fontId="69" fillId="0" borderId="9" xfId="9" applyNumberFormat="1" applyFont="1" applyFill="1" applyBorder="1" applyAlignment="1">
      <alignment horizontal="center" vertical="top"/>
    </xf>
    <xf numFmtId="0" fontId="54" fillId="0" borderId="36" xfId="9" applyFont="1" applyBorder="1" applyAlignment="1">
      <alignment horizontal="centerContinuous" vertical="top"/>
    </xf>
    <xf numFmtId="0" fontId="69" fillId="0" borderId="9" xfId="9" applyFont="1" applyBorder="1">
      <alignment vertical="top"/>
    </xf>
    <xf numFmtId="7" fontId="69" fillId="0" borderId="5" xfId="9" applyNumberFormat="1" applyFont="1" applyFill="1" applyBorder="1" applyAlignment="1">
      <alignment horizontal="center" vertical="top"/>
    </xf>
    <xf numFmtId="7" fontId="69" fillId="0" borderId="6" xfId="9" applyNumberFormat="1" applyFont="1" applyFill="1" applyBorder="1" applyAlignment="1">
      <alignment horizontal="center" vertical="top"/>
    </xf>
    <xf numFmtId="0" fontId="54" fillId="0" borderId="20" xfId="9" applyFont="1" applyBorder="1" applyAlignment="1">
      <alignment horizontal="centerContinuous" vertical="top"/>
    </xf>
    <xf numFmtId="0" fontId="54" fillId="0" borderId="50" xfId="9" applyFont="1" applyBorder="1" applyAlignment="1">
      <alignment horizontal="center" vertical="top"/>
    </xf>
    <xf numFmtId="7" fontId="54" fillId="0" borderId="58" xfId="9" applyNumberFormat="1" applyFont="1" applyBorder="1">
      <alignment vertical="top"/>
    </xf>
    <xf numFmtId="7" fontId="54" fillId="0" borderId="53" xfId="9" applyNumberFormat="1" applyFont="1" applyBorder="1">
      <alignment vertical="top"/>
    </xf>
    <xf numFmtId="0" fontId="54" fillId="0" borderId="53" xfId="9" applyFont="1" applyBorder="1">
      <alignment vertical="top"/>
    </xf>
    <xf numFmtId="7" fontId="54" fillId="2" borderId="51" xfId="9" applyNumberFormat="1" applyFont="1" applyFill="1" applyBorder="1" applyAlignment="1">
      <alignment horizontal="center" vertical="top"/>
    </xf>
    <xf numFmtId="0" fontId="54" fillId="5" borderId="58" xfId="9" applyFont="1" applyFill="1" applyBorder="1" applyAlignment="1">
      <alignment horizontal="right" vertical="top"/>
    </xf>
    <xf numFmtId="0" fontId="54" fillId="5" borderId="51" xfId="9" applyFont="1" applyFill="1" applyBorder="1">
      <alignment vertical="top"/>
    </xf>
    <xf numFmtId="7" fontId="69" fillId="2" borderId="0" xfId="9" applyNumberFormat="1" applyFont="1" applyFill="1" applyBorder="1" applyAlignment="1">
      <alignment horizontal="center" vertical="top"/>
    </xf>
    <xf numFmtId="168" fontId="69" fillId="0" borderId="11" xfId="9" applyNumberFormat="1" applyFont="1" applyBorder="1">
      <alignment vertical="top"/>
    </xf>
    <xf numFmtId="0" fontId="69" fillId="5" borderId="11" xfId="9" applyFont="1" applyFill="1" applyBorder="1" applyAlignment="1">
      <alignment horizontal="right" vertical="top"/>
    </xf>
    <xf numFmtId="0" fontId="69" fillId="5" borderId="0" xfId="9" applyFont="1" applyFill="1" applyBorder="1">
      <alignment vertical="top"/>
    </xf>
    <xf numFmtId="0" fontId="69" fillId="0" borderId="3" xfId="9" applyFont="1" applyBorder="1" applyAlignment="1">
      <alignment horizontal="center" vertical="top"/>
    </xf>
    <xf numFmtId="0" fontId="69" fillId="0" borderId="4" xfId="9" applyFont="1" applyBorder="1" applyAlignment="1">
      <alignment horizontal="center" vertical="top"/>
    </xf>
    <xf numFmtId="0" fontId="69" fillId="0" borderId="21" xfId="9" applyFont="1" applyBorder="1" applyAlignment="1">
      <alignment horizontal="center" vertical="top"/>
    </xf>
    <xf numFmtId="0" fontId="69" fillId="0" borderId="4" xfId="9" applyFont="1" applyBorder="1">
      <alignment vertical="top"/>
    </xf>
    <xf numFmtId="7" fontId="69" fillId="0" borderId="4" xfId="9" applyNumberFormat="1" applyFont="1" applyBorder="1">
      <alignment vertical="top"/>
    </xf>
    <xf numFmtId="168" fontId="69" fillId="0" borderId="4" xfId="9" applyNumberFormat="1" applyFont="1" applyBorder="1" applyAlignment="1">
      <alignment horizontal="right" vertical="top"/>
    </xf>
    <xf numFmtId="168" fontId="69" fillId="0" borderId="21" xfId="9" applyNumberFormat="1" applyFont="1" applyBorder="1">
      <alignment vertical="top"/>
    </xf>
    <xf numFmtId="0" fontId="69" fillId="0" borderId="21" xfId="9" applyFont="1" applyBorder="1">
      <alignment vertical="top"/>
    </xf>
    <xf numFmtId="7" fontId="69" fillId="2" borderId="4" xfId="9" applyNumberFormat="1" applyFont="1" applyFill="1" applyBorder="1" applyAlignment="1">
      <alignment horizontal="center" vertical="top"/>
    </xf>
    <xf numFmtId="168" fontId="69" fillId="0" borderId="4" xfId="9" applyNumberFormat="1" applyFont="1" applyBorder="1">
      <alignment vertical="top"/>
    </xf>
    <xf numFmtId="0" fontId="69" fillId="5" borderId="3" xfId="9" applyFont="1" applyFill="1" applyBorder="1" applyAlignment="1">
      <alignment horizontal="right" vertical="top"/>
    </xf>
    <xf numFmtId="0" fontId="69" fillId="5" borderId="4" xfId="9" applyFont="1" applyFill="1" applyBorder="1">
      <alignment vertical="top"/>
    </xf>
    <xf numFmtId="0" fontId="54" fillId="0" borderId="60" xfId="9" applyFont="1" applyBorder="1" applyAlignment="1">
      <alignment horizontal="center" vertical="top"/>
    </xf>
    <xf numFmtId="0" fontId="69" fillId="0" borderId="3" xfId="9" applyFont="1" applyBorder="1">
      <alignment vertical="top"/>
    </xf>
    <xf numFmtId="0" fontId="54" fillId="0" borderId="4" xfId="6" applyFont="1" applyFill="1" applyBorder="1">
      <alignment vertical="top"/>
    </xf>
    <xf numFmtId="0" fontId="54" fillId="0" borderId="21" xfId="6" applyFont="1" applyFill="1" applyBorder="1">
      <alignment vertical="top"/>
    </xf>
    <xf numFmtId="0" fontId="69" fillId="0" borderId="21" xfId="9" applyFont="1" applyBorder="1" applyAlignment="1">
      <alignment vertical="top"/>
    </xf>
    <xf numFmtId="0" fontId="69" fillId="0" borderId="4" xfId="9" applyFont="1" applyBorder="1" applyAlignment="1">
      <alignment horizontal="right" vertical="top"/>
    </xf>
    <xf numFmtId="0" fontId="69" fillId="0" borderId="21" xfId="9" applyFont="1" applyBorder="1" applyAlignment="1">
      <alignment horizontal="right" vertical="top"/>
    </xf>
    <xf numFmtId="0" fontId="54" fillId="0" borderId="6" xfId="9" applyFont="1" applyBorder="1" applyAlignment="1">
      <alignment horizontal="center" vertical="top"/>
    </xf>
    <xf numFmtId="0" fontId="69" fillId="0" borderId="20" xfId="9" applyFont="1" applyBorder="1" applyAlignment="1">
      <alignment horizontal="center" vertical="top"/>
    </xf>
    <xf numFmtId="0" fontId="69" fillId="0" borderId="9" xfId="9" applyFont="1" applyBorder="1" applyAlignment="1">
      <alignment horizontal="center" vertical="top"/>
    </xf>
    <xf numFmtId="0" fontId="69" fillId="0" borderId="13" xfId="9" applyFont="1" applyBorder="1" applyAlignment="1">
      <alignment horizontal="center" vertical="top"/>
    </xf>
    <xf numFmtId="0" fontId="69" fillId="5" borderId="9" xfId="9" applyFont="1" applyFill="1" applyBorder="1" applyAlignment="1">
      <alignment horizontal="center" vertical="top"/>
    </xf>
    <xf numFmtId="0" fontId="69" fillId="5" borderId="13" xfId="9" applyFont="1" applyFill="1" applyBorder="1" applyAlignment="1">
      <alignment horizontal="center" vertical="top"/>
    </xf>
    <xf numFmtId="0" fontId="54" fillId="5" borderId="20" xfId="9" applyFont="1" applyFill="1" applyBorder="1" applyAlignment="1">
      <alignment horizontal="center" vertical="top"/>
    </xf>
    <xf numFmtId="0" fontId="54" fillId="5" borderId="9" xfId="9" applyFont="1" applyFill="1" applyBorder="1" applyAlignment="1">
      <alignment horizontal="center" vertical="top"/>
    </xf>
    <xf numFmtId="0" fontId="54" fillId="5" borderId="13" xfId="9" applyFont="1" applyFill="1" applyBorder="1" applyAlignment="1">
      <alignment horizontal="center" vertical="top"/>
    </xf>
    <xf numFmtId="7" fontId="69" fillId="5" borderId="9" xfId="9" applyNumberFormat="1" applyFont="1" applyFill="1" applyBorder="1" applyAlignment="1">
      <alignment horizontal="center" vertical="top"/>
    </xf>
    <xf numFmtId="7" fontId="69" fillId="5" borderId="13" xfId="9" applyNumberFormat="1" applyFont="1" applyFill="1" applyBorder="1" applyAlignment="1">
      <alignment horizontal="center" vertical="top"/>
    </xf>
    <xf numFmtId="7" fontId="69" fillId="0" borderId="9" xfId="9" applyNumberFormat="1" applyFont="1" applyFill="1" applyBorder="1">
      <alignment vertical="top"/>
    </xf>
    <xf numFmtId="7" fontId="69" fillId="0" borderId="13" xfId="9" applyNumberFormat="1" applyFont="1" applyFill="1" applyBorder="1" applyAlignment="1">
      <alignment horizontal="center" vertical="top"/>
    </xf>
    <xf numFmtId="168" fontId="69" fillId="0" borderId="9" xfId="9" applyNumberFormat="1" applyFont="1" applyFill="1" applyBorder="1">
      <alignment vertical="top"/>
    </xf>
    <xf numFmtId="168" fontId="69" fillId="0" borderId="13" xfId="9" applyNumberFormat="1" applyFont="1" applyFill="1" applyBorder="1">
      <alignment vertical="top"/>
    </xf>
    <xf numFmtId="7" fontId="69" fillId="0" borderId="9" xfId="9" applyNumberFormat="1" applyFont="1" applyBorder="1">
      <alignment vertical="top"/>
    </xf>
    <xf numFmtId="0" fontId="69" fillId="0" borderId="51" xfId="9" applyFont="1" applyBorder="1" applyAlignment="1">
      <alignment horizontal="center" vertical="top"/>
    </xf>
    <xf numFmtId="0" fontId="54" fillId="0" borderId="51" xfId="9" applyFont="1" applyBorder="1">
      <alignment vertical="top"/>
    </xf>
    <xf numFmtId="7" fontId="54" fillId="0" borderId="51" xfId="9" applyNumberFormat="1" applyFont="1" applyFill="1" applyBorder="1" applyAlignment="1">
      <alignment horizontal="right" vertical="top"/>
    </xf>
    <xf numFmtId="7" fontId="69" fillId="6" borderId="58" xfId="9" applyNumberFormat="1" applyFont="1" applyFill="1" applyBorder="1">
      <alignment vertical="top"/>
    </xf>
    <xf numFmtId="172" fontId="54" fillId="6" borderId="51" xfId="9" applyNumberFormat="1" applyFont="1" applyFill="1" applyBorder="1">
      <alignment vertical="top"/>
    </xf>
    <xf numFmtId="0" fontId="69" fillId="5" borderId="5" xfId="9" applyFont="1" applyFill="1" applyBorder="1" applyAlignment="1">
      <alignment horizontal="center" vertical="top"/>
    </xf>
    <xf numFmtId="0" fontId="69" fillId="5" borderId="6" xfId="9" applyFont="1" applyFill="1" applyBorder="1" applyAlignment="1">
      <alignment horizontal="center" vertical="top"/>
    </xf>
    <xf numFmtId="0" fontId="54" fillId="5" borderId="12" xfId="9" applyFont="1" applyFill="1" applyBorder="1" applyAlignment="1">
      <alignment horizontal="center" vertical="top"/>
    </xf>
    <xf numFmtId="0" fontId="54" fillId="5" borderId="5" xfId="9" applyFont="1" applyFill="1" applyBorder="1" applyAlignment="1">
      <alignment horizontal="center" vertical="top"/>
    </xf>
    <xf numFmtId="0" fontId="54" fillId="5" borderId="6" xfId="9" applyFont="1" applyFill="1" applyBorder="1" applyAlignment="1">
      <alignment horizontal="center" vertical="top"/>
    </xf>
    <xf numFmtId="7" fontId="69" fillId="5" borderId="5" xfId="9" applyNumberFormat="1" applyFont="1" applyFill="1" applyBorder="1" applyAlignment="1">
      <alignment horizontal="center" vertical="top"/>
    </xf>
    <xf numFmtId="7" fontId="69" fillId="5" borderId="6" xfId="9" applyNumberFormat="1" applyFont="1" applyFill="1" applyBorder="1" applyAlignment="1">
      <alignment horizontal="center" vertical="top"/>
    </xf>
    <xf numFmtId="7" fontId="69" fillId="6" borderId="12" xfId="9" applyNumberFormat="1" applyFont="1" applyFill="1" applyBorder="1">
      <alignment vertical="top"/>
    </xf>
    <xf numFmtId="168" fontId="69" fillId="0" borderId="12" xfId="9" applyNumberFormat="1" applyFont="1" applyFill="1" applyBorder="1">
      <alignment vertical="top"/>
    </xf>
    <xf numFmtId="168" fontId="69" fillId="0" borderId="6" xfId="9" applyNumberFormat="1" applyFont="1" applyFill="1" applyBorder="1">
      <alignment vertical="top"/>
    </xf>
    <xf numFmtId="168" fontId="69" fillId="0" borderId="5" xfId="9" applyNumberFormat="1" applyFont="1" applyFill="1" applyBorder="1">
      <alignment vertical="top"/>
    </xf>
    <xf numFmtId="0" fontId="54" fillId="0" borderId="11" xfId="9" applyFont="1" applyBorder="1" applyAlignment="1">
      <alignment horizontal="centerContinuous" vertical="top"/>
    </xf>
    <xf numFmtId="0" fontId="54" fillId="5" borderId="58" xfId="9" applyFont="1" applyFill="1" applyBorder="1" applyAlignment="1">
      <alignment horizontal="center" vertical="top"/>
    </xf>
    <xf numFmtId="0" fontId="69" fillId="0" borderId="10" xfId="9" applyFont="1" applyBorder="1">
      <alignment vertical="top"/>
    </xf>
    <xf numFmtId="7" fontId="54" fillId="7" borderId="51" xfId="9" applyNumberFormat="1" applyFont="1" applyFill="1" applyBorder="1">
      <alignment vertical="top"/>
    </xf>
    <xf numFmtId="168" fontId="54" fillId="7" borderId="51" xfId="9" applyNumberFormat="1" applyFont="1" applyFill="1" applyBorder="1">
      <alignment vertical="top"/>
    </xf>
    <xf numFmtId="172" fontId="54" fillId="0" borderId="51" xfId="9" applyNumberFormat="1" applyFont="1" applyFill="1" applyBorder="1" applyAlignment="1">
      <alignment horizontal="center" vertical="top"/>
    </xf>
    <xf numFmtId="168" fontId="54" fillId="0" borderId="58" xfId="9" applyNumberFormat="1" applyFont="1" applyBorder="1">
      <alignment vertical="top"/>
    </xf>
    <xf numFmtId="168" fontId="69" fillId="0" borderId="0" xfId="9" applyNumberFormat="1" applyFont="1" applyFill="1" applyBorder="1" applyAlignment="1">
      <alignment horizontal="center" vertical="top"/>
    </xf>
    <xf numFmtId="168" fontId="69" fillId="0" borderId="3" xfId="9" applyNumberFormat="1" applyFont="1" applyBorder="1">
      <alignment vertical="top"/>
    </xf>
    <xf numFmtId="168" fontId="69" fillId="0" borderId="20" xfId="9" applyNumberFormat="1" applyFont="1" applyFill="1" applyBorder="1">
      <alignment vertical="top"/>
    </xf>
    <xf numFmtId="168" fontId="54" fillId="0" borderId="58" xfId="9" applyNumberFormat="1" applyFont="1" applyFill="1" applyBorder="1">
      <alignment vertical="top"/>
    </xf>
    <xf numFmtId="0" fontId="69" fillId="2" borderId="13" xfId="9" applyFont="1" applyFill="1" applyBorder="1">
      <alignment vertical="top"/>
    </xf>
    <xf numFmtId="0" fontId="69" fillId="2" borderId="6" xfId="9" applyFont="1" applyFill="1" applyBorder="1">
      <alignment vertical="top"/>
    </xf>
    <xf numFmtId="0" fontId="54" fillId="2" borderId="53" xfId="9" applyFont="1" applyFill="1" applyBorder="1">
      <alignment vertical="top"/>
    </xf>
    <xf numFmtId="0" fontId="54" fillId="7" borderId="53" xfId="9" applyFont="1" applyFill="1" applyBorder="1">
      <alignment vertical="top"/>
    </xf>
    <xf numFmtId="7" fontId="11" fillId="0" borderId="13" xfId="9" applyNumberFormat="1" applyBorder="1" applyAlignment="1">
      <alignment horizontal="centerContinuous" vertical="top" wrapText="1"/>
    </xf>
    <xf numFmtId="0" fontId="34" fillId="0" borderId="0" xfId="9" applyNumberFormat="1" applyFont="1" applyFill="1" applyBorder="1" applyAlignment="1">
      <alignment horizontal="center" vertical="top"/>
    </xf>
    <xf numFmtId="168" fontId="11" fillId="0" borderId="0" xfId="9" applyNumberFormat="1" applyBorder="1" applyAlignment="1">
      <alignment horizontal="right" vertical="top"/>
    </xf>
    <xf numFmtId="0" fontId="25" fillId="0" borderId="0" xfId="9" applyNumberFormat="1" applyFont="1" applyFill="1" applyBorder="1" applyAlignment="1">
      <alignment horizontal="left" vertical="top"/>
    </xf>
    <xf numFmtId="0" fontId="4" fillId="0" borderId="0" xfId="9" applyFont="1" applyBorder="1" applyAlignment="1">
      <alignment horizontal="left" vertical="top"/>
    </xf>
    <xf numFmtId="7" fontId="34" fillId="0" borderId="0" xfId="9" applyNumberFormat="1" applyFont="1" applyBorder="1" applyAlignment="1">
      <alignment horizontal="center" vertical="top"/>
    </xf>
    <xf numFmtId="7" fontId="25" fillId="0" borderId="0" xfId="9" applyNumberFormat="1" applyFont="1" applyBorder="1" applyAlignment="1">
      <alignment horizontal="left" vertical="top" indent="2"/>
    </xf>
    <xf numFmtId="0" fontId="25" fillId="0" borderId="19" xfId="9" applyFont="1" applyBorder="1" applyAlignment="1">
      <alignment horizontal="centerContinuous" vertical="top" wrapText="1"/>
    </xf>
    <xf numFmtId="179" fontId="11" fillId="0" borderId="0" xfId="9" applyNumberFormat="1" applyFont="1" applyAlignment="1">
      <alignment horizontal="center" vertical="top"/>
    </xf>
    <xf numFmtId="0" fontId="11" fillId="0" borderId="0" xfId="6">
      <alignment vertical="top"/>
    </xf>
    <xf numFmtId="0" fontId="13" fillId="0" borderId="0" xfId="6" applyFont="1" applyAlignment="1">
      <alignment horizontal="center" vertical="top"/>
    </xf>
    <xf numFmtId="0" fontId="75" fillId="0" borderId="0" xfId="6" quotePrefix="1" applyFont="1" applyAlignment="1">
      <alignment horizontal="center" vertical="center"/>
    </xf>
    <xf numFmtId="0" fontId="76" fillId="0" borderId="0" xfId="6" applyFont="1" applyAlignment="1">
      <alignment horizontal="center" vertical="top"/>
    </xf>
    <xf numFmtId="0" fontId="77" fillId="0" borderId="0" xfId="6" applyFont="1">
      <alignment vertical="top"/>
    </xf>
    <xf numFmtId="7" fontId="27" fillId="0" borderId="0" xfId="9" applyNumberFormat="1" applyFont="1">
      <alignment vertical="top"/>
    </xf>
    <xf numFmtId="14" fontId="52" fillId="0" borderId="0" xfId="0" applyNumberFormat="1" applyFont="1"/>
    <xf numFmtId="168" fontId="54" fillId="0" borderId="8" xfId="9" applyNumberFormat="1" applyFont="1" applyBorder="1">
      <alignment vertical="top"/>
    </xf>
    <xf numFmtId="168" fontId="69" fillId="0" borderId="3" xfId="9" applyNumberFormat="1" applyFont="1" applyFill="1" applyBorder="1">
      <alignment vertical="top"/>
    </xf>
    <xf numFmtId="168" fontId="69" fillId="0" borderId="4" xfId="9" applyNumberFormat="1" applyFont="1" applyFill="1" applyBorder="1">
      <alignment vertical="top"/>
    </xf>
    <xf numFmtId="168" fontId="69" fillId="0" borderId="21" xfId="9" applyNumberFormat="1" applyFont="1" applyFill="1" applyBorder="1">
      <alignment vertical="top"/>
    </xf>
    <xf numFmtId="0" fontId="47" fillId="0" borderId="0" xfId="9" applyFont="1" applyBorder="1">
      <alignment vertical="top"/>
    </xf>
    <xf numFmtId="168" fontId="11" fillId="0" borderId="0" xfId="9" applyNumberFormat="1" applyAlignment="1">
      <alignment vertical="top"/>
    </xf>
    <xf numFmtId="168" fontId="25" fillId="0" borderId="0" xfId="9" applyNumberFormat="1" applyFont="1" applyAlignment="1">
      <alignment vertical="top"/>
    </xf>
    <xf numFmtId="7" fontId="11" fillId="0" borderId="0" xfId="9" applyNumberFormat="1" applyFont="1" applyAlignment="1">
      <alignment horizontal="center" vertical="top"/>
    </xf>
    <xf numFmtId="0" fontId="69" fillId="0" borderId="8" xfId="9" applyFont="1" applyBorder="1" applyAlignment="1">
      <alignment vertical="top"/>
    </xf>
    <xf numFmtId="7" fontId="69" fillId="0" borderId="8" xfId="6" applyNumberFormat="1" applyFont="1" applyFill="1" applyBorder="1" applyAlignment="1">
      <alignment horizontal="left" vertical="center"/>
    </xf>
    <xf numFmtId="0" fontId="52" fillId="0" borderId="60" xfId="0" applyFont="1" applyBorder="1" applyAlignment="1"/>
    <xf numFmtId="0" fontId="54" fillId="0" borderId="0" xfId="0" applyFont="1" applyBorder="1"/>
    <xf numFmtId="0" fontId="55" fillId="0" borderId="0" xfId="0" applyFont="1"/>
    <xf numFmtId="171" fontId="55" fillId="0" borderId="0" xfId="0" applyNumberFormat="1" applyFont="1" applyBorder="1"/>
    <xf numFmtId="0" fontId="58" fillId="3" borderId="0" xfId="0" applyFont="1" applyFill="1" applyBorder="1" applyAlignment="1">
      <alignment horizontal="center"/>
    </xf>
    <xf numFmtId="0" fontId="62" fillId="0" borderId="0" xfId="0" applyFont="1" applyAlignment="1">
      <alignment horizontal="center"/>
    </xf>
    <xf numFmtId="14" fontId="62" fillId="0" borderId="0" xfId="0" applyNumberFormat="1" applyFont="1" applyAlignment="1">
      <alignment horizontal="center"/>
    </xf>
    <xf numFmtId="0" fontId="54" fillId="0" borderId="0" xfId="0" applyFont="1" applyBorder="1" applyAlignment="1">
      <alignment horizontal="centerContinuous"/>
    </xf>
    <xf numFmtId="171" fontId="62" fillId="0" borderId="0" xfId="0" applyNumberFormat="1" applyFont="1" applyBorder="1" applyAlignment="1">
      <alignment horizontal="center"/>
    </xf>
    <xf numFmtId="0" fontId="67" fillId="0" borderId="0" xfId="0" applyFont="1" applyBorder="1" applyAlignment="1">
      <alignment horizontal="center"/>
    </xf>
    <xf numFmtId="0" fontId="62" fillId="0" borderId="14" xfId="0" applyFont="1" applyBorder="1" applyAlignment="1">
      <alignment horizontal="center"/>
    </xf>
    <xf numFmtId="0" fontId="62" fillId="0" borderId="19" xfId="0" applyFont="1" applyBorder="1" applyAlignment="1">
      <alignment horizontal="center"/>
    </xf>
    <xf numFmtId="172" fontId="55" fillId="0" borderId="19" xfId="0" applyNumberFormat="1" applyFont="1" applyBorder="1"/>
    <xf numFmtId="168" fontId="55" fillId="0" borderId="0" xfId="0" applyNumberFormat="1" applyFont="1" applyBorder="1"/>
    <xf numFmtId="168" fontId="52" fillId="0" borderId="0" xfId="0" applyNumberFormat="1" applyFont="1" applyBorder="1"/>
    <xf numFmtId="7" fontId="52" fillId="0" borderId="0" xfId="0" applyNumberFormat="1" applyFont="1" applyBorder="1"/>
    <xf numFmtId="164" fontId="52" fillId="0" borderId="0" xfId="0" applyNumberFormat="1" applyFont="1" applyFill="1" applyBorder="1" applyAlignment="1">
      <alignment horizontal="center"/>
    </xf>
    <xf numFmtId="172" fontId="55" fillId="0" borderId="0" xfId="0" applyNumberFormat="1" applyFont="1" applyBorder="1"/>
    <xf numFmtId="164" fontId="52" fillId="0" borderId="19" xfId="0" applyNumberFormat="1" applyFont="1" applyFill="1" applyBorder="1" applyAlignment="1">
      <alignment horizontal="center"/>
    </xf>
    <xf numFmtId="172" fontId="55" fillId="0" borderId="0" xfId="0" applyNumberFormat="1" applyFont="1" applyBorder="1" applyAlignment="1"/>
    <xf numFmtId="172" fontId="55" fillId="0" borderId="0" xfId="0" applyNumberFormat="1" applyFont="1" applyFill="1" applyBorder="1" applyAlignment="1"/>
    <xf numFmtId="172" fontId="55" fillId="0" borderId="19" xfId="0" applyNumberFormat="1" applyFont="1" applyFill="1" applyBorder="1" applyAlignment="1"/>
    <xf numFmtId="172" fontId="55" fillId="0" borderId="37" xfId="0" applyNumberFormat="1" applyFont="1" applyFill="1" applyBorder="1" applyAlignment="1"/>
    <xf numFmtId="172" fontId="55" fillId="0" borderId="19" xfId="0" applyNumberFormat="1" applyFont="1" applyBorder="1" applyAlignment="1"/>
    <xf numFmtId="0" fontId="66" fillId="0" borderId="40" xfId="0" applyFont="1" applyFill="1" applyBorder="1" applyAlignment="1">
      <alignment horizontal="center"/>
    </xf>
    <xf numFmtId="0" fontId="55" fillId="2" borderId="40" xfId="0" applyFont="1" applyFill="1" applyBorder="1"/>
    <xf numFmtId="0" fontId="52" fillId="0" borderId="40" xfId="0" applyFont="1" applyBorder="1" applyAlignment="1">
      <alignment horizontal="center"/>
    </xf>
    <xf numFmtId="7" fontId="8" fillId="0" borderId="0" xfId="9" applyNumberFormat="1" applyFont="1" applyBorder="1">
      <alignment vertical="top"/>
    </xf>
    <xf numFmtId="7" fontId="11" fillId="0" borderId="5" xfId="9" applyNumberFormat="1" applyFont="1" applyBorder="1">
      <alignment vertical="top"/>
    </xf>
    <xf numFmtId="0" fontId="25" fillId="0" borderId="0" xfId="9" applyFont="1" applyBorder="1" applyAlignment="1">
      <alignment horizontal="right" vertical="top"/>
    </xf>
    <xf numFmtId="7" fontId="11" fillId="0" borderId="0" xfId="9" applyNumberFormat="1" applyBorder="1" applyAlignment="1">
      <alignment horizontal="right" vertical="top"/>
    </xf>
    <xf numFmtId="0" fontId="11" fillId="0" borderId="0" xfId="9" applyBorder="1" applyAlignment="1">
      <alignment horizontal="left" vertical="top"/>
    </xf>
    <xf numFmtId="0" fontId="11" fillId="0" borderId="0" xfId="9" applyBorder="1" applyAlignment="1">
      <alignment horizontal="left" vertical="top" wrapText="1"/>
    </xf>
    <xf numFmtId="0" fontId="3" fillId="0" borderId="0" xfId="9" applyFont="1" applyBorder="1" applyAlignment="1">
      <alignment horizontal="left" vertical="top"/>
    </xf>
    <xf numFmtId="168" fontId="11" fillId="0" borderId="0" xfId="9" applyNumberFormat="1" applyBorder="1" applyAlignment="1">
      <alignment vertical="top"/>
    </xf>
    <xf numFmtId="0" fontId="10" fillId="0" borderId="0" xfId="10" applyBorder="1"/>
    <xf numFmtId="7" fontId="79" fillId="0" borderId="0" xfId="9" applyNumberFormat="1" applyFont="1">
      <alignment vertical="top"/>
    </xf>
    <xf numFmtId="0" fontId="21" fillId="0" borderId="3" xfId="9" applyFont="1" applyBorder="1">
      <alignment vertical="top"/>
    </xf>
    <xf numFmtId="0" fontId="79" fillId="0" borderId="0" xfId="9" applyFont="1" applyAlignment="1">
      <alignment horizontal="left" vertical="top"/>
    </xf>
    <xf numFmtId="0" fontId="3" fillId="0" borderId="5" xfId="9" applyNumberFormat="1" applyFont="1" applyFill="1" applyBorder="1" applyAlignment="1">
      <alignment horizontal="left" vertical="top"/>
    </xf>
    <xf numFmtId="0" fontId="5" fillId="0" borderId="5" xfId="9" applyNumberFormat="1" applyFont="1" applyFill="1" applyBorder="1" applyAlignment="1">
      <alignment horizontal="left" vertical="top"/>
    </xf>
    <xf numFmtId="7" fontId="4" fillId="0" borderId="5" xfId="9" applyNumberFormat="1" applyFont="1" applyBorder="1" applyAlignment="1">
      <alignment horizontal="left" vertical="top"/>
    </xf>
    <xf numFmtId="0" fontId="54" fillId="0" borderId="50" xfId="9" applyFont="1" applyBorder="1" applyAlignment="1">
      <alignment horizontal="center" vertical="top" wrapText="1"/>
    </xf>
    <xf numFmtId="8" fontId="69" fillId="0" borderId="4" xfId="9" applyNumberFormat="1" applyFont="1" applyBorder="1" applyAlignment="1">
      <alignment horizontal="right" vertical="top"/>
    </xf>
    <xf numFmtId="7" fontId="69" fillId="0" borderId="0" xfId="9" applyNumberFormat="1" applyFont="1" applyBorder="1" applyAlignment="1">
      <alignment horizontal="right" vertical="top"/>
    </xf>
    <xf numFmtId="7" fontId="69" fillId="0" borderId="21" xfId="9" applyNumberFormat="1" applyFont="1" applyBorder="1">
      <alignment vertical="top"/>
    </xf>
    <xf numFmtId="7" fontId="54" fillId="0" borderId="51" xfId="9" applyNumberFormat="1" applyFont="1" applyBorder="1" applyAlignment="1">
      <alignment horizontal="center" vertical="top"/>
    </xf>
    <xf numFmtId="168" fontId="54" fillId="0" borderId="53" xfId="9" applyNumberFormat="1" applyFont="1" applyBorder="1" applyAlignment="1">
      <alignment horizontal="center" vertical="top"/>
    </xf>
    <xf numFmtId="0" fontId="3" fillId="0" borderId="19" xfId="9" applyFont="1" applyBorder="1" applyAlignment="1">
      <alignment horizontal="left" vertical="top"/>
    </xf>
    <xf numFmtId="0" fontId="4" fillId="0" borderId="6" xfId="9" applyFont="1" applyBorder="1" applyAlignment="1">
      <alignment horizontal="left" vertical="top"/>
    </xf>
    <xf numFmtId="7" fontId="3" fillId="0" borderId="13" xfId="9" applyNumberFormat="1" applyFont="1" applyBorder="1" applyAlignment="1">
      <alignment horizontal="right" vertical="top"/>
    </xf>
    <xf numFmtId="0" fontId="38" fillId="0" borderId="0" xfId="9" applyFont="1" applyAlignment="1">
      <alignment horizontal="left" vertical="top"/>
    </xf>
    <xf numFmtId="14" fontId="9" fillId="0" borderId="5" xfId="9" applyNumberFormat="1" applyFont="1" applyFill="1" applyBorder="1" applyAlignment="1">
      <alignment horizontal="centerContinuous" vertical="top"/>
    </xf>
    <xf numFmtId="172" fontId="21" fillId="0" borderId="56" xfId="9" applyNumberFormat="1" applyFont="1" applyBorder="1" applyAlignment="1">
      <alignment horizontal="center" vertical="top"/>
    </xf>
    <xf numFmtId="0" fontId="21" fillId="0" borderId="18" xfId="9" applyFont="1" applyBorder="1" applyAlignment="1">
      <alignment horizontal="center" vertical="top"/>
    </xf>
    <xf numFmtId="179" fontId="4" fillId="0" borderId="0" xfId="9" applyNumberFormat="1" applyFont="1" applyAlignment="1">
      <alignment horizontal="left" vertical="top"/>
    </xf>
    <xf numFmtId="7" fontId="4" fillId="0" borderId="0" xfId="9" applyNumberFormat="1" applyFont="1" applyAlignment="1">
      <alignment horizontal="left" vertical="top"/>
    </xf>
    <xf numFmtId="0" fontId="11" fillId="0" borderId="10" xfId="9" applyBorder="1" applyAlignment="1">
      <alignment horizontal="center" wrapText="1"/>
    </xf>
    <xf numFmtId="7" fontId="11" fillId="0" borderId="21" xfId="9" applyNumberFormat="1" applyFont="1" applyBorder="1" applyAlignment="1">
      <alignment horizontal="center" vertical="top"/>
    </xf>
    <xf numFmtId="0" fontId="80" fillId="0" borderId="0" xfId="4"/>
    <xf numFmtId="0" fontId="80" fillId="0" borderId="0" xfId="4" applyFont="1"/>
    <xf numFmtId="0" fontId="80" fillId="0" borderId="0" xfId="4" applyAlignment="1">
      <alignment horizontal="center"/>
    </xf>
    <xf numFmtId="0" fontId="81" fillId="0" borderId="64" xfId="4" applyFont="1" applyBorder="1"/>
    <xf numFmtId="0" fontId="80" fillId="0" borderId="65" xfId="4" applyBorder="1"/>
    <xf numFmtId="0" fontId="80" fillId="0" borderId="66" xfId="4" applyBorder="1"/>
    <xf numFmtId="0" fontId="80" fillId="0" borderId="67" xfId="4" applyBorder="1" applyAlignment="1">
      <alignment horizontal="center"/>
    </xf>
    <xf numFmtId="0" fontId="80" fillId="0" borderId="19" xfId="4" applyBorder="1" applyAlignment="1">
      <alignment horizontal="center"/>
    </xf>
    <xf numFmtId="0" fontId="80" fillId="0" borderId="68" xfId="4" applyBorder="1" applyAlignment="1">
      <alignment horizontal="center"/>
    </xf>
    <xf numFmtId="0" fontId="80" fillId="0" borderId="69" xfId="4" applyBorder="1"/>
    <xf numFmtId="172" fontId="54" fillId="0" borderId="0" xfId="4" applyNumberFormat="1" applyFont="1" applyBorder="1" applyAlignment="1">
      <alignment horizontal="center"/>
    </xf>
    <xf numFmtId="173" fontId="67" fillId="0" borderId="70" xfId="4" applyNumberFormat="1" applyFont="1" applyBorder="1" applyAlignment="1">
      <alignment horizontal="center"/>
    </xf>
    <xf numFmtId="172" fontId="67" fillId="0" borderId="0" xfId="4" applyNumberFormat="1" applyFont="1" applyBorder="1" applyAlignment="1">
      <alignment horizontal="center"/>
    </xf>
    <xf numFmtId="172" fontId="82" fillId="0" borderId="70" xfId="4" applyNumberFormat="1" applyFont="1" applyBorder="1" applyAlignment="1">
      <alignment horizontal="center"/>
    </xf>
    <xf numFmtId="0" fontId="80" fillId="0" borderId="71" xfId="4" applyBorder="1"/>
    <xf numFmtId="172" fontId="67" fillId="0" borderId="72" xfId="4" applyNumberFormat="1" applyFont="1" applyBorder="1" applyAlignment="1">
      <alignment horizontal="center"/>
    </xf>
    <xf numFmtId="172" fontId="82" fillId="0" borderId="72" xfId="4" applyNumberFormat="1" applyFont="1" applyBorder="1" applyAlignment="1">
      <alignment horizontal="center"/>
    </xf>
    <xf numFmtId="172" fontId="82" fillId="0" borderId="73" xfId="4" applyNumberFormat="1" applyFont="1" applyBorder="1" applyAlignment="1">
      <alignment horizontal="center"/>
    </xf>
    <xf numFmtId="171" fontId="80" fillId="0" borderId="0" xfId="4" applyNumberFormat="1"/>
    <xf numFmtId="0" fontId="80" fillId="0" borderId="0" xfId="4" quotePrefix="1" applyAlignment="1">
      <alignment horizontal="center"/>
    </xf>
    <xf numFmtId="0" fontId="81" fillId="0" borderId="0" xfId="4" applyFont="1"/>
    <xf numFmtId="0" fontId="80" fillId="0" borderId="0" xfId="4" applyFill="1"/>
    <xf numFmtId="0" fontId="80" fillId="0" borderId="0" xfId="4" applyBorder="1"/>
    <xf numFmtId="0" fontId="80" fillId="0" borderId="0" xfId="4" applyBorder="1" applyAlignment="1">
      <alignment horizontal="center"/>
    </xf>
    <xf numFmtId="0" fontId="80" fillId="0" borderId="64" xfId="4" applyBorder="1"/>
    <xf numFmtId="173" fontId="67" fillId="0" borderId="66" xfId="4" applyNumberFormat="1" applyFont="1" applyBorder="1" applyAlignment="1">
      <alignment horizontal="center"/>
    </xf>
    <xf numFmtId="0" fontId="83" fillId="0" borderId="0" xfId="4" applyFont="1" applyBorder="1" applyAlignment="1">
      <alignment horizontal="center"/>
    </xf>
    <xf numFmtId="172" fontId="67" fillId="0" borderId="70" xfId="4" applyNumberFormat="1" applyFont="1" applyBorder="1" applyAlignment="1">
      <alignment horizontal="center"/>
    </xf>
    <xf numFmtId="0" fontId="80" fillId="0" borderId="72" xfId="4" applyBorder="1"/>
    <xf numFmtId="0" fontId="83" fillId="0" borderId="72" xfId="4" applyFont="1" applyBorder="1" applyAlignment="1">
      <alignment horizontal="center"/>
    </xf>
    <xf numFmtId="173" fontId="67" fillId="0" borderId="73" xfId="4" applyNumberFormat="1" applyFont="1" applyBorder="1" applyAlignment="1">
      <alignment horizontal="center"/>
    </xf>
    <xf numFmtId="0" fontId="80" fillId="8" borderId="64" xfId="4" applyFill="1" applyBorder="1"/>
    <xf numFmtId="0" fontId="80" fillId="8" borderId="65" xfId="4" applyFill="1" applyBorder="1"/>
    <xf numFmtId="0" fontId="83" fillId="8" borderId="65" xfId="4" applyFont="1" applyFill="1" applyBorder="1" applyAlignment="1">
      <alignment horizontal="center"/>
    </xf>
    <xf numFmtId="0" fontId="83" fillId="8" borderId="66" xfId="4" applyFont="1" applyFill="1" applyBorder="1" applyAlignment="1">
      <alignment horizontal="center"/>
    </xf>
    <xf numFmtId="0" fontId="80" fillId="8" borderId="69" xfId="4" applyFill="1" applyBorder="1"/>
    <xf numFmtId="0" fontId="80" fillId="8" borderId="0" xfId="4" applyFill="1" applyBorder="1"/>
    <xf numFmtId="172" fontId="67" fillId="8" borderId="0" xfId="4" applyNumberFormat="1" applyFont="1" applyFill="1" applyBorder="1" applyAlignment="1">
      <alignment horizontal="center"/>
    </xf>
    <xf numFmtId="0" fontId="83" fillId="8" borderId="0" xfId="4" applyFont="1" applyFill="1" applyBorder="1" applyAlignment="1">
      <alignment horizontal="center"/>
    </xf>
    <xf numFmtId="172" fontId="83" fillId="8" borderId="70" xfId="4" applyNumberFormat="1" applyFont="1" applyFill="1" applyBorder="1" applyAlignment="1">
      <alignment horizontal="center"/>
    </xf>
    <xf numFmtId="0" fontId="80" fillId="8" borderId="0" xfId="4" applyFill="1" applyBorder="1" applyAlignment="1">
      <alignment horizontal="center"/>
    </xf>
    <xf numFmtId="0" fontId="80" fillId="8" borderId="71" xfId="4" applyFill="1" applyBorder="1"/>
    <xf numFmtId="0" fontId="80" fillId="8" borderId="72" xfId="4" applyFill="1" applyBorder="1"/>
    <xf numFmtId="172" fontId="67" fillId="8" borderId="73" xfId="4" applyNumberFormat="1" applyFont="1" applyFill="1" applyBorder="1" applyAlignment="1">
      <alignment horizontal="center"/>
    </xf>
    <xf numFmtId="0" fontId="83" fillId="0" borderId="66" xfId="4" applyFont="1" applyBorder="1" applyAlignment="1">
      <alignment horizontal="center"/>
    </xf>
    <xf numFmtId="172" fontId="80" fillId="0" borderId="70" xfId="4" applyNumberFormat="1" applyBorder="1" applyAlignment="1">
      <alignment horizontal="center"/>
    </xf>
    <xf numFmtId="0" fontId="80" fillId="0" borderId="72" xfId="4" applyBorder="1" applyAlignment="1">
      <alignment horizontal="center"/>
    </xf>
    <xf numFmtId="172" fontId="80" fillId="0" borderId="73" xfId="4" applyNumberFormat="1" applyBorder="1" applyAlignment="1">
      <alignment horizontal="center"/>
    </xf>
    <xf numFmtId="172" fontId="82" fillId="8" borderId="70" xfId="4" applyNumberFormat="1" applyFont="1" applyFill="1" applyBorder="1" applyAlignment="1">
      <alignment horizontal="center"/>
    </xf>
    <xf numFmtId="0" fontId="83" fillId="8" borderId="72" xfId="4" applyFont="1" applyFill="1" applyBorder="1" applyAlignment="1">
      <alignment horizontal="center"/>
    </xf>
    <xf numFmtId="173" fontId="82" fillId="8" borderId="73" xfId="4" applyNumberFormat="1" applyFont="1" applyFill="1" applyBorder="1" applyAlignment="1">
      <alignment horizontal="center"/>
    </xf>
    <xf numFmtId="0" fontId="83" fillId="0" borderId="65" xfId="4" applyFont="1" applyBorder="1" applyAlignment="1">
      <alignment horizontal="center"/>
    </xf>
    <xf numFmtId="172" fontId="83" fillId="0" borderId="70" xfId="4" applyNumberFormat="1" applyFont="1" applyBorder="1" applyAlignment="1">
      <alignment horizontal="center"/>
    </xf>
    <xf numFmtId="173" fontId="82" fillId="8" borderId="70" xfId="4" applyNumberFormat="1" applyFont="1" applyFill="1" applyBorder="1" applyAlignment="1">
      <alignment horizontal="center"/>
    </xf>
    <xf numFmtId="172" fontId="80" fillId="8" borderId="70" xfId="4" applyNumberFormat="1" applyFill="1" applyBorder="1" applyAlignment="1">
      <alignment horizontal="center"/>
    </xf>
    <xf numFmtId="172" fontId="67" fillId="8" borderId="72" xfId="4" applyNumberFormat="1" applyFont="1" applyFill="1" applyBorder="1" applyAlignment="1">
      <alignment horizontal="center"/>
    </xf>
    <xf numFmtId="0" fontId="80" fillId="8" borderId="72" xfId="4" applyFill="1" applyBorder="1" applyAlignment="1">
      <alignment horizontal="center"/>
    </xf>
    <xf numFmtId="172" fontId="80" fillId="8" borderId="73" xfId="4" applyNumberFormat="1" applyFill="1" applyBorder="1" applyAlignment="1">
      <alignment horizontal="center"/>
    </xf>
    <xf numFmtId="172" fontId="80" fillId="0" borderId="0" xfId="4" applyNumberFormat="1"/>
    <xf numFmtId="0" fontId="81" fillId="0" borderId="74" xfId="4" applyFont="1" applyBorder="1"/>
    <xf numFmtId="0" fontId="80" fillId="0" borderId="74" xfId="4" applyBorder="1"/>
    <xf numFmtId="0" fontId="80" fillId="0" borderId="75" xfId="4" applyBorder="1"/>
    <xf numFmtId="0" fontId="81" fillId="0" borderId="0" xfId="4" applyFont="1" applyBorder="1"/>
    <xf numFmtId="0" fontId="80" fillId="0" borderId="76" xfId="4" applyBorder="1"/>
    <xf numFmtId="0" fontId="80" fillId="0" borderId="75" xfId="4" applyBorder="1" applyAlignment="1">
      <alignment horizontal="center"/>
    </xf>
    <xf numFmtId="0" fontId="80" fillId="0" borderId="76" xfId="4" applyBorder="1" applyAlignment="1">
      <alignment horizontal="center"/>
    </xf>
    <xf numFmtId="0" fontId="80" fillId="0" borderId="77" xfId="4" applyBorder="1"/>
    <xf numFmtId="0" fontId="80" fillId="0" borderId="78" xfId="4" applyBorder="1"/>
    <xf numFmtId="44" fontId="84" fillId="0" borderId="79" xfId="4" applyNumberFormat="1" applyFont="1" applyBorder="1"/>
    <xf numFmtId="0" fontId="80" fillId="0" borderId="80" xfId="4" applyBorder="1"/>
    <xf numFmtId="0" fontId="80" fillId="0" borderId="81" xfId="4" applyBorder="1"/>
    <xf numFmtId="0" fontId="80" fillId="0" borderId="82" xfId="4" applyBorder="1"/>
    <xf numFmtId="0" fontId="80" fillId="0" borderId="1" xfId="4" applyBorder="1"/>
    <xf numFmtId="182" fontId="84" fillId="0" borderId="1" xfId="4" applyNumberFormat="1" applyFont="1" applyBorder="1"/>
    <xf numFmtId="182" fontId="80" fillId="0" borderId="83" xfId="4" applyNumberFormat="1" applyBorder="1"/>
    <xf numFmtId="182" fontId="80" fillId="0" borderId="1" xfId="4" applyNumberFormat="1" applyBorder="1" applyAlignment="1">
      <alignment horizontal="center"/>
    </xf>
    <xf numFmtId="0" fontId="80" fillId="0" borderId="84" xfId="4" applyBorder="1"/>
    <xf numFmtId="182" fontId="80" fillId="0" borderId="74" xfId="4" applyNumberFormat="1" applyBorder="1" applyAlignment="1">
      <alignment horizontal="center"/>
    </xf>
    <xf numFmtId="182" fontId="80" fillId="0" borderId="85" xfId="4" applyNumberFormat="1" applyBorder="1"/>
    <xf numFmtId="182" fontId="84" fillId="0" borderId="74" xfId="4" applyNumberFormat="1" applyFont="1" applyBorder="1"/>
    <xf numFmtId="182" fontId="84" fillId="0" borderId="78" xfId="4" applyNumberFormat="1" applyFont="1" applyBorder="1"/>
    <xf numFmtId="182" fontId="80" fillId="0" borderId="78" xfId="4" applyNumberFormat="1" applyBorder="1" applyAlignment="1">
      <alignment horizontal="center"/>
    </xf>
    <xf numFmtId="182" fontId="80" fillId="0" borderId="79" xfId="4" applyNumberFormat="1" applyBorder="1"/>
    <xf numFmtId="0" fontId="80" fillId="0" borderId="86" xfId="4" applyBorder="1"/>
    <xf numFmtId="0" fontId="80" fillId="0" borderId="87" xfId="4" applyBorder="1"/>
    <xf numFmtId="182" fontId="84" fillId="0" borderId="87" xfId="4" applyNumberFormat="1" applyFont="1" applyBorder="1"/>
    <xf numFmtId="182" fontId="80" fillId="0" borderId="87" xfId="4" applyNumberFormat="1" applyBorder="1" applyAlignment="1">
      <alignment horizontal="center"/>
    </xf>
    <xf numFmtId="182" fontId="80" fillId="0" borderId="88" xfId="4" applyNumberFormat="1" applyBorder="1"/>
    <xf numFmtId="0" fontId="80" fillId="0" borderId="89" xfId="4" applyBorder="1"/>
    <xf numFmtId="0" fontId="80" fillId="0" borderId="90" xfId="4" applyBorder="1"/>
    <xf numFmtId="182" fontId="80" fillId="0" borderId="90" xfId="4" applyNumberFormat="1" applyBorder="1"/>
    <xf numFmtId="182" fontId="80" fillId="0" borderId="90" xfId="4" applyNumberFormat="1" applyBorder="1" applyAlignment="1">
      <alignment horizontal="center"/>
    </xf>
    <xf numFmtId="182" fontId="84" fillId="0" borderId="91" xfId="4" applyNumberFormat="1" applyFont="1" applyBorder="1"/>
    <xf numFmtId="182" fontId="67" fillId="0" borderId="91" xfId="4" applyNumberFormat="1" applyFont="1" applyBorder="1"/>
    <xf numFmtId="182" fontId="80" fillId="0" borderId="1" xfId="4" applyNumberFormat="1" applyBorder="1"/>
    <xf numFmtId="182" fontId="67" fillId="0" borderId="83" xfId="4" applyNumberFormat="1" applyFont="1" applyBorder="1"/>
    <xf numFmtId="182" fontId="84" fillId="0" borderId="83" xfId="4" applyNumberFormat="1" applyFont="1" applyBorder="1"/>
    <xf numFmtId="0" fontId="80" fillId="0" borderId="87" xfId="4" applyBorder="1" applyAlignment="1">
      <alignment horizontal="left"/>
    </xf>
    <xf numFmtId="182" fontId="80" fillId="0" borderId="87" xfId="4" applyNumberFormat="1" applyBorder="1"/>
    <xf numFmtId="7" fontId="84" fillId="0" borderId="88" xfId="4" applyNumberFormat="1" applyFont="1" applyBorder="1"/>
    <xf numFmtId="44" fontId="80" fillId="0" borderId="91" xfId="4" applyNumberFormat="1" applyBorder="1" applyAlignment="1">
      <alignment horizontal="center"/>
    </xf>
    <xf numFmtId="182" fontId="80" fillId="0" borderId="78" xfId="4" applyNumberFormat="1" applyBorder="1"/>
    <xf numFmtId="44" fontId="80" fillId="0" borderId="79" xfId="4" applyNumberFormat="1" applyBorder="1" applyAlignment="1">
      <alignment horizontal="center"/>
    </xf>
    <xf numFmtId="182" fontId="80" fillId="0" borderId="74" xfId="4" applyNumberFormat="1" applyBorder="1"/>
    <xf numFmtId="182" fontId="84" fillId="0" borderId="85" xfId="4" applyNumberFormat="1" applyFont="1" applyBorder="1"/>
    <xf numFmtId="0" fontId="80" fillId="0" borderId="92" xfId="4" applyBorder="1"/>
    <xf numFmtId="0" fontId="80" fillId="0" borderId="93" xfId="4" applyBorder="1"/>
    <xf numFmtId="182" fontId="80" fillId="0" borderId="93" xfId="4" applyNumberFormat="1" applyBorder="1"/>
    <xf numFmtId="182" fontId="80" fillId="0" borderId="93" xfId="4" applyNumberFormat="1" applyBorder="1" applyAlignment="1">
      <alignment horizontal="center"/>
    </xf>
    <xf numFmtId="182" fontId="80" fillId="0" borderId="94" xfId="4" applyNumberFormat="1" applyBorder="1" applyAlignment="1">
      <alignment horizontal="center"/>
    </xf>
    <xf numFmtId="0" fontId="80" fillId="0" borderId="95" xfId="4" applyBorder="1"/>
    <xf numFmtId="0" fontId="80" fillId="0" borderId="96" xfId="4" applyBorder="1"/>
    <xf numFmtId="182" fontId="84" fillId="0" borderId="88" xfId="4" applyNumberFormat="1" applyFont="1" applyBorder="1"/>
    <xf numFmtId="7" fontId="84" fillId="0" borderId="91" xfId="4" applyNumberFormat="1" applyFont="1" applyBorder="1"/>
    <xf numFmtId="44" fontId="84" fillId="0" borderId="91" xfId="4" applyNumberFormat="1" applyFont="1" applyBorder="1"/>
    <xf numFmtId="182" fontId="67" fillId="0" borderId="88" xfId="4" applyNumberFormat="1" applyFont="1" applyBorder="1"/>
    <xf numFmtId="44" fontId="80" fillId="0" borderId="83" xfId="4" applyNumberFormat="1" applyBorder="1" applyAlignment="1">
      <alignment horizontal="center"/>
    </xf>
    <xf numFmtId="0" fontId="80" fillId="0" borderId="97" xfId="4" applyBorder="1"/>
    <xf numFmtId="0" fontId="80" fillId="0" borderId="98" xfId="4" applyBorder="1"/>
    <xf numFmtId="182" fontId="80" fillId="0" borderId="0" xfId="4" applyNumberFormat="1"/>
    <xf numFmtId="22" fontId="80" fillId="0" borderId="0" xfId="4" applyNumberFormat="1"/>
    <xf numFmtId="0" fontId="64" fillId="0" borderId="0" xfId="0" applyFont="1" applyBorder="1"/>
    <xf numFmtId="0" fontId="52" fillId="0" borderId="0" xfId="0" applyFont="1" applyAlignment="1"/>
    <xf numFmtId="0" fontId="59" fillId="3" borderId="14" xfId="0" applyFont="1" applyFill="1" applyBorder="1" applyAlignment="1">
      <alignment horizontal="center"/>
    </xf>
    <xf numFmtId="0" fontId="78" fillId="0" borderId="0" xfId="0" applyFont="1" applyFill="1" applyBorder="1"/>
    <xf numFmtId="0" fontId="78" fillId="0" borderId="0" xfId="0" applyFont="1" applyFill="1"/>
    <xf numFmtId="0" fontId="54" fillId="0" borderId="0" xfId="0" applyFont="1" applyFill="1"/>
    <xf numFmtId="7" fontId="25" fillId="0" borderId="0" xfId="9" applyNumberFormat="1" applyFont="1" applyFill="1" applyAlignment="1">
      <alignment vertical="top"/>
    </xf>
    <xf numFmtId="7" fontId="11" fillId="0" borderId="0" xfId="9" applyNumberFormat="1" applyFill="1" applyAlignment="1">
      <alignment vertical="top"/>
    </xf>
    <xf numFmtId="0" fontId="25" fillId="0" borderId="0" xfId="9" applyFont="1" applyFill="1" applyAlignment="1">
      <alignment vertical="top"/>
    </xf>
    <xf numFmtId="7" fontId="27" fillId="0" borderId="0" xfId="9" applyNumberFormat="1" applyFont="1" applyFill="1" applyAlignment="1">
      <alignment vertical="top"/>
    </xf>
    <xf numFmtId="0" fontId="29" fillId="0" borderId="0" xfId="9" applyFont="1" applyFill="1" applyAlignment="1">
      <alignment vertical="top"/>
    </xf>
    <xf numFmtId="4" fontId="29" fillId="0" borderId="0" xfId="9" applyNumberFormat="1" applyFont="1" applyFill="1" applyAlignment="1">
      <alignment vertical="top"/>
    </xf>
    <xf numFmtId="4" fontId="25" fillId="0" borderId="0" xfId="9" applyNumberFormat="1" applyFont="1" applyFill="1" applyAlignment="1">
      <alignment vertical="top"/>
    </xf>
    <xf numFmtId="166" fontId="25" fillId="0" borderId="0" xfId="9" applyNumberFormat="1" applyFont="1" applyFill="1" applyAlignment="1">
      <alignment vertical="top"/>
    </xf>
    <xf numFmtId="7" fontId="79" fillId="0" borderId="0" xfId="9" applyNumberFormat="1" applyFont="1" applyFill="1" applyAlignment="1">
      <alignment vertical="top"/>
    </xf>
    <xf numFmtId="0" fontId="12" fillId="0" borderId="0" xfId="9" applyFont="1" applyFill="1" applyAlignment="1">
      <alignment vertical="top"/>
    </xf>
    <xf numFmtId="7" fontId="52" fillId="0" borderId="19" xfId="0" applyNumberFormat="1" applyFont="1" applyBorder="1"/>
    <xf numFmtId="7" fontId="52" fillId="0" borderId="0" xfId="0" applyNumberFormat="1" applyFont="1" applyBorder="1" applyAlignment="1"/>
    <xf numFmtId="7" fontId="52" fillId="0" borderId="0" xfId="0" applyNumberFormat="1" applyFont="1" applyFill="1" applyBorder="1" applyAlignment="1"/>
    <xf numFmtId="7" fontId="52" fillId="0" borderId="19" xfId="0" applyNumberFormat="1" applyFont="1" applyFill="1" applyBorder="1" applyAlignment="1"/>
    <xf numFmtId="7" fontId="52" fillId="0" borderId="37" xfId="0" applyNumberFormat="1" applyFont="1" applyFill="1" applyBorder="1" applyAlignment="1"/>
    <xf numFmtId="7" fontId="52" fillId="0" borderId="19" xfId="0" applyNumberFormat="1" applyFont="1" applyBorder="1" applyAlignment="1"/>
    <xf numFmtId="7" fontId="67" fillId="0" borderId="88" xfId="4" applyNumberFormat="1" applyFont="1" applyBorder="1"/>
    <xf numFmtId="0" fontId="67" fillId="0" borderId="85" xfId="4" applyFont="1" applyBorder="1"/>
    <xf numFmtId="0" fontId="54" fillId="0" borderId="19" xfId="0" applyFont="1" applyFill="1" applyBorder="1" applyAlignment="1">
      <alignment horizontal="center"/>
    </xf>
    <xf numFmtId="171" fontId="52" fillId="0" borderId="19" xfId="0" applyNumberFormat="1" applyFont="1" applyFill="1" applyBorder="1"/>
    <xf numFmtId="7" fontId="52" fillId="0" borderId="19" xfId="0" applyNumberFormat="1" applyFont="1" applyFill="1" applyBorder="1"/>
    <xf numFmtId="0" fontId="85" fillId="0" borderId="0" xfId="9" applyFont="1" applyAlignment="1">
      <alignment horizontal="centerContinuous" vertical="top"/>
    </xf>
    <xf numFmtId="0" fontId="71" fillId="0" borderId="0" xfId="9" applyFont="1" applyAlignment="1">
      <alignment horizontal="centerContinuous" vertical="top"/>
    </xf>
    <xf numFmtId="14" fontId="73" fillId="0" borderId="0" xfId="9" applyNumberFormat="1" applyFont="1">
      <alignment vertical="top"/>
    </xf>
    <xf numFmtId="0" fontId="69" fillId="0" borderId="0" xfId="9" applyFont="1" applyAlignment="1">
      <alignment horizontal="centerContinuous" vertical="top"/>
    </xf>
    <xf numFmtId="7" fontId="70" fillId="0" borderId="0" xfId="9" applyNumberFormat="1" applyFont="1">
      <alignment vertical="top"/>
    </xf>
    <xf numFmtId="0" fontId="71" fillId="0" borderId="0" xfId="9" applyFont="1" applyAlignment="1">
      <alignment horizontal="left" vertical="top"/>
    </xf>
    <xf numFmtId="7" fontId="71" fillId="0" borderId="0" xfId="9" applyNumberFormat="1" applyFont="1">
      <alignment vertical="top"/>
    </xf>
    <xf numFmtId="0" fontId="70" fillId="0" borderId="0" xfId="9" applyFont="1" applyAlignment="1">
      <alignment horizontal="left"/>
    </xf>
    <xf numFmtId="0" fontId="69" fillId="0" borderId="0" xfId="9" applyFont="1" applyAlignment="1">
      <alignment horizontal="center" vertical="top"/>
    </xf>
    <xf numFmtId="0" fontId="69" fillId="0" borderId="0" xfId="9" applyNumberFormat="1" applyFont="1" applyAlignment="1">
      <alignment horizontal="center" vertical="top"/>
    </xf>
    <xf numFmtId="0" fontId="69" fillId="0" borderId="19" xfId="9" applyNumberFormat="1" applyFont="1" applyFill="1" applyBorder="1" applyAlignment="1">
      <alignment horizontal="center" vertical="top"/>
    </xf>
    <xf numFmtId="175" fontId="69" fillId="0" borderId="0" xfId="9" applyNumberFormat="1" applyFont="1" applyAlignment="1">
      <alignment horizontal="center" vertical="top"/>
    </xf>
    <xf numFmtId="7" fontId="69" fillId="0" borderId="0" xfId="9" applyNumberFormat="1" applyFont="1" applyAlignment="1">
      <alignment horizontal="center" vertical="top"/>
    </xf>
    <xf numFmtId="168" fontId="69" fillId="0" borderId="0" xfId="9" applyNumberFormat="1" applyFont="1" applyBorder="1" applyAlignment="1">
      <alignment horizontal="center" vertical="top"/>
    </xf>
    <xf numFmtId="7" fontId="25" fillId="0" borderId="9" xfId="9" applyNumberFormat="1" applyFont="1" applyBorder="1" applyAlignment="1">
      <alignment vertical="top"/>
    </xf>
    <xf numFmtId="49" fontId="3" fillId="0" borderId="0" xfId="9" applyNumberFormat="1" applyFont="1" applyFill="1" applyBorder="1" applyAlignment="1">
      <alignment horizontal="left"/>
    </xf>
    <xf numFmtId="0" fontId="3" fillId="0" borderId="0" xfId="9" applyFont="1" applyFill="1" applyBorder="1" applyAlignment="1">
      <alignment horizontal="left"/>
    </xf>
    <xf numFmtId="0" fontId="54" fillId="3" borderId="43" xfId="0" applyFont="1" applyFill="1" applyBorder="1"/>
    <xf numFmtId="0" fontId="54" fillId="3" borderId="40" xfId="0" applyFont="1" applyFill="1" applyBorder="1"/>
    <xf numFmtId="0" fontId="54" fillId="3" borderId="41" xfId="0" applyFont="1" applyFill="1" applyBorder="1"/>
    <xf numFmtId="0" fontId="54" fillId="3" borderId="40" xfId="0" applyFont="1" applyFill="1" applyBorder="1" applyAlignment="1">
      <alignment horizontal="center"/>
    </xf>
    <xf numFmtId="0" fontId="54" fillId="3" borderId="41" xfId="0" applyFont="1" applyFill="1" applyBorder="1" applyAlignment="1">
      <alignment horizontal="center"/>
    </xf>
    <xf numFmtId="0" fontId="52" fillId="0" borderId="0" xfId="0" applyFont="1" applyBorder="1" applyAlignment="1">
      <alignment horizontal="right"/>
    </xf>
    <xf numFmtId="0" fontId="52" fillId="3" borderId="0" xfId="0" applyFont="1" applyFill="1" applyBorder="1"/>
    <xf numFmtId="0" fontId="54" fillId="3" borderId="37" xfId="0" applyFont="1" applyFill="1" applyBorder="1" applyAlignment="1">
      <alignment horizontal="centerContinuous"/>
    </xf>
    <xf numFmtId="0" fontId="54" fillId="3" borderId="37" xfId="0" applyFont="1" applyFill="1" applyBorder="1" applyAlignment="1">
      <alignment horizontal="center"/>
    </xf>
    <xf numFmtId="0" fontId="52" fillId="3" borderId="37" xfId="0" applyFont="1" applyFill="1" applyBorder="1" applyAlignment="1">
      <alignment horizontal="centerContinuous"/>
    </xf>
    <xf numFmtId="0" fontId="54" fillId="3" borderId="0" xfId="0" applyFont="1" applyFill="1" applyBorder="1" applyAlignment="1">
      <alignment horizontal="center"/>
    </xf>
    <xf numFmtId="0" fontId="52" fillId="3" borderId="0" xfId="0" applyFont="1" applyFill="1" applyBorder="1" applyAlignment="1">
      <alignment horizontal="center"/>
    </xf>
    <xf numFmtId="0" fontId="66" fillId="0" borderId="0" xfId="0" applyFont="1" applyFill="1" applyBorder="1" applyAlignment="1">
      <alignment horizontal="center"/>
    </xf>
    <xf numFmtId="0" fontId="58" fillId="0" borderId="0" xfId="0" applyFont="1" applyBorder="1" applyAlignment="1">
      <alignment horizontal="center"/>
    </xf>
    <xf numFmtId="171" fontId="55" fillId="0" borderId="0" xfId="0" applyNumberFormat="1" applyFont="1" applyBorder="1" applyAlignment="1">
      <alignment horizontal="center"/>
    </xf>
    <xf numFmtId="14" fontId="54" fillId="0" borderId="0" xfId="0" applyNumberFormat="1" applyFont="1" applyFill="1" applyAlignment="1">
      <alignment horizontal="center"/>
    </xf>
    <xf numFmtId="171" fontId="52" fillId="0" borderId="0" xfId="0" applyNumberFormat="1" applyFont="1" applyFill="1" applyBorder="1"/>
    <xf numFmtId="0" fontId="67" fillId="9" borderId="0" xfId="0" applyFont="1" applyFill="1" applyBorder="1"/>
    <xf numFmtId="171" fontId="87" fillId="9" borderId="0" xfId="0" applyNumberFormat="1" applyFont="1" applyFill="1" applyBorder="1"/>
    <xf numFmtId="0" fontId="59" fillId="9" borderId="0" xfId="0" applyFont="1" applyFill="1" applyBorder="1"/>
    <xf numFmtId="168" fontId="11" fillId="0" borderId="36" xfId="9" applyNumberFormat="1" applyBorder="1" applyAlignment="1">
      <alignment horizontal="center" vertical="top"/>
    </xf>
    <xf numFmtId="168" fontId="3" fillId="0" borderId="0" xfId="0" applyNumberFormat="1" applyFont="1" applyBorder="1" applyAlignment="1">
      <alignment horizontal="center"/>
    </xf>
    <xf numFmtId="7" fontId="88" fillId="0" borderId="0" xfId="7" applyNumberFormat="1" applyFont="1" applyAlignment="1">
      <alignment horizontal="center" vertical="top"/>
    </xf>
    <xf numFmtId="183" fontId="88" fillId="0" borderId="0" xfId="7" applyNumberFormat="1" applyFont="1" applyAlignment="1">
      <alignment horizontal="center" vertical="top"/>
    </xf>
    <xf numFmtId="184" fontId="88" fillId="0" borderId="0" xfId="9" applyNumberFormat="1" applyFont="1" applyAlignment="1">
      <alignment horizontal="center" vertical="top"/>
    </xf>
    <xf numFmtId="184" fontId="11" fillId="0" borderId="0" xfId="9" applyNumberFormat="1" applyFont="1" applyAlignment="1">
      <alignment horizontal="center" vertical="top"/>
    </xf>
    <xf numFmtId="177" fontId="11" fillId="0" borderId="0" xfId="9" applyNumberFormat="1" applyAlignment="1">
      <alignment horizontal="center" vertical="top"/>
    </xf>
    <xf numFmtId="177" fontId="11" fillId="0" borderId="0" xfId="9" applyNumberFormat="1">
      <alignment vertical="top"/>
    </xf>
    <xf numFmtId="7" fontId="11" fillId="0" borderId="4" xfId="9" applyNumberFormat="1" applyFont="1" applyBorder="1" applyAlignment="1">
      <alignment horizontal="center" vertical="top"/>
    </xf>
    <xf numFmtId="0" fontId="47" fillId="0" borderId="19" xfId="9" applyFont="1" applyBorder="1" applyAlignment="1">
      <alignment horizontal="center" wrapText="1"/>
    </xf>
    <xf numFmtId="7" fontId="47" fillId="0" borderId="0" xfId="9" applyNumberFormat="1" applyFont="1">
      <alignment vertical="top"/>
    </xf>
    <xf numFmtId="7" fontId="47" fillId="0" borderId="19" xfId="9" applyNumberFormat="1" applyFont="1" applyBorder="1" applyAlignment="1">
      <alignment horizontal="center" wrapText="1"/>
    </xf>
    <xf numFmtId="0" fontId="89" fillId="0" borderId="0" xfId="8" applyFont="1"/>
    <xf numFmtId="179" fontId="47" fillId="0" borderId="0" xfId="9" applyNumberFormat="1" applyFont="1" applyAlignment="1">
      <alignment horizontal="center" vertical="top"/>
    </xf>
    <xf numFmtId="173" fontId="47" fillId="0" borderId="0" xfId="9" applyNumberFormat="1" applyFont="1" applyAlignment="1">
      <alignment horizontal="center" vertical="top"/>
    </xf>
    <xf numFmtId="172" fontId="47" fillId="0" borderId="0" xfId="9" applyNumberFormat="1" applyFont="1" applyAlignment="1">
      <alignment horizontal="center" vertical="top"/>
    </xf>
    <xf numFmtId="183" fontId="89" fillId="0" borderId="0" xfId="8" applyNumberFormat="1" applyFont="1" applyAlignment="1">
      <alignment horizontal="center"/>
    </xf>
    <xf numFmtId="173" fontId="89" fillId="0" borderId="0" xfId="8" applyNumberFormat="1" applyFont="1" applyAlignment="1">
      <alignment horizontal="center"/>
    </xf>
    <xf numFmtId="172" fontId="89" fillId="0" borderId="0" xfId="8" applyNumberFormat="1" applyFont="1" applyAlignment="1">
      <alignment horizontal="center"/>
    </xf>
    <xf numFmtId="183" fontId="10" fillId="0" borderId="0" xfId="8" applyNumberFormat="1" applyAlignment="1">
      <alignment horizontal="center"/>
    </xf>
    <xf numFmtId="173" fontId="10" fillId="0" borderId="0" xfId="8" applyNumberFormat="1" applyAlignment="1">
      <alignment horizontal="center"/>
    </xf>
    <xf numFmtId="172" fontId="10" fillId="0" borderId="0" xfId="8" applyNumberFormat="1" applyAlignment="1">
      <alignment horizontal="center"/>
    </xf>
    <xf numFmtId="14" fontId="10" fillId="0" borderId="0" xfId="8" applyNumberFormat="1" applyAlignment="1">
      <alignment horizontal="center"/>
    </xf>
    <xf numFmtId="168" fontId="52" fillId="0" borderId="19" xfId="0" applyNumberFormat="1" applyFont="1" applyBorder="1" applyAlignment="1"/>
    <xf numFmtId="0" fontId="55" fillId="0" borderId="40" xfId="0" applyFont="1" applyFill="1" applyBorder="1" applyAlignment="1">
      <alignment horizontal="center"/>
    </xf>
    <xf numFmtId="0" fontId="69" fillId="0" borderId="7" xfId="9" applyFont="1" applyBorder="1">
      <alignment vertical="top"/>
    </xf>
    <xf numFmtId="0" fontId="69" fillId="5" borderId="10" xfId="9" applyFont="1" applyFill="1" applyBorder="1" applyAlignment="1">
      <alignment horizontal="right" vertical="top"/>
    </xf>
    <xf numFmtId="0" fontId="69" fillId="5" borderId="14" xfId="9" applyFont="1" applyFill="1" applyBorder="1" applyAlignment="1">
      <alignment horizontal="right" vertical="top"/>
    </xf>
    <xf numFmtId="0" fontId="54" fillId="5" borderId="52" xfId="9" applyFont="1" applyFill="1" applyBorder="1" applyAlignment="1">
      <alignment horizontal="right" vertical="top"/>
    </xf>
    <xf numFmtId="168" fontId="69" fillId="0" borderId="31" xfId="9" applyNumberFormat="1" applyFont="1" applyFill="1" applyBorder="1">
      <alignment vertical="top"/>
    </xf>
    <xf numFmtId="168" fontId="69" fillId="0" borderId="23" xfId="9" applyNumberFormat="1" applyFont="1" applyFill="1" applyBorder="1">
      <alignment vertical="top"/>
    </xf>
    <xf numFmtId="168" fontId="54" fillId="0" borderId="52" xfId="9" applyNumberFormat="1" applyFont="1" applyFill="1" applyBorder="1">
      <alignment vertical="top"/>
    </xf>
    <xf numFmtId="168" fontId="54" fillId="7" borderId="52" xfId="9" applyNumberFormat="1" applyFont="1" applyFill="1" applyBorder="1">
      <alignment vertical="top"/>
    </xf>
    <xf numFmtId="0" fontId="11" fillId="0" borderId="13" xfId="9" applyBorder="1">
      <alignment vertical="top"/>
    </xf>
    <xf numFmtId="0" fontId="11" fillId="0" borderId="11" xfId="9" applyBorder="1">
      <alignment vertical="top"/>
    </xf>
    <xf numFmtId="172" fontId="3" fillId="0" borderId="0" xfId="9" applyNumberFormat="1" applyFont="1" applyBorder="1" applyAlignment="1">
      <alignment horizontal="center" vertical="top"/>
    </xf>
    <xf numFmtId="168" fontId="90" fillId="0" borderId="0" xfId="7" applyNumberFormat="1" applyFont="1" applyAlignment="1">
      <alignment horizontal="center" vertical="top"/>
    </xf>
    <xf numFmtId="183" fontId="11" fillId="0" borderId="0" xfId="9" applyNumberFormat="1" applyAlignment="1">
      <alignment horizontal="center" vertical="top"/>
    </xf>
    <xf numFmtId="0" fontId="68" fillId="0" borderId="0" xfId="0" applyFont="1"/>
    <xf numFmtId="0" fontId="53" fillId="0" borderId="0" xfId="0" applyFont="1" applyAlignment="1">
      <alignment horizontal="center"/>
    </xf>
    <xf numFmtId="0" fontId="91" fillId="0" borderId="0" xfId="0" applyFont="1" applyBorder="1" applyAlignment="1">
      <alignment horizontal="right"/>
    </xf>
    <xf numFmtId="0" fontId="52" fillId="0" borderId="0" xfId="0" applyFont="1" applyBorder="1" applyAlignment="1">
      <alignment horizontal="center" wrapText="1"/>
    </xf>
    <xf numFmtId="172" fontId="67" fillId="0" borderId="0" xfId="4" quotePrefix="1" applyNumberFormat="1" applyFont="1" applyFill="1" applyBorder="1" applyAlignment="1">
      <alignment horizontal="center"/>
    </xf>
    <xf numFmtId="0" fontId="77" fillId="0" borderId="0" xfId="6" applyFont="1" applyAlignment="1">
      <alignment horizontal="center" vertical="top"/>
    </xf>
    <xf numFmtId="174" fontId="77" fillId="0" borderId="0" xfId="6" applyNumberFormat="1" applyFont="1" applyAlignment="1">
      <alignment horizontal="center" vertical="top"/>
    </xf>
    <xf numFmtId="0" fontId="3" fillId="0" borderId="19" xfId="9" applyFont="1" applyBorder="1">
      <alignment vertical="top"/>
    </xf>
    <xf numFmtId="49" fontId="3" fillId="0" borderId="0" xfId="9" applyNumberFormat="1" applyFont="1" applyBorder="1">
      <alignment vertical="top"/>
    </xf>
    <xf numFmtId="0" fontId="44" fillId="0" borderId="0" xfId="9" applyFont="1" applyFill="1" applyBorder="1">
      <alignment vertical="top"/>
    </xf>
    <xf numFmtId="7" fontId="4" fillId="0" borderId="37" xfId="9" applyNumberFormat="1" applyFont="1" applyBorder="1" applyAlignment="1">
      <alignment horizontal="center" vertical="top"/>
    </xf>
    <xf numFmtId="0" fontId="92" fillId="0" borderId="0" xfId="6" applyFont="1">
      <alignment vertical="top"/>
    </xf>
    <xf numFmtId="183" fontId="11" fillId="0" borderId="0" xfId="9" applyNumberFormat="1" applyFont="1" applyAlignment="1">
      <alignment horizontal="center" vertical="top"/>
    </xf>
    <xf numFmtId="171" fontId="94" fillId="0" borderId="19" xfId="0" applyNumberFormat="1" applyFont="1" applyBorder="1"/>
    <xf numFmtId="171" fontId="94" fillId="0" borderId="0" xfId="0" applyNumberFormat="1" applyFont="1" applyBorder="1"/>
    <xf numFmtId="171" fontId="94" fillId="0" borderId="0" xfId="0" applyNumberFormat="1" applyFont="1" applyBorder="1" applyAlignment="1"/>
    <xf numFmtId="171" fontId="94" fillId="0" borderId="0" xfId="0" applyNumberFormat="1" applyFont="1" applyFill="1" applyBorder="1" applyAlignment="1"/>
    <xf numFmtId="171" fontId="94" fillId="0" borderId="19" xfId="0" applyNumberFormat="1" applyFont="1" applyFill="1" applyBorder="1" applyAlignment="1"/>
    <xf numFmtId="171" fontId="94" fillId="0" borderId="37" xfId="0" applyNumberFormat="1" applyFont="1" applyFill="1" applyBorder="1" applyAlignment="1"/>
    <xf numFmtId="166" fontId="54" fillId="0" borderId="51" xfId="11" applyNumberFormat="1" applyFont="1" applyBorder="1"/>
    <xf numFmtId="37" fontId="58" fillId="0" borderId="47" xfId="0" applyNumberFormat="1" applyFont="1" applyBorder="1" applyAlignment="1">
      <alignment horizontal="center"/>
    </xf>
    <xf numFmtId="0" fontId="54" fillId="10" borderId="0" xfId="0" applyFont="1" applyFill="1" applyAlignment="1">
      <alignment horizontal="left"/>
    </xf>
    <xf numFmtId="0" fontId="52" fillId="0" borderId="89" xfId="4" applyFont="1" applyBorder="1"/>
    <xf numFmtId="0" fontId="80" fillId="0" borderId="100" xfId="4" applyBorder="1"/>
    <xf numFmtId="0" fontId="80" fillId="0" borderId="101" xfId="4" applyBorder="1"/>
    <xf numFmtId="182" fontId="80" fillId="0" borderId="101" xfId="4" applyNumberFormat="1" applyBorder="1"/>
    <xf numFmtId="182" fontId="80" fillId="0" borderId="101" xfId="4" applyNumberFormat="1" applyBorder="1" applyAlignment="1">
      <alignment horizontal="center"/>
    </xf>
    <xf numFmtId="182" fontId="80" fillId="0" borderId="102" xfId="4" applyNumberFormat="1" applyBorder="1" applyAlignment="1">
      <alignment horizontal="center"/>
    </xf>
    <xf numFmtId="0" fontId="52" fillId="0" borderId="77" xfId="4" applyFont="1" applyBorder="1"/>
    <xf numFmtId="0" fontId="5" fillId="0" borderId="0" xfId="9" applyFont="1" applyBorder="1" applyAlignment="1">
      <alignment horizontal="center" vertical="top"/>
    </xf>
    <xf numFmtId="168" fontId="11" fillId="0" borderId="19" xfId="9" applyNumberFormat="1" applyBorder="1">
      <alignment vertical="top"/>
    </xf>
    <xf numFmtId="0" fontId="4" fillId="0" borderId="0" xfId="9" applyNumberFormat="1" applyFont="1" applyFill="1" applyBorder="1" applyAlignment="1">
      <alignment horizontal="left" vertical="top"/>
    </xf>
    <xf numFmtId="0" fontId="3" fillId="0" borderId="0" xfId="9" applyNumberFormat="1" applyFont="1" applyFill="1" applyBorder="1" applyAlignment="1">
      <alignment horizontal="left" vertical="top" indent="2"/>
    </xf>
    <xf numFmtId="0" fontId="33" fillId="0" borderId="5" xfId="9" applyFont="1" applyBorder="1" applyAlignment="1">
      <alignment horizontal="center" vertical="top"/>
    </xf>
    <xf numFmtId="0" fontId="33" fillId="0" borderId="9" xfId="9" applyFont="1" applyBorder="1" applyAlignment="1">
      <alignment horizontal="center" vertical="top"/>
    </xf>
    <xf numFmtId="168" fontId="25" fillId="0" borderId="9" xfId="9" applyNumberFormat="1" applyFont="1" applyBorder="1" applyAlignment="1">
      <alignment horizontal="right" vertical="top"/>
    </xf>
    <xf numFmtId="0" fontId="5" fillId="0" borderId="19" xfId="9" applyFont="1" applyBorder="1" applyAlignment="1">
      <alignment horizontal="center" vertical="top"/>
    </xf>
    <xf numFmtId="0" fontId="34" fillId="0" borderId="5" xfId="9" applyNumberFormat="1" applyFont="1" applyFill="1" applyBorder="1" applyAlignment="1">
      <alignment horizontal="center" vertical="top"/>
    </xf>
    <xf numFmtId="0" fontId="5" fillId="0" borderId="5" xfId="9" applyFont="1" applyBorder="1" applyAlignment="1">
      <alignment horizontal="left" vertical="top"/>
    </xf>
    <xf numFmtId="7" fontId="5" fillId="0" borderId="5" xfId="9" applyNumberFormat="1" applyFont="1" applyBorder="1">
      <alignment vertical="top"/>
    </xf>
    <xf numFmtId="0" fontId="5" fillId="0" borderId="0" xfId="9" applyFont="1" applyBorder="1">
      <alignment vertical="top"/>
    </xf>
    <xf numFmtId="0" fontId="52" fillId="0" borderId="8" xfId="9" applyFont="1" applyBorder="1" applyAlignment="1">
      <alignment horizontal="right" vertical="top"/>
    </xf>
    <xf numFmtId="0" fontId="52" fillId="0" borderId="4" xfId="9" applyFont="1" applyBorder="1" applyAlignment="1">
      <alignment horizontal="left" vertical="top"/>
    </xf>
    <xf numFmtId="168" fontId="52" fillId="0" borderId="0" xfId="0" applyNumberFormat="1" applyFont="1"/>
    <xf numFmtId="0" fontId="38" fillId="0" borderId="0" xfId="9" applyFont="1" applyAlignment="1">
      <alignment horizontal="left"/>
    </xf>
    <xf numFmtId="0" fontId="23" fillId="0" borderId="0" xfId="9" applyFont="1" applyAlignment="1">
      <alignment horizontal="left" vertical="top"/>
    </xf>
    <xf numFmtId="174" fontId="25" fillId="0" borderId="28" xfId="9" applyNumberFormat="1" applyFont="1" applyBorder="1" applyAlignment="1">
      <alignment horizontal="left" vertical="top"/>
    </xf>
    <xf numFmtId="174" fontId="25" fillId="0" borderId="99" xfId="9" applyNumberFormat="1" applyFont="1" applyBorder="1" applyAlignment="1">
      <alignment horizontal="center" vertical="top"/>
    </xf>
    <xf numFmtId="0" fontId="54" fillId="0" borderId="4" xfId="9" applyFont="1" applyBorder="1" applyAlignment="1">
      <alignment horizontal="left" vertical="top"/>
    </xf>
    <xf numFmtId="0" fontId="52" fillId="0" borderId="4" xfId="9" applyFont="1" applyBorder="1" applyAlignment="1">
      <alignment vertical="top"/>
    </xf>
    <xf numFmtId="0" fontId="23" fillId="0" borderId="0" xfId="9" applyFont="1" applyAlignment="1">
      <alignment vertical="top"/>
    </xf>
    <xf numFmtId="7" fontId="38" fillId="0" borderId="0" xfId="9" applyNumberFormat="1" applyFont="1">
      <alignment vertical="top"/>
    </xf>
    <xf numFmtId="0" fontId="95" fillId="0" borderId="0" xfId="9" applyFont="1" applyAlignment="1">
      <alignment horizontal="left"/>
    </xf>
    <xf numFmtId="0" fontId="96" fillId="0" borderId="0" xfId="9" applyFont="1" applyAlignment="1">
      <alignment horizontal="left" vertical="top"/>
    </xf>
    <xf numFmtId="7" fontId="96" fillId="0" borderId="0" xfId="9" applyNumberFormat="1" applyFont="1">
      <alignment vertical="top"/>
    </xf>
    <xf numFmtId="0" fontId="96" fillId="0" borderId="0" xfId="9" applyFont="1" applyAlignment="1">
      <alignment vertical="top"/>
    </xf>
    <xf numFmtId="0" fontId="69" fillId="0" borderId="17" xfId="9" applyFont="1" applyBorder="1">
      <alignment vertical="top"/>
    </xf>
    <xf numFmtId="0" fontId="54" fillId="0" borderId="56" xfId="9" applyFont="1" applyBorder="1">
      <alignment vertical="top"/>
    </xf>
    <xf numFmtId="0" fontId="52" fillId="0" borderId="21" xfId="9" applyFont="1" applyBorder="1" applyAlignment="1">
      <alignment horizontal="left" vertical="top"/>
    </xf>
    <xf numFmtId="0" fontId="52" fillId="0" borderId="4" xfId="9" applyFont="1" applyBorder="1" applyAlignment="1">
      <alignment horizontal="right" vertical="top"/>
    </xf>
    <xf numFmtId="168" fontId="54" fillId="0" borderId="18" xfId="9" applyNumberFormat="1" applyFont="1" applyBorder="1">
      <alignment vertical="top"/>
    </xf>
    <xf numFmtId="0" fontId="23" fillId="0" borderId="0" xfId="9" applyFont="1" applyFill="1">
      <alignment vertical="top"/>
    </xf>
    <xf numFmtId="7" fontId="4" fillId="0" borderId="37" xfId="9" applyNumberFormat="1" applyFont="1" applyBorder="1" applyAlignment="1">
      <alignment horizontal="center" vertical="top"/>
    </xf>
    <xf numFmtId="0" fontId="21" fillId="0" borderId="0" xfId="9" applyFont="1" applyAlignment="1">
      <alignment vertical="top"/>
    </xf>
    <xf numFmtId="7" fontId="95" fillId="0" borderId="0" xfId="9" applyNumberFormat="1" applyFont="1">
      <alignment vertical="top"/>
    </xf>
    <xf numFmtId="7" fontId="4" fillId="0" borderId="0" xfId="9" applyNumberFormat="1" applyFont="1" applyAlignment="1">
      <alignment horizontal="right" vertical="top"/>
    </xf>
    <xf numFmtId="7" fontId="11" fillId="0" borderId="36" xfId="9" applyNumberFormat="1" applyBorder="1">
      <alignment vertical="top"/>
    </xf>
    <xf numFmtId="7" fontId="11" fillId="0" borderId="37" xfId="9" applyNumberFormat="1" applyBorder="1">
      <alignment vertical="top"/>
    </xf>
    <xf numFmtId="7" fontId="11" fillId="0" borderId="38" xfId="9" applyNumberFormat="1" applyBorder="1">
      <alignment vertical="top"/>
    </xf>
    <xf numFmtId="0" fontId="51" fillId="0" borderId="0" xfId="12" applyFont="1"/>
    <xf numFmtId="0" fontId="61" fillId="0" borderId="0" xfId="12" applyFont="1"/>
    <xf numFmtId="0" fontId="64" fillId="0" borderId="0" xfId="12" quotePrefix="1" applyFont="1"/>
    <xf numFmtId="0" fontId="54" fillId="0" borderId="0" xfId="12" applyFont="1"/>
    <xf numFmtId="0" fontId="87" fillId="0" borderId="0" xfId="12" applyFont="1"/>
    <xf numFmtId="0" fontId="51" fillId="9" borderId="103" xfId="12" applyNumberFormat="1" applyFont="1" applyFill="1" applyBorder="1"/>
    <xf numFmtId="0" fontId="51" fillId="9" borderId="34" xfId="12" applyNumberFormat="1" applyFont="1" applyFill="1" applyBorder="1"/>
    <xf numFmtId="0" fontId="51" fillId="3" borderId="25" xfId="12" applyFont="1" applyFill="1" applyBorder="1" applyAlignment="1">
      <alignment horizontal="centerContinuous" vertical="center" wrapText="1"/>
    </xf>
    <xf numFmtId="0" fontId="61" fillId="3" borderId="26" xfId="12" applyFont="1" applyFill="1" applyBorder="1" applyAlignment="1">
      <alignment horizontal="centerContinuous" vertical="center" wrapText="1"/>
    </xf>
    <xf numFmtId="0" fontId="61" fillId="3" borderId="29" xfId="12" applyFont="1" applyFill="1" applyBorder="1" applyAlignment="1">
      <alignment horizontal="centerContinuous" vertical="center" wrapText="1"/>
    </xf>
    <xf numFmtId="0" fontId="61" fillId="0" borderId="0" xfId="12" applyFont="1" applyBorder="1"/>
    <xf numFmtId="0" fontId="61" fillId="0" borderId="8" xfId="12" applyFont="1" applyBorder="1"/>
    <xf numFmtId="0" fontId="51" fillId="4" borderId="61" xfId="12" applyFont="1" applyFill="1" applyBorder="1"/>
    <xf numFmtId="0" fontId="61" fillId="4" borderId="37" xfId="12" applyFont="1" applyFill="1" applyBorder="1" applyAlignment="1">
      <alignment horizontal="center"/>
    </xf>
    <xf numFmtId="0" fontId="61" fillId="4" borderId="55" xfId="12" applyFont="1" applyFill="1" applyBorder="1" applyAlignment="1">
      <alignment horizontal="center"/>
    </xf>
    <xf numFmtId="0" fontId="61" fillId="11" borderId="0" xfId="12" applyFont="1" applyFill="1" applyBorder="1" applyAlignment="1">
      <alignment horizontal="right"/>
    </xf>
    <xf numFmtId="0" fontId="51" fillId="11" borderId="8" xfId="12" applyFont="1" applyFill="1" applyBorder="1"/>
    <xf numFmtId="0" fontId="61" fillId="11" borderId="0" xfId="12" applyFont="1" applyFill="1" applyBorder="1" applyAlignment="1">
      <alignment horizontal="center"/>
    </xf>
    <xf numFmtId="0" fontId="61" fillId="11" borderId="2" xfId="12" applyFont="1" applyFill="1" applyBorder="1" applyAlignment="1">
      <alignment horizontal="center"/>
    </xf>
    <xf numFmtId="0" fontId="61" fillId="11" borderId="0" xfId="12" applyFont="1" applyFill="1" applyAlignment="1">
      <alignment horizontal="center"/>
    </xf>
    <xf numFmtId="0" fontId="52" fillId="11" borderId="0" xfId="12" applyFont="1" applyFill="1" applyAlignment="1">
      <alignment horizontal="center"/>
    </xf>
    <xf numFmtId="16" fontId="58" fillId="11" borderId="0" xfId="12" quotePrefix="1" applyNumberFormat="1" applyFont="1" applyFill="1" applyAlignment="1">
      <alignment horizontal="center"/>
    </xf>
    <xf numFmtId="0" fontId="51" fillId="0" borderId="8" xfId="12" applyNumberFormat="1" applyFont="1" applyBorder="1"/>
    <xf numFmtId="0" fontId="51" fillId="0" borderId="0" xfId="13" applyNumberFormat="1" applyFont="1" applyBorder="1"/>
    <xf numFmtId="0" fontId="51" fillId="0" borderId="0" xfId="12" applyNumberFormat="1" applyFont="1" applyBorder="1" applyAlignment="1"/>
    <xf numFmtId="0" fontId="61" fillId="2" borderId="8" xfId="12" applyFont="1" applyFill="1" applyBorder="1"/>
    <xf numFmtId="168" fontId="97" fillId="0" borderId="0" xfId="13" applyNumberFormat="1" applyFont="1" applyFill="1" applyBorder="1" applyAlignment="1"/>
    <xf numFmtId="9" fontId="61" fillId="0" borderId="0" xfId="14" applyFont="1"/>
    <xf numFmtId="0" fontId="51" fillId="0" borderId="8" xfId="13" applyNumberFormat="1" applyFont="1" applyBorder="1"/>
    <xf numFmtId="0" fontId="51" fillId="0" borderId="0" xfId="13" applyNumberFormat="1" applyFont="1" applyBorder="1" applyAlignment="1"/>
    <xf numFmtId="168" fontId="3" fillId="0" borderId="0" xfId="13" applyNumberFormat="1" applyFont="1" applyFill="1" applyBorder="1" applyAlignment="1"/>
    <xf numFmtId="0" fontId="51" fillId="0" borderId="0" xfId="13" applyNumberFormat="1" applyFont="1" applyBorder="1" applyAlignment="1">
      <alignment horizontal="left" indent="2"/>
    </xf>
    <xf numFmtId="168" fontId="97" fillId="0" borderId="0" xfId="12" applyNumberFormat="1" applyFont="1" applyFill="1" applyBorder="1" applyAlignment="1"/>
    <xf numFmtId="9" fontId="3" fillId="0" borderId="0" xfId="14" applyFont="1" applyBorder="1" applyAlignment="1"/>
    <xf numFmtId="168" fontId="3" fillId="0" borderId="0" xfId="12" applyNumberFormat="1" applyFont="1" applyBorder="1" applyAlignment="1"/>
    <xf numFmtId="169" fontId="3" fillId="0" borderId="0" xfId="14" applyNumberFormat="1" applyFont="1" applyBorder="1" applyAlignment="1"/>
    <xf numFmtId="9" fontId="97" fillId="0" borderId="0" xfId="14" applyFont="1" applyBorder="1" applyAlignment="1"/>
    <xf numFmtId="168" fontId="97" fillId="0" borderId="0" xfId="12" applyNumberFormat="1" applyFont="1" applyBorder="1" applyAlignment="1"/>
    <xf numFmtId="0" fontId="61" fillId="0" borderId="0" xfId="13" applyNumberFormat="1" applyFont="1" applyBorder="1"/>
    <xf numFmtId="168" fontId="97" fillId="0" borderId="0" xfId="13" applyNumberFormat="1" applyFont="1" applyBorder="1" applyAlignment="1"/>
    <xf numFmtId="0" fontId="51" fillId="0" borderId="0" xfId="12" applyNumberFormat="1" applyFont="1" applyBorder="1"/>
    <xf numFmtId="167" fontId="61" fillId="0" borderId="8" xfId="13" applyNumberFormat="1" applyFont="1" applyBorder="1"/>
    <xf numFmtId="168" fontId="97" fillId="12" borderId="0" xfId="13" applyNumberFormat="1" applyFont="1" applyFill="1" applyBorder="1" applyAlignment="1"/>
    <xf numFmtId="7" fontId="97" fillId="0" borderId="0" xfId="13" applyNumberFormat="1" applyFont="1" applyFill="1" applyBorder="1" applyAlignment="1"/>
    <xf numFmtId="172" fontId="3" fillId="0" borderId="0" xfId="12" applyNumberFormat="1" applyFont="1" applyFill="1" applyBorder="1" applyAlignment="1"/>
    <xf numFmtId="172" fontId="3" fillId="0" borderId="0" xfId="12" applyNumberFormat="1" applyFont="1" applyBorder="1" applyAlignment="1"/>
    <xf numFmtId="173" fontId="3" fillId="0" borderId="0" xfId="12" applyNumberFormat="1" applyFont="1" applyBorder="1" applyAlignment="1"/>
    <xf numFmtId="0" fontId="51" fillId="4" borderId="61" xfId="12" applyNumberFormat="1" applyFont="1" applyFill="1" applyBorder="1"/>
    <xf numFmtId="0" fontId="51" fillId="4" borderId="37" xfId="13" applyNumberFormat="1" applyFont="1" applyFill="1" applyBorder="1"/>
    <xf numFmtId="0" fontId="51" fillId="4" borderId="37" xfId="13" applyNumberFormat="1" applyFont="1" applyFill="1" applyBorder="1" applyAlignment="1"/>
    <xf numFmtId="173" fontId="3" fillId="2" borderId="61" xfId="13" applyNumberFormat="1" applyFont="1" applyFill="1" applyBorder="1" applyAlignment="1"/>
    <xf numFmtId="173" fontId="3" fillId="4" borderId="37" xfId="13" applyNumberFormat="1" applyFont="1" applyFill="1" applyBorder="1" applyAlignment="1"/>
    <xf numFmtId="173" fontId="3" fillId="0" borderId="0" xfId="13" applyNumberFormat="1" applyFont="1" applyBorder="1" applyAlignment="1"/>
    <xf numFmtId="0" fontId="51" fillId="13" borderId="61" xfId="12" applyNumberFormat="1" applyFont="1" applyFill="1" applyBorder="1"/>
    <xf numFmtId="0" fontId="51" fillId="13" borderId="37" xfId="13" applyNumberFormat="1" applyFont="1" applyFill="1" applyBorder="1"/>
    <xf numFmtId="0" fontId="51" fillId="13" borderId="37" xfId="13" applyNumberFormat="1" applyFont="1" applyFill="1" applyBorder="1" applyAlignment="1"/>
    <xf numFmtId="173" fontId="21" fillId="2" borderId="61" xfId="13" applyNumberFormat="1" applyFont="1" applyFill="1" applyBorder="1" applyAlignment="1"/>
    <xf numFmtId="173" fontId="21" fillId="13" borderId="37" xfId="13" applyNumberFormat="1" applyFont="1" applyFill="1" applyBorder="1" applyAlignment="1"/>
    <xf numFmtId="173" fontId="3" fillId="0" borderId="0" xfId="12" applyNumberFormat="1" applyFont="1" applyBorder="1"/>
    <xf numFmtId="170" fontId="51" fillId="0" borderId="8" xfId="13" applyNumberFormat="1" applyFont="1" applyBorder="1"/>
    <xf numFmtId="170" fontId="51" fillId="0" borderId="0" xfId="12" applyNumberFormat="1" applyFont="1" applyBorder="1"/>
    <xf numFmtId="170" fontId="51" fillId="0" borderId="0" xfId="13" applyNumberFormat="1" applyFont="1" applyBorder="1" applyAlignment="1"/>
    <xf numFmtId="170" fontId="90" fillId="0" borderId="8" xfId="12" applyNumberFormat="1" applyFont="1" applyBorder="1"/>
    <xf numFmtId="170" fontId="4" fillId="0" borderId="0" xfId="12" applyNumberFormat="1" applyFont="1" applyBorder="1"/>
    <xf numFmtId="170" fontId="4" fillId="0" borderId="0" xfId="13" applyNumberFormat="1" applyFont="1" applyBorder="1" applyAlignment="1"/>
    <xf numFmtId="170" fontId="90" fillId="0" borderId="8" xfId="13" applyNumberFormat="1" applyFont="1" applyBorder="1"/>
    <xf numFmtId="172" fontId="97" fillId="0" borderId="0" xfId="13" applyNumberFormat="1" applyFont="1" applyBorder="1" applyAlignment="1"/>
    <xf numFmtId="170" fontId="90" fillId="0" borderId="7" xfId="13" applyNumberFormat="1" applyFont="1" applyBorder="1"/>
    <xf numFmtId="170" fontId="4" fillId="0" borderId="14" xfId="12" applyNumberFormat="1" applyFont="1" applyBorder="1"/>
    <xf numFmtId="170" fontId="4" fillId="0" borderId="14" xfId="13" applyNumberFormat="1" applyFont="1" applyBorder="1" applyAlignment="1"/>
    <xf numFmtId="0" fontId="61" fillId="2" borderId="7" xfId="12" applyFont="1" applyFill="1" applyBorder="1"/>
    <xf numFmtId="173" fontId="3" fillId="0" borderId="14" xfId="13" applyNumberFormat="1" applyFont="1" applyBorder="1" applyAlignment="1"/>
    <xf numFmtId="0" fontId="61" fillId="0" borderId="14" xfId="12" applyFont="1" applyBorder="1"/>
    <xf numFmtId="170" fontId="51" fillId="0" borderId="0" xfId="13" applyNumberFormat="1" applyFont="1"/>
    <xf numFmtId="170" fontId="51" fillId="0" borderId="0" xfId="12" applyNumberFormat="1" applyFont="1"/>
    <xf numFmtId="170" fontId="51" fillId="0" borderId="0" xfId="13" applyNumberFormat="1" applyFont="1" applyAlignment="1"/>
    <xf numFmtId="173" fontId="3" fillId="0" borderId="0" xfId="13" applyNumberFormat="1" applyFont="1" applyAlignment="1"/>
    <xf numFmtId="173" fontId="3" fillId="0" borderId="0" xfId="12" applyNumberFormat="1" applyFont="1"/>
    <xf numFmtId="0" fontId="3" fillId="0" borderId="0" xfId="12"/>
    <xf numFmtId="186" fontId="3" fillId="0" borderId="0" xfId="12" applyNumberFormat="1" applyFont="1"/>
    <xf numFmtId="193" fontId="118" fillId="12" borderId="0" xfId="13" applyNumberFormat="1" applyFont="1" applyFill="1" applyBorder="1" applyAlignment="1"/>
    <xf numFmtId="0" fontId="52" fillId="47" borderId="40" xfId="0" applyFont="1" applyFill="1" applyBorder="1" applyAlignment="1">
      <alignment horizontal="center"/>
    </xf>
    <xf numFmtId="7" fontId="4" fillId="0" borderId="37" xfId="9" applyNumberFormat="1" applyFont="1" applyBorder="1" applyAlignment="1">
      <alignment horizontal="center" vertical="top"/>
    </xf>
    <xf numFmtId="168" fontId="25" fillId="0" borderId="0" xfId="9" applyNumberFormat="1" applyFont="1" applyFill="1" applyAlignment="1">
      <alignment vertical="top"/>
    </xf>
    <xf numFmtId="183" fontId="3" fillId="0" borderId="0" xfId="9" applyNumberFormat="1" applyFont="1" applyFill="1" applyBorder="1" applyAlignment="1">
      <alignment horizontal="center" vertical="top"/>
    </xf>
    <xf numFmtId="7" fontId="3" fillId="0" borderId="0" xfId="9" applyNumberFormat="1" applyFont="1" applyFill="1" applyBorder="1">
      <alignment vertical="top"/>
    </xf>
    <xf numFmtId="7" fontId="4" fillId="0" borderId="0" xfId="9" applyNumberFormat="1" applyFont="1" applyFill="1" applyBorder="1" applyAlignment="1">
      <alignment horizontal="right" vertical="top"/>
    </xf>
    <xf numFmtId="7" fontId="3" fillId="0" borderId="0" xfId="9" applyNumberFormat="1" applyFont="1" applyFill="1" applyBorder="1" applyAlignment="1">
      <alignment horizontal="center" vertical="top"/>
    </xf>
    <xf numFmtId="168" fontId="3" fillId="0" borderId="0" xfId="9" applyNumberFormat="1" applyFont="1" applyFill="1" applyBorder="1" applyAlignment="1">
      <alignment horizontal="center" vertical="top"/>
    </xf>
    <xf numFmtId="168" fontId="3" fillId="0" borderId="0" xfId="0" applyNumberFormat="1" applyFont="1" applyFill="1" applyBorder="1" applyAlignment="1">
      <alignment horizontal="center"/>
    </xf>
    <xf numFmtId="14" fontId="3" fillId="0" borderId="0" xfId="9" applyNumberFormat="1" applyFont="1" applyFill="1" applyBorder="1" applyAlignment="1">
      <alignment horizontal="center" vertical="top"/>
    </xf>
    <xf numFmtId="179" fontId="3" fillId="0" borderId="0" xfId="9" applyNumberFormat="1" applyFont="1" applyFill="1" applyBorder="1" applyAlignment="1">
      <alignment horizontal="center" vertical="top"/>
    </xf>
    <xf numFmtId="173" fontId="3" fillId="0" borderId="0" xfId="9" applyNumberFormat="1" applyFont="1" applyFill="1" applyBorder="1" applyAlignment="1">
      <alignment horizontal="center" vertical="top"/>
    </xf>
    <xf numFmtId="172" fontId="3" fillId="0" borderId="0" xfId="9" applyNumberFormat="1" applyFont="1" applyFill="1" applyBorder="1" applyAlignment="1">
      <alignment horizontal="center" vertical="top"/>
    </xf>
    <xf numFmtId="7" fontId="4" fillId="0" borderId="0" xfId="9" applyNumberFormat="1" applyFont="1" applyFill="1" applyBorder="1" applyAlignment="1">
      <alignment horizontal="left" vertical="top"/>
    </xf>
    <xf numFmtId="7" fontId="3" fillId="0" borderId="4" xfId="9" applyNumberFormat="1" applyFont="1" applyFill="1" applyBorder="1">
      <alignment vertical="top"/>
    </xf>
    <xf numFmtId="180" fontId="3" fillId="0" borderId="0" xfId="9" applyNumberFormat="1" applyFont="1" applyFill="1" applyBorder="1" applyAlignment="1">
      <alignment horizontal="center" vertical="top"/>
    </xf>
    <xf numFmtId="168" fontId="3" fillId="0" borderId="4" xfId="9" applyNumberFormat="1" applyFont="1" applyFill="1" applyBorder="1" applyAlignment="1">
      <alignment horizontal="center" vertical="top"/>
    </xf>
    <xf numFmtId="7" fontId="3" fillId="0" borderId="21" xfId="9" applyNumberFormat="1" applyFont="1" applyFill="1" applyBorder="1" applyAlignment="1">
      <alignment horizontal="center" vertical="top"/>
    </xf>
    <xf numFmtId="183" fontId="47" fillId="0" borderId="0" xfId="8" applyNumberFormat="1" applyFont="1" applyFill="1" applyBorder="1" applyAlignment="1">
      <alignment horizontal="center"/>
    </xf>
    <xf numFmtId="0" fontId="47" fillId="0" borderId="0" xfId="8" applyFont="1" applyFill="1" applyBorder="1"/>
    <xf numFmtId="173" fontId="47" fillId="0" borderId="0" xfId="8" applyNumberFormat="1" applyFont="1" applyFill="1" applyBorder="1" applyAlignment="1">
      <alignment horizontal="center"/>
    </xf>
    <xf numFmtId="172" fontId="47" fillId="0" borderId="0" xfId="8" applyNumberFormat="1" applyFont="1" applyFill="1" applyBorder="1" applyAlignment="1">
      <alignment horizontal="center"/>
    </xf>
    <xf numFmtId="183" fontId="3" fillId="0" borderId="0" xfId="8" applyNumberFormat="1" applyFont="1" applyFill="1" applyBorder="1" applyAlignment="1">
      <alignment horizontal="center"/>
    </xf>
    <xf numFmtId="0" fontId="3" fillId="0" borderId="0" xfId="8" applyFont="1" applyFill="1" applyBorder="1"/>
    <xf numFmtId="173" fontId="3" fillId="0" borderId="0" xfId="8" applyNumberFormat="1" applyFont="1" applyFill="1" applyBorder="1" applyAlignment="1">
      <alignment horizontal="center"/>
    </xf>
    <xf numFmtId="14" fontId="3" fillId="0" borderId="0" xfId="8" applyNumberFormat="1" applyFont="1" applyFill="1" applyBorder="1" applyAlignment="1">
      <alignment horizontal="center"/>
    </xf>
    <xf numFmtId="0" fontId="53" fillId="0" borderId="40" xfId="0" applyFont="1" applyFill="1" applyBorder="1" applyAlignment="1">
      <alignment horizontal="center"/>
    </xf>
    <xf numFmtId="0" fontId="53" fillId="0" borderId="0" xfId="0" applyFont="1" applyFill="1" applyBorder="1" applyAlignment="1">
      <alignment horizontal="center"/>
    </xf>
    <xf numFmtId="0" fontId="56" fillId="0" borderId="0" xfId="0" applyFont="1" applyFill="1"/>
    <xf numFmtId="37" fontId="55" fillId="0" borderId="34" xfId="0" applyNumberFormat="1" applyFont="1" applyBorder="1"/>
    <xf numFmtId="10" fontId="11" fillId="0" borderId="0" xfId="11" applyNumberFormat="1" applyFont="1" applyAlignment="1">
      <alignment vertical="top"/>
    </xf>
    <xf numFmtId="7" fontId="4" fillId="0" borderId="37" xfId="9" applyNumberFormat="1" applyFont="1" applyBorder="1" applyAlignment="1">
      <alignment horizontal="center" vertical="top"/>
    </xf>
    <xf numFmtId="168" fontId="3" fillId="0" borderId="0" xfId="9" applyNumberFormat="1" applyFont="1" applyFill="1" applyBorder="1">
      <alignment vertical="top"/>
    </xf>
    <xf numFmtId="7" fontId="4" fillId="0" borderId="0" xfId="9" applyNumberFormat="1" applyFont="1" applyFill="1" applyBorder="1" applyAlignment="1">
      <alignment horizontal="center" vertical="top"/>
    </xf>
    <xf numFmtId="7" fontId="3" fillId="0" borderId="4" xfId="9" applyNumberFormat="1" applyFont="1" applyFill="1" applyBorder="1" applyAlignment="1">
      <alignment horizontal="center" vertical="top"/>
    </xf>
    <xf numFmtId="170" fontId="52" fillId="0" borderId="0" xfId="0" quotePrefix="1" applyNumberFormat="1" applyFont="1"/>
    <xf numFmtId="0" fontId="54" fillId="48" borderId="0" xfId="0" applyFont="1" applyFill="1" applyBorder="1" applyAlignment="1">
      <alignment horizontal="right"/>
    </xf>
    <xf numFmtId="0" fontId="52" fillId="48" borderId="0" xfId="0" applyFont="1" applyFill="1" applyBorder="1" applyAlignment="1">
      <alignment horizontal="center"/>
    </xf>
    <xf numFmtId="0" fontId="54" fillId="48" borderId="0" xfId="0" applyFont="1" applyFill="1" applyBorder="1" applyAlignment="1">
      <alignment horizontal="center"/>
    </xf>
    <xf numFmtId="0" fontId="53" fillId="48" borderId="0" xfId="0" applyFont="1" applyFill="1" applyBorder="1" applyAlignment="1">
      <alignment horizontal="right"/>
    </xf>
    <xf numFmtId="0" fontId="53" fillId="0" borderId="14" xfId="0" applyFont="1" applyFill="1" applyBorder="1" applyAlignment="1">
      <alignment horizontal="center"/>
    </xf>
    <xf numFmtId="37" fontId="52" fillId="0" borderId="43" xfId="0" applyNumberFormat="1" applyFont="1" applyFill="1" applyBorder="1"/>
    <xf numFmtId="0" fontId="58" fillId="2" borderId="41" xfId="0" applyFont="1" applyFill="1" applyBorder="1" applyAlignment="1">
      <alignment horizontal="center"/>
    </xf>
    <xf numFmtId="37" fontId="52" fillId="0" borderId="7" xfId="0" applyNumberFormat="1" applyFont="1" applyFill="1" applyBorder="1"/>
    <xf numFmtId="0" fontId="58" fillId="2" borderId="14" xfId="0" applyFont="1" applyFill="1" applyBorder="1" applyAlignment="1">
      <alignment horizontal="center"/>
    </xf>
    <xf numFmtId="0" fontId="58" fillId="2" borderId="16" xfId="0" applyFont="1" applyFill="1" applyBorder="1" applyAlignment="1">
      <alignment horizontal="center"/>
    </xf>
    <xf numFmtId="0" fontId="5" fillId="0" borderId="5" xfId="9" applyFont="1" applyBorder="1" applyAlignment="1">
      <alignment horizontal="center" vertical="top"/>
    </xf>
    <xf numFmtId="0" fontId="5" fillId="0" borderId="9" xfId="9" applyFont="1" applyBorder="1" applyAlignment="1">
      <alignment horizontal="center" vertical="top"/>
    </xf>
    <xf numFmtId="170" fontId="58" fillId="0" borderId="0" xfId="0" applyNumberFormat="1" applyFont="1" applyFill="1"/>
    <xf numFmtId="7" fontId="38" fillId="10" borderId="25" xfId="9" applyNumberFormat="1" applyFont="1" applyFill="1" applyBorder="1" applyAlignment="1">
      <alignment horizontal="left"/>
    </xf>
    <xf numFmtId="7" fontId="9" fillId="10" borderId="26" xfId="9" applyNumberFormat="1" applyFont="1" applyFill="1" applyBorder="1" applyAlignment="1">
      <alignment vertical="center" wrapText="1"/>
    </xf>
    <xf numFmtId="49" fontId="9" fillId="10" borderId="29" xfId="9" applyNumberFormat="1" applyFont="1" applyFill="1" applyBorder="1" applyAlignment="1">
      <alignment vertical="center"/>
    </xf>
    <xf numFmtId="0" fontId="38" fillId="10" borderId="8" xfId="9" applyFont="1" applyFill="1" applyBorder="1" applyAlignment="1">
      <alignment horizontal="left" vertical="top"/>
    </xf>
    <xf numFmtId="7" fontId="11" fillId="10" borderId="0" xfId="9" applyNumberFormat="1" applyFill="1" applyBorder="1" applyAlignment="1">
      <alignment vertical="top"/>
    </xf>
    <xf numFmtId="0" fontId="22" fillId="10" borderId="0" xfId="9" applyFont="1" applyFill="1" applyBorder="1" applyAlignment="1">
      <alignment horizontal="left" vertical="top"/>
    </xf>
    <xf numFmtId="174" fontId="23" fillId="10" borderId="2" xfId="9" applyNumberFormat="1" applyFont="1" applyFill="1" applyBorder="1" applyAlignment="1">
      <alignment vertical="top"/>
    </xf>
    <xf numFmtId="0" fontId="47" fillId="10" borderId="8" xfId="9" applyNumberFormat="1" applyFont="1" applyFill="1" applyBorder="1" applyAlignment="1">
      <alignment horizontal="left" vertical="top"/>
    </xf>
    <xf numFmtId="7" fontId="47" fillId="10" borderId="0" xfId="9" applyNumberFormat="1" applyFont="1" applyFill="1" applyBorder="1" applyAlignment="1">
      <alignment vertical="top"/>
    </xf>
    <xf numFmtId="7" fontId="47" fillId="10" borderId="0" xfId="9" applyNumberFormat="1" applyFont="1" applyFill="1" applyAlignment="1">
      <alignment vertical="top"/>
    </xf>
    <xf numFmtId="7" fontId="47" fillId="10" borderId="2" xfId="9" applyNumberFormat="1" applyFont="1" applyFill="1" applyBorder="1" applyAlignment="1">
      <alignment vertical="top"/>
    </xf>
    <xf numFmtId="0" fontId="119" fillId="10" borderId="8" xfId="9" applyFont="1" applyFill="1" applyBorder="1" applyAlignment="1">
      <alignment horizontal="left" vertical="top"/>
    </xf>
    <xf numFmtId="0" fontId="119" fillId="10" borderId="0" xfId="9" applyFont="1" applyFill="1" applyBorder="1" applyAlignment="1">
      <alignment horizontal="center" vertical="top"/>
    </xf>
    <xf numFmtId="7" fontId="90" fillId="10" borderId="0" xfId="9" applyNumberFormat="1" applyFont="1" applyFill="1" applyBorder="1" applyAlignment="1">
      <alignment horizontal="right" vertical="top"/>
    </xf>
    <xf numFmtId="0" fontId="119" fillId="10" borderId="0" xfId="9" applyFont="1" applyFill="1" applyBorder="1" applyAlignment="1">
      <alignment horizontal="left" vertical="top"/>
    </xf>
    <xf numFmtId="0" fontId="119" fillId="10" borderId="2" xfId="9" applyFont="1" applyFill="1" applyBorder="1" applyAlignment="1">
      <alignment horizontal="left" vertical="top"/>
    </xf>
    <xf numFmtId="0" fontId="47" fillId="10" borderId="8" xfId="9" applyFont="1" applyFill="1" applyBorder="1" applyAlignment="1">
      <alignment vertical="top"/>
    </xf>
    <xf numFmtId="0" fontId="47" fillId="10" borderId="0" xfId="9" applyFont="1" applyFill="1" applyBorder="1" applyAlignment="1">
      <alignment vertical="top"/>
    </xf>
    <xf numFmtId="0" fontId="47" fillId="10" borderId="32" xfId="9" applyFont="1" applyFill="1" applyBorder="1" applyAlignment="1">
      <alignment horizontal="center" vertical="top"/>
    </xf>
    <xf numFmtId="7" fontId="119" fillId="10" borderId="99" xfId="9" applyNumberFormat="1" applyFont="1" applyFill="1" applyBorder="1" applyAlignment="1">
      <alignment vertical="top"/>
    </xf>
    <xf numFmtId="0" fontId="90" fillId="10" borderId="50" xfId="9" applyFont="1" applyFill="1" applyBorder="1" applyAlignment="1">
      <alignment horizontal="center" vertical="top"/>
    </xf>
    <xf numFmtId="0" fontId="119" fillId="10" borderId="29" xfId="9" applyNumberFormat="1" applyFont="1" applyFill="1" applyBorder="1" applyAlignment="1">
      <alignment horizontal="center" vertical="top"/>
    </xf>
    <xf numFmtId="0" fontId="47" fillId="10" borderId="17" xfId="9" applyFont="1" applyFill="1" applyBorder="1" applyAlignment="1">
      <alignment horizontal="center" vertical="top"/>
    </xf>
    <xf numFmtId="7" fontId="47" fillId="10" borderId="5" xfId="9" applyNumberFormat="1" applyFont="1" applyFill="1" applyBorder="1" applyAlignment="1">
      <alignment horizontal="center" vertical="top"/>
    </xf>
    <xf numFmtId="7" fontId="47" fillId="10" borderId="51" xfId="9" applyNumberFormat="1" applyFont="1" applyFill="1" applyBorder="1" applyAlignment="1">
      <alignment horizontal="center" vertical="top"/>
    </xf>
    <xf numFmtId="0" fontId="119" fillId="10" borderId="2" xfId="9" applyNumberFormat="1" applyFont="1" applyFill="1" applyBorder="1" applyAlignment="1">
      <alignment horizontal="center" vertical="top"/>
    </xf>
    <xf numFmtId="7" fontId="47" fillId="10" borderId="18" xfId="9" applyNumberFormat="1" applyFont="1" applyFill="1" applyBorder="1" applyAlignment="1">
      <alignment vertical="top"/>
    </xf>
    <xf numFmtId="7" fontId="119" fillId="10" borderId="6" xfId="9" applyNumberFormat="1" applyFont="1" applyFill="1" applyBorder="1" applyAlignment="1">
      <alignment vertical="top"/>
    </xf>
    <xf numFmtId="0" fontId="119" fillId="10" borderId="53" xfId="9" applyFont="1" applyFill="1" applyBorder="1" applyAlignment="1">
      <alignment horizontal="center" vertical="top"/>
    </xf>
    <xf numFmtId="0" fontId="119" fillId="10" borderId="30" xfId="9" applyNumberFormat="1" applyFont="1" applyFill="1" applyBorder="1" applyAlignment="1">
      <alignment horizontal="center" vertical="top"/>
    </xf>
    <xf numFmtId="0" fontId="90" fillId="10" borderId="17" xfId="9" applyFont="1" applyFill="1" applyBorder="1" applyAlignment="1">
      <alignment horizontal="center" vertical="top"/>
    </xf>
    <xf numFmtId="0" fontId="47" fillId="10" borderId="36" xfId="9" applyFont="1" applyFill="1" applyBorder="1" applyAlignment="1">
      <alignment horizontal="center" vertical="top"/>
    </xf>
    <xf numFmtId="7" fontId="47" fillId="10" borderId="54" xfId="9" applyNumberFormat="1" applyFont="1" applyFill="1" applyBorder="1" applyAlignment="1">
      <alignment horizontal="center" vertical="top"/>
    </xf>
    <xf numFmtId="7" fontId="47" fillId="10" borderId="55" xfId="9" applyNumberFormat="1" applyFont="1" applyFill="1" applyBorder="1" applyAlignment="1">
      <alignment horizontal="center" vertical="top"/>
    </xf>
    <xf numFmtId="0" fontId="47" fillId="10" borderId="18" xfId="9" applyFont="1" applyFill="1" applyBorder="1" applyAlignment="1">
      <alignment horizontal="center" vertical="top"/>
    </xf>
    <xf numFmtId="0" fontId="119" fillId="10" borderId="6" xfId="9" applyFont="1" applyFill="1" applyBorder="1" applyAlignment="1">
      <alignment horizontal="center" vertical="top"/>
    </xf>
    <xf numFmtId="168" fontId="47" fillId="10" borderId="53" xfId="9" applyNumberFormat="1" applyFont="1" applyFill="1" applyBorder="1" applyAlignment="1">
      <alignment horizontal="center" vertical="top"/>
    </xf>
    <xf numFmtId="168" fontId="47" fillId="10" borderId="30" xfId="9" applyNumberFormat="1" applyFont="1" applyFill="1" applyBorder="1" applyAlignment="1">
      <alignment horizontal="center" vertical="top"/>
    </xf>
    <xf numFmtId="172" fontId="47" fillId="10" borderId="53" xfId="9" applyNumberFormat="1" applyFont="1" applyFill="1" applyBorder="1" applyAlignment="1">
      <alignment horizontal="center" vertical="top"/>
    </xf>
    <xf numFmtId="7" fontId="90" fillId="10" borderId="56" xfId="9" applyNumberFormat="1" applyFont="1" applyFill="1" applyBorder="1" applyAlignment="1">
      <alignment horizontal="center" vertical="top"/>
    </xf>
    <xf numFmtId="0" fontId="47" fillId="10" borderId="5" xfId="9" applyNumberFormat="1" applyFont="1" applyFill="1" applyBorder="1" applyAlignment="1">
      <alignment horizontal="right" vertical="top"/>
    </xf>
    <xf numFmtId="173" fontId="47" fillId="10" borderId="51" xfId="9" applyNumberFormat="1" applyFont="1" applyFill="1" applyBorder="1" applyAlignment="1">
      <alignment horizontal="center" vertical="top"/>
    </xf>
    <xf numFmtId="7" fontId="47" fillId="10" borderId="17" xfId="9" applyNumberFormat="1" applyFont="1" applyFill="1" applyBorder="1" applyAlignment="1">
      <alignment horizontal="center" vertical="top" wrapText="1"/>
    </xf>
    <xf numFmtId="7" fontId="47" fillId="10" borderId="2" xfId="9" applyNumberFormat="1" applyFont="1" applyFill="1" applyBorder="1" applyAlignment="1">
      <alignment horizontal="center" vertical="top"/>
    </xf>
    <xf numFmtId="7" fontId="47" fillId="10" borderId="5" xfId="9" applyNumberFormat="1" applyFont="1" applyFill="1" applyBorder="1" applyAlignment="1">
      <alignment horizontal="right" vertical="top"/>
    </xf>
    <xf numFmtId="7" fontId="47" fillId="10" borderId="8" xfId="9" applyNumberFormat="1" applyFont="1" applyFill="1" applyBorder="1" applyAlignment="1">
      <alignment horizontal="center" vertical="top"/>
    </xf>
    <xf numFmtId="7" fontId="119" fillId="10" borderId="12" xfId="9" applyNumberFormat="1" applyFont="1" applyFill="1" applyBorder="1" applyAlignment="1">
      <alignment horizontal="center" vertical="top"/>
    </xf>
    <xf numFmtId="168" fontId="47" fillId="10" borderId="51" xfId="9" applyNumberFormat="1" applyFont="1" applyFill="1" applyBorder="1" applyAlignment="1">
      <alignment horizontal="center" vertical="top"/>
    </xf>
    <xf numFmtId="168" fontId="47" fillId="10" borderId="2" xfId="9" applyNumberFormat="1" applyFont="1" applyFill="1" applyBorder="1" applyAlignment="1">
      <alignment horizontal="center" vertical="top"/>
    </xf>
    <xf numFmtId="7" fontId="119" fillId="10" borderId="6" xfId="9" applyNumberFormat="1" applyFont="1" applyFill="1" applyBorder="1" applyAlignment="1">
      <alignment horizontal="center" vertical="top"/>
    </xf>
    <xf numFmtId="7" fontId="119" fillId="10" borderId="5" xfId="9" applyNumberFormat="1" applyFont="1" applyFill="1" applyBorder="1" applyAlignment="1">
      <alignment horizontal="center" vertical="top"/>
    </xf>
    <xf numFmtId="168" fontId="47" fillId="10" borderId="58" xfId="9" applyNumberFormat="1" applyFont="1" applyFill="1" applyBorder="1" applyAlignment="1">
      <alignment horizontal="center" vertical="top"/>
    </xf>
    <xf numFmtId="7" fontId="47" fillId="10" borderId="18" xfId="9" applyNumberFormat="1" applyFont="1" applyFill="1" applyBorder="1" applyAlignment="1">
      <alignment horizontal="right" vertical="top"/>
    </xf>
    <xf numFmtId="7" fontId="119" fillId="10" borderId="0" xfId="9" applyNumberFormat="1" applyFont="1" applyFill="1" applyAlignment="1">
      <alignment horizontal="center" vertical="top"/>
    </xf>
    <xf numFmtId="7" fontId="47" fillId="10" borderId="36" xfId="9" applyNumberFormat="1" applyFont="1" applyFill="1" applyBorder="1" applyAlignment="1">
      <alignment horizontal="right" vertical="top"/>
    </xf>
    <xf numFmtId="168" fontId="47" fillId="10" borderId="54" xfId="9" applyNumberFormat="1" applyFont="1" applyFill="1" applyBorder="1" applyAlignment="1">
      <alignment horizontal="center" vertical="top"/>
    </xf>
    <xf numFmtId="168" fontId="47" fillId="10" borderId="55" xfId="9" applyNumberFormat="1" applyFont="1" applyFill="1" applyBorder="1" applyAlignment="1">
      <alignment horizontal="center" vertical="top"/>
    </xf>
    <xf numFmtId="7" fontId="90" fillId="10" borderId="8" xfId="9" applyNumberFormat="1" applyFont="1" applyFill="1" applyBorder="1" applyAlignment="1">
      <alignment horizontal="right" vertical="top"/>
    </xf>
    <xf numFmtId="7" fontId="119" fillId="10" borderId="62" xfId="9" applyNumberFormat="1" applyFont="1" applyFill="1" applyBorder="1" applyAlignment="1">
      <alignment horizontal="center" vertical="top"/>
    </xf>
    <xf numFmtId="7" fontId="47" fillId="10" borderId="17" xfId="9" applyNumberFormat="1" applyFont="1" applyFill="1" applyBorder="1" applyAlignment="1">
      <alignment horizontal="center" vertical="top"/>
    </xf>
    <xf numFmtId="7" fontId="90" fillId="10" borderId="57" xfId="9" applyNumberFormat="1" applyFont="1" applyFill="1" applyBorder="1" applyAlignment="1">
      <alignment horizontal="center" vertical="top"/>
    </xf>
    <xf numFmtId="7" fontId="47" fillId="10" borderId="12" xfId="9" applyNumberFormat="1" applyFont="1" applyFill="1" applyBorder="1" applyAlignment="1">
      <alignment horizontal="right" vertical="top"/>
    </xf>
    <xf numFmtId="7" fontId="47" fillId="10" borderId="6" xfId="9" applyNumberFormat="1" applyFont="1" applyFill="1" applyBorder="1" applyAlignment="1">
      <alignment horizontal="right" vertical="top"/>
    </xf>
    <xf numFmtId="7" fontId="47" fillId="10" borderId="0" xfId="9" applyNumberFormat="1" applyFont="1" applyFill="1" applyBorder="1" applyAlignment="1">
      <alignment horizontal="right" vertical="top"/>
    </xf>
    <xf numFmtId="7" fontId="47" fillId="10" borderId="17" xfId="9" applyNumberFormat="1" applyFont="1" applyFill="1" applyBorder="1" applyAlignment="1">
      <alignment vertical="top"/>
    </xf>
    <xf numFmtId="7" fontId="90" fillId="10" borderId="17" xfId="9" applyNumberFormat="1" applyFont="1" applyFill="1" applyBorder="1" applyAlignment="1">
      <alignment horizontal="right" vertical="top"/>
    </xf>
    <xf numFmtId="7" fontId="119" fillId="10" borderId="0" xfId="9" applyNumberFormat="1" applyFont="1" applyFill="1" applyBorder="1" applyAlignment="1">
      <alignment horizontal="right" vertical="top"/>
    </xf>
    <xf numFmtId="7" fontId="119" fillId="10" borderId="6" xfId="9" applyNumberFormat="1" applyFont="1" applyFill="1" applyBorder="1" applyAlignment="1">
      <alignment horizontal="right" vertical="top"/>
    </xf>
    <xf numFmtId="7" fontId="119" fillId="10" borderId="19" xfId="9" applyNumberFormat="1" applyFont="1" applyFill="1" applyBorder="1" applyAlignment="1">
      <alignment horizontal="right" vertical="top"/>
    </xf>
    <xf numFmtId="7" fontId="47" fillId="10" borderId="18" xfId="9" applyNumberFormat="1" applyFont="1" applyFill="1" applyBorder="1" applyAlignment="1">
      <alignment horizontal="center" vertical="top"/>
    </xf>
    <xf numFmtId="7" fontId="119" fillId="10" borderId="5" xfId="9" applyNumberFormat="1" applyFont="1" applyFill="1" applyBorder="1" applyAlignment="1">
      <alignment horizontal="right" vertical="top"/>
    </xf>
    <xf numFmtId="7" fontId="47" fillId="10" borderId="60" xfId="9" applyNumberFormat="1" applyFont="1" applyFill="1" applyBorder="1" applyAlignment="1">
      <alignment horizontal="center" vertical="top"/>
    </xf>
    <xf numFmtId="7" fontId="90" fillId="10" borderId="17" xfId="9" applyNumberFormat="1" applyFont="1" applyFill="1" applyBorder="1" applyAlignment="1">
      <alignment horizontal="center" vertical="top"/>
    </xf>
    <xf numFmtId="0" fontId="47" fillId="10" borderId="8" xfId="9" applyFont="1" applyFill="1" applyBorder="1" applyAlignment="1">
      <alignment horizontal="centerContinuous" vertical="top"/>
    </xf>
    <xf numFmtId="0" fontId="47" fillId="10" borderId="0" xfId="9" applyFont="1" applyFill="1" applyBorder="1" applyAlignment="1">
      <alignment horizontal="centerContinuous" vertical="top"/>
    </xf>
    <xf numFmtId="0" fontId="47" fillId="10" borderId="2" xfId="9" applyFont="1" applyFill="1" applyBorder="1" applyAlignment="1">
      <alignment horizontal="centerContinuous" vertical="top"/>
    </xf>
    <xf numFmtId="0" fontId="47" fillId="10" borderId="8" xfId="9" applyFont="1" applyFill="1" applyBorder="1" applyAlignment="1">
      <alignment horizontal="center" vertical="top"/>
    </xf>
    <xf numFmtId="0" fontId="47" fillId="10" borderId="0" xfId="9" applyFont="1" applyFill="1" applyBorder="1" applyAlignment="1">
      <alignment horizontal="right" vertical="top"/>
    </xf>
    <xf numFmtId="172" fontId="47" fillId="10" borderId="0" xfId="9" applyNumberFormat="1" applyFont="1" applyFill="1" applyBorder="1" applyAlignment="1">
      <alignment horizontal="center" vertical="top"/>
    </xf>
    <xf numFmtId="0" fontId="120" fillId="10" borderId="8" xfId="9" applyFont="1" applyFill="1" applyBorder="1" applyAlignment="1">
      <alignment horizontal="center" vertical="top"/>
    </xf>
    <xf numFmtId="0" fontId="120" fillId="10" borderId="0" xfId="9" applyFont="1" applyFill="1" applyBorder="1" applyAlignment="1">
      <alignment horizontal="center" vertical="top"/>
    </xf>
    <xf numFmtId="0" fontId="120" fillId="10" borderId="2" xfId="9" applyFont="1" applyFill="1" applyBorder="1" applyAlignment="1">
      <alignment horizontal="center" vertical="top"/>
    </xf>
    <xf numFmtId="0" fontId="119" fillId="10" borderId="8" xfId="9" applyFont="1" applyFill="1" applyBorder="1" applyAlignment="1">
      <alignment horizontal="center" vertical="top"/>
    </xf>
    <xf numFmtId="0" fontId="119" fillId="10" borderId="2" xfId="9" applyFont="1" applyFill="1" applyBorder="1" applyAlignment="1">
      <alignment horizontal="center" vertical="top"/>
    </xf>
    <xf numFmtId="0" fontId="119" fillId="10" borderId="7" xfId="9" applyFont="1" applyFill="1" applyBorder="1" applyAlignment="1">
      <alignment horizontal="center" vertical="top"/>
    </xf>
    <xf numFmtId="0" fontId="119" fillId="10" borderId="14" xfId="9" applyFont="1" applyFill="1" applyBorder="1" applyAlignment="1">
      <alignment horizontal="center" vertical="top"/>
    </xf>
    <xf numFmtId="179" fontId="119" fillId="10" borderId="14" xfId="9" applyNumberFormat="1" applyFont="1" applyFill="1" applyBorder="1" applyAlignment="1">
      <alignment horizontal="center" vertical="top"/>
    </xf>
    <xf numFmtId="0" fontId="119" fillId="10" borderId="16" xfId="9" applyFont="1" applyFill="1" applyBorder="1" applyAlignment="1">
      <alignment horizontal="center" vertical="top"/>
    </xf>
    <xf numFmtId="173" fontId="47" fillId="10" borderId="0" xfId="9" applyNumberFormat="1" applyFont="1" applyFill="1" applyBorder="1" applyAlignment="1">
      <alignment horizontal="center" vertical="top"/>
    </xf>
    <xf numFmtId="166" fontId="47" fillId="10" borderId="29" xfId="9" applyNumberFormat="1" applyFont="1" applyFill="1" applyBorder="1" applyAlignment="1">
      <alignment horizontal="center" vertical="top"/>
    </xf>
    <xf numFmtId="166" fontId="47" fillId="10" borderId="2" xfId="9" applyNumberFormat="1" applyFont="1" applyFill="1" applyBorder="1" applyAlignment="1">
      <alignment horizontal="center" vertical="top"/>
    </xf>
    <xf numFmtId="0" fontId="119" fillId="10" borderId="60" xfId="9" applyFont="1" applyFill="1" applyBorder="1" applyAlignment="1">
      <alignment horizontal="center" vertical="top"/>
    </xf>
    <xf numFmtId="172" fontId="47" fillId="10" borderId="19" xfId="9" applyNumberFormat="1" applyFont="1" applyFill="1" applyBorder="1" applyAlignment="1">
      <alignment horizontal="center" vertical="top"/>
    </xf>
    <xf numFmtId="168" fontId="47" fillId="10" borderId="19" xfId="9" applyNumberFormat="1" applyFont="1" applyFill="1" applyBorder="1" applyAlignment="1">
      <alignment horizontal="center" vertical="top"/>
    </xf>
    <xf numFmtId="10" fontId="47" fillId="10" borderId="19" xfId="9" applyNumberFormat="1" applyFont="1" applyFill="1" applyBorder="1" applyAlignment="1">
      <alignment horizontal="center" vertical="top"/>
    </xf>
    <xf numFmtId="7" fontId="47" fillId="10" borderId="30" xfId="9" applyNumberFormat="1" applyFont="1" applyFill="1" applyBorder="1" applyAlignment="1">
      <alignment vertical="top"/>
    </xf>
    <xf numFmtId="7" fontId="47" fillId="10" borderId="8" xfId="9" applyNumberFormat="1" applyFont="1" applyFill="1" applyBorder="1" applyAlignment="1">
      <alignment vertical="top"/>
    </xf>
    <xf numFmtId="0" fontId="47" fillId="10" borderId="0" xfId="9" applyFont="1" applyFill="1" applyBorder="1" applyAlignment="1">
      <alignment horizontal="left" vertical="top"/>
    </xf>
    <xf numFmtId="168" fontId="47" fillId="10" borderId="0" xfId="9" applyNumberFormat="1" applyFont="1" applyFill="1" applyBorder="1" applyAlignment="1">
      <alignment horizontal="center" vertical="top"/>
    </xf>
    <xf numFmtId="7" fontId="47" fillId="10" borderId="7" xfId="9" applyNumberFormat="1" applyFont="1" applyFill="1" applyBorder="1" applyAlignment="1">
      <alignment vertical="top"/>
    </xf>
    <xf numFmtId="7" fontId="47" fillId="10" borderId="14" xfId="9" applyNumberFormat="1" applyFont="1" applyFill="1" applyBorder="1" applyAlignment="1">
      <alignment vertical="top"/>
    </xf>
    <xf numFmtId="168" fontId="47" fillId="10" borderId="14" xfId="9" applyNumberFormat="1" applyFont="1" applyFill="1" applyBorder="1" applyAlignment="1">
      <alignment horizontal="center" vertical="top"/>
    </xf>
    <xf numFmtId="7" fontId="47" fillId="10" borderId="16" xfId="9" applyNumberFormat="1" applyFont="1" applyFill="1" applyBorder="1" applyAlignment="1">
      <alignment vertical="top"/>
    </xf>
    <xf numFmtId="0" fontId="52" fillId="49" borderId="0" xfId="0" applyFont="1" applyFill="1" applyBorder="1"/>
    <xf numFmtId="7" fontId="25" fillId="0" borderId="47" xfId="9" applyNumberFormat="1" applyFont="1" applyBorder="1">
      <alignment vertical="top"/>
    </xf>
    <xf numFmtId="175" fontId="25" fillId="0" borderId="0" xfId="9" applyNumberFormat="1" applyFont="1" applyBorder="1" applyAlignment="1">
      <alignment horizontal="center" vertical="top" wrapText="1"/>
    </xf>
    <xf numFmtId="49" fontId="3" fillId="0" borderId="4" xfId="9" applyNumberFormat="1" applyFont="1" applyBorder="1" applyAlignment="1">
      <alignment horizontal="left" vertical="top"/>
    </xf>
    <xf numFmtId="7" fontId="4" fillId="0" borderId="37" xfId="9" applyNumberFormat="1" applyFont="1" applyBorder="1" applyAlignment="1">
      <alignment horizontal="center" vertical="top"/>
    </xf>
    <xf numFmtId="168" fontId="97" fillId="50" borderId="0" xfId="12" applyNumberFormat="1" applyFont="1" applyFill="1" applyBorder="1" applyAlignment="1"/>
    <xf numFmtId="0" fontId="61" fillId="50" borderId="0" xfId="12" applyFont="1" applyFill="1" applyBorder="1"/>
    <xf numFmtId="168" fontId="97" fillId="50" borderId="0" xfId="13" applyNumberFormat="1" applyFont="1" applyFill="1" applyBorder="1" applyAlignment="1"/>
    <xf numFmtId="0" fontId="61" fillId="50" borderId="0" xfId="12" applyFont="1" applyFill="1"/>
    <xf numFmtId="169" fontId="3" fillId="50" borderId="0" xfId="14" applyNumberFormat="1" applyFont="1" applyFill="1" applyBorder="1" applyAlignment="1"/>
    <xf numFmtId="168" fontId="3" fillId="50" borderId="0" xfId="12" applyNumberFormat="1" applyFont="1" applyFill="1" applyBorder="1" applyAlignment="1"/>
    <xf numFmtId="0" fontId="3" fillId="50" borderId="0" xfId="14" applyNumberFormat="1" applyFont="1" applyFill="1" applyBorder="1" applyAlignment="1"/>
    <xf numFmtId="168" fontId="61" fillId="50" borderId="0" xfId="12" applyNumberFormat="1" applyFont="1" applyFill="1" applyBorder="1"/>
    <xf numFmtId="7" fontId="61" fillId="50" borderId="0" xfId="12" applyNumberFormat="1" applyFont="1" applyFill="1" applyBorder="1"/>
    <xf numFmtId="0" fontId="97" fillId="50" borderId="0" xfId="12" applyFont="1" applyFill="1" applyBorder="1" applyAlignment="1"/>
    <xf numFmtId="172" fontId="3" fillId="50" borderId="0" xfId="12" applyNumberFormat="1" applyFont="1" applyFill="1" applyBorder="1" applyAlignment="1"/>
    <xf numFmtId="173" fontId="3" fillId="50" borderId="0" xfId="12" applyNumberFormat="1" applyFont="1" applyFill="1" applyBorder="1" applyAlignment="1"/>
    <xf numFmtId="7" fontId="4" fillId="0" borderId="0" xfId="9" applyNumberFormat="1" applyFont="1" applyBorder="1" applyAlignment="1">
      <alignment horizontal="center" vertical="top"/>
    </xf>
    <xf numFmtId="7" fontId="11" fillId="0" borderId="26" xfId="9" applyNumberFormat="1" applyBorder="1">
      <alignment vertical="top"/>
    </xf>
    <xf numFmtId="7" fontId="11" fillId="0" borderId="26" xfId="9" applyNumberFormat="1" applyBorder="1" applyAlignment="1">
      <alignment horizontal="center" vertical="top" wrapText="1"/>
    </xf>
    <xf numFmtId="7" fontId="11" fillId="0" borderId="26" xfId="9" applyNumberFormat="1" applyBorder="1" applyAlignment="1">
      <alignment horizontal="center" vertical="top" wrapText="1" shrinkToFit="1"/>
    </xf>
    <xf numFmtId="37" fontId="53" fillId="0" borderId="34" xfId="0" applyNumberFormat="1" applyFont="1" applyBorder="1"/>
    <xf numFmtId="0" fontId="122" fillId="0" borderId="0" xfId="0" applyFont="1" applyBorder="1"/>
    <xf numFmtId="37" fontId="54" fillId="0" borderId="0" xfId="0" applyNumberFormat="1" applyFont="1" applyBorder="1" applyAlignment="1">
      <alignment horizontal="right"/>
    </xf>
    <xf numFmtId="166" fontId="52" fillId="0" borderId="0" xfId="0" applyNumberFormat="1" applyFont="1" applyBorder="1"/>
    <xf numFmtId="172" fontId="52" fillId="0" borderId="0" xfId="0" applyNumberFormat="1" applyFont="1"/>
    <xf numFmtId="0" fontId="54" fillId="0" borderId="0" xfId="0" applyFont="1" applyBorder="1" applyAlignment="1">
      <alignment horizontal="center" wrapText="1"/>
    </xf>
    <xf numFmtId="0" fontId="52" fillId="10" borderId="0" xfId="0" applyFont="1" applyFill="1" applyBorder="1"/>
    <xf numFmtId="0" fontId="54" fillId="10" borderId="37" xfId="0" applyFont="1" applyFill="1" applyBorder="1" applyAlignment="1">
      <alignment horizontal="centerContinuous"/>
    </xf>
    <xf numFmtId="0" fontId="52" fillId="10" borderId="37" xfId="0" applyFont="1" applyFill="1" applyBorder="1" applyAlignment="1">
      <alignment horizontal="centerContinuous"/>
    </xf>
    <xf numFmtId="0" fontId="52" fillId="51" borderId="0" xfId="0" applyFont="1" applyFill="1" applyBorder="1"/>
    <xf numFmtId="7" fontId="4" fillId="0" borderId="37" xfId="9" applyNumberFormat="1" applyFont="1" applyBorder="1" applyAlignment="1">
      <alignment horizontal="center" vertical="top"/>
    </xf>
    <xf numFmtId="183" fontId="3" fillId="0" borderId="0" xfId="9" applyNumberFormat="1" applyFont="1" applyAlignment="1">
      <alignment horizontal="center" vertical="top"/>
    </xf>
    <xf numFmtId="168" fontId="3" fillId="0" borderId="4" xfId="9" applyNumberFormat="1" applyFont="1" applyBorder="1" applyAlignment="1">
      <alignment horizontal="center" vertical="top"/>
    </xf>
    <xf numFmtId="0" fontId="123" fillId="0" borderId="0" xfId="0" applyFont="1" applyBorder="1"/>
    <xf numFmtId="0" fontId="93" fillId="0" borderId="0" xfId="0" applyFont="1" applyBorder="1"/>
    <xf numFmtId="167" fontId="54" fillId="0" borderId="40" xfId="1" applyNumberFormat="1" applyFont="1" applyFill="1" applyBorder="1"/>
    <xf numFmtId="167" fontId="54" fillId="0" borderId="41" xfId="1" applyNumberFormat="1" applyFont="1" applyFill="1" applyBorder="1"/>
    <xf numFmtId="4" fontId="52" fillId="0" borderId="0" xfId="0" applyNumberFormat="1" applyFont="1" applyBorder="1"/>
    <xf numFmtId="14" fontId="119" fillId="10" borderId="53" xfId="9" applyNumberFormat="1" applyFont="1" applyFill="1" applyBorder="1" applyAlignment="1">
      <alignment horizontal="center" vertical="top"/>
    </xf>
    <xf numFmtId="7" fontId="4" fillId="0" borderId="0" xfId="9" applyNumberFormat="1" applyFont="1" applyBorder="1" applyAlignment="1">
      <alignment horizontal="center" vertical="top"/>
    </xf>
    <xf numFmtId="7" fontId="4" fillId="0" borderId="37" xfId="9" applyNumberFormat="1" applyFont="1" applyBorder="1" applyAlignment="1">
      <alignment horizontal="center" vertical="top"/>
    </xf>
    <xf numFmtId="43" fontId="52" fillId="0" borderId="0" xfId="1" applyFont="1"/>
    <xf numFmtId="3" fontId="52" fillId="0" borderId="0" xfId="5" applyFont="1" applyFill="1" applyBorder="1" applyAlignment="1">
      <alignment horizontal="centerContinuous"/>
    </xf>
    <xf numFmtId="0" fontId="51" fillId="52" borderId="37" xfId="0" applyFont="1" applyFill="1" applyBorder="1" applyAlignment="1">
      <alignment horizontal="centerContinuous"/>
    </xf>
    <xf numFmtId="171" fontId="52" fillId="52" borderId="0" xfId="0" applyNumberFormat="1" applyFont="1" applyFill="1" applyBorder="1"/>
    <xf numFmtId="0" fontId="54" fillId="0" borderId="0" xfId="0" applyFont="1" applyFill="1" applyBorder="1" applyAlignment="1">
      <alignment horizontal="right"/>
    </xf>
    <xf numFmtId="14" fontId="52" fillId="0" borderId="50" xfId="0" applyNumberFormat="1" applyFont="1" applyBorder="1" applyAlignment="1">
      <alignment horizontal="center"/>
    </xf>
    <xf numFmtId="0" fontId="54" fillId="0" borderId="51" xfId="0" applyFont="1" applyFill="1" applyBorder="1" applyAlignment="1">
      <alignment horizontal="center"/>
    </xf>
    <xf numFmtId="0" fontId="54" fillId="0" borderId="53" xfId="0" applyFont="1" applyFill="1" applyBorder="1" applyAlignment="1">
      <alignment horizontal="center"/>
    </xf>
    <xf numFmtId="166" fontId="52" fillId="0" borderId="51" xfId="11" applyNumberFormat="1" applyFont="1" applyBorder="1"/>
    <xf numFmtId="166" fontId="52" fillId="0" borderId="54" xfId="11" applyNumberFormat="1" applyFont="1" applyBorder="1"/>
    <xf numFmtId="39" fontId="52" fillId="0" borderId="52" xfId="0" applyNumberFormat="1" applyFont="1" applyBorder="1"/>
    <xf numFmtId="0" fontId="54" fillId="52" borderId="14" xfId="0" applyFont="1" applyFill="1" applyBorder="1" applyAlignment="1">
      <alignment horizontal="center" wrapText="1"/>
    </xf>
    <xf numFmtId="0" fontId="54" fillId="52" borderId="0" xfId="0" applyFont="1" applyFill="1" applyBorder="1" applyAlignment="1">
      <alignment horizontal="center"/>
    </xf>
    <xf numFmtId="0" fontId="54" fillId="52" borderId="19" xfId="0" applyFont="1" applyFill="1" applyBorder="1" applyAlignment="1">
      <alignment horizontal="center"/>
    </xf>
    <xf numFmtId="171" fontId="52" fillId="52" borderId="19" xfId="0" applyNumberFormat="1" applyFont="1" applyFill="1" applyBorder="1"/>
    <xf numFmtId="171" fontId="52" fillId="52" borderId="37" xfId="0" applyNumberFormat="1" applyFont="1" applyFill="1" applyBorder="1" applyAlignment="1"/>
    <xf numFmtId="171" fontId="52" fillId="52" borderId="19" xfId="0" applyNumberFormat="1" applyFont="1" applyFill="1" applyBorder="1" applyAlignment="1"/>
    <xf numFmtId="0" fontId="54" fillId="0" borderId="14" xfId="0" applyFont="1" applyFill="1" applyBorder="1" applyAlignment="1">
      <alignment horizontal="center" wrapText="1"/>
    </xf>
    <xf numFmtId="0" fontId="54" fillId="0" borderId="0" xfId="0" applyFont="1" applyFill="1" applyAlignment="1">
      <alignment horizontal="right"/>
    </xf>
    <xf numFmtId="168" fontId="52" fillId="0" borderId="19" xfId="0" applyNumberFormat="1" applyFont="1" applyFill="1" applyBorder="1" applyAlignment="1"/>
    <xf numFmtId="0" fontId="58" fillId="0" borderId="40" xfId="0" applyFont="1" applyFill="1" applyBorder="1" applyAlignment="1">
      <alignment horizontal="center"/>
    </xf>
    <xf numFmtId="37" fontId="52" fillId="0" borderId="0" xfId="0" applyNumberFormat="1" applyFont="1" applyAlignment="1" applyProtection="1">
      <alignment horizontal="left" vertical="top"/>
    </xf>
    <xf numFmtId="0" fontId="0" fillId="0" borderId="0" xfId="0" applyAlignment="1">
      <alignment vertical="top"/>
    </xf>
    <xf numFmtId="7" fontId="12" fillId="10" borderId="26" xfId="9" applyNumberFormat="1" applyFont="1" applyFill="1" applyBorder="1" applyAlignment="1">
      <alignment vertical="center" wrapText="1"/>
    </xf>
    <xf numFmtId="168" fontId="11" fillId="0" borderId="0" xfId="9" applyNumberFormat="1" applyBorder="1" applyAlignment="1">
      <alignment horizontal="center" vertical="top"/>
    </xf>
    <xf numFmtId="15" fontId="25" fillId="0" borderId="23" xfId="9" applyNumberFormat="1" applyFont="1" applyBorder="1" applyAlignment="1">
      <alignment horizontal="center" vertical="top"/>
    </xf>
    <xf numFmtId="0" fontId="25" fillId="0" borderId="25" xfId="9" applyFont="1" applyBorder="1" applyAlignment="1">
      <alignment vertical="top"/>
    </xf>
    <xf numFmtId="0" fontId="25" fillId="0" borderId="26" xfId="9" applyFont="1" applyBorder="1" applyAlignment="1">
      <alignment vertical="top"/>
    </xf>
    <xf numFmtId="0" fontId="25" fillId="0" borderId="26" xfId="9" applyFont="1" applyBorder="1" applyAlignment="1">
      <alignment horizontal="center" vertical="top"/>
    </xf>
    <xf numFmtId="7" fontId="11" fillId="0" borderId="107" xfId="9" applyNumberFormat="1" applyBorder="1">
      <alignment vertical="top"/>
    </xf>
    <xf numFmtId="0" fontId="25" fillId="0" borderId="8" xfId="9" applyFont="1" applyBorder="1" applyAlignment="1">
      <alignment vertical="top"/>
    </xf>
    <xf numFmtId="7" fontId="11" fillId="0" borderId="63" xfId="9" applyNumberFormat="1" applyBorder="1">
      <alignment vertical="top"/>
    </xf>
    <xf numFmtId="183" fontId="25" fillId="0" borderId="8" xfId="9" applyNumberFormat="1" applyFont="1" applyBorder="1" applyAlignment="1">
      <alignment horizontal="center" vertical="top"/>
    </xf>
    <xf numFmtId="8" fontId="25" fillId="0" borderId="0" xfId="9" applyNumberFormat="1" applyFont="1" applyBorder="1" applyAlignment="1">
      <alignment horizontal="center" vertical="top"/>
    </xf>
    <xf numFmtId="180" fontId="25" fillId="0" borderId="0" xfId="9" applyNumberFormat="1" applyFont="1" applyBorder="1" applyAlignment="1">
      <alignment horizontal="center" vertical="top"/>
    </xf>
    <xf numFmtId="168" fontId="11" fillId="0" borderId="63" xfId="9" applyNumberFormat="1" applyBorder="1" applyAlignment="1">
      <alignment horizontal="center" vertical="top"/>
    </xf>
    <xf numFmtId="183" fontId="11" fillId="0" borderId="8" xfId="9" applyNumberFormat="1" applyBorder="1" applyAlignment="1">
      <alignment horizontal="center" vertical="top"/>
    </xf>
    <xf numFmtId="183" fontId="3" fillId="0" borderId="8" xfId="9" applyNumberFormat="1" applyFont="1" applyFill="1" applyBorder="1" applyAlignment="1">
      <alignment horizontal="center" vertical="top"/>
    </xf>
    <xf numFmtId="168" fontId="3" fillId="0" borderId="63" xfId="9" applyNumberFormat="1" applyFont="1" applyFill="1" applyBorder="1" applyAlignment="1">
      <alignment horizontal="center" vertical="top"/>
    </xf>
    <xf numFmtId="183" fontId="11" fillId="0" borderId="7" xfId="9" applyNumberFormat="1" applyBorder="1" applyAlignment="1">
      <alignment horizontal="center" vertical="top"/>
    </xf>
    <xf numFmtId="7" fontId="11" fillId="0" borderId="14" xfId="9" applyNumberFormat="1" applyBorder="1" applyAlignment="1">
      <alignment horizontal="center" vertical="top"/>
    </xf>
    <xf numFmtId="168" fontId="11" fillId="0" borderId="31" xfId="9" applyNumberFormat="1" applyBorder="1" applyAlignment="1">
      <alignment horizontal="center" vertical="top"/>
    </xf>
    <xf numFmtId="168" fontId="3" fillId="0" borderId="24" xfId="9" applyNumberFormat="1" applyFont="1" applyBorder="1" applyAlignment="1">
      <alignment horizontal="center" vertical="top"/>
    </xf>
    <xf numFmtId="7" fontId="4" fillId="0" borderId="50" xfId="9" applyNumberFormat="1" applyFont="1" applyBorder="1" applyAlignment="1">
      <alignment vertical="top" wrapText="1"/>
    </xf>
    <xf numFmtId="0" fontId="11" fillId="0" borderId="52" xfId="9" applyBorder="1" applyAlignment="1">
      <alignment wrapText="1"/>
    </xf>
    <xf numFmtId="0" fontId="11" fillId="0" borderId="25" xfId="9" applyBorder="1" applyAlignment="1">
      <alignment horizontal="center" vertical="center" wrapText="1"/>
    </xf>
    <xf numFmtId="0" fontId="11" fillId="0" borderId="26" xfId="9" applyBorder="1" applyAlignment="1">
      <alignment horizontal="center" vertical="center" wrapText="1"/>
    </xf>
    <xf numFmtId="171" fontId="52" fillId="0" borderId="0" xfId="0" applyNumberFormat="1" applyFont="1" applyFill="1"/>
    <xf numFmtId="168" fontId="26" fillId="0" borderId="4" xfId="9" applyNumberFormat="1" applyFont="1" applyFill="1" applyBorder="1" applyAlignment="1">
      <alignment horizontal="center" vertical="top"/>
    </xf>
    <xf numFmtId="168" fontId="26" fillId="0" borderId="21" xfId="9" applyNumberFormat="1" applyFont="1" applyFill="1" applyBorder="1" applyAlignment="1">
      <alignment horizontal="center" vertical="top"/>
    </xf>
    <xf numFmtId="14" fontId="9" fillId="0" borderId="5" xfId="9" applyNumberFormat="1" applyFont="1" applyFill="1" applyBorder="1" applyAlignment="1">
      <alignment horizontal="center" vertical="top"/>
    </xf>
    <xf numFmtId="166" fontId="21" fillId="0" borderId="5" xfId="9" applyNumberFormat="1" applyFont="1" applyBorder="1" applyAlignment="1">
      <alignment horizontal="center" vertical="top"/>
    </xf>
    <xf numFmtId="10" fontId="21" fillId="0" borderId="23" xfId="9" applyNumberFormat="1" applyFont="1" applyBorder="1" applyAlignment="1">
      <alignment horizontal="center" vertical="top"/>
    </xf>
    <xf numFmtId="0" fontId="21" fillId="0" borderId="6" xfId="9" applyFont="1" applyBorder="1" applyAlignment="1">
      <alignment horizontal="center" vertical="top" wrapText="1" shrinkToFit="1"/>
    </xf>
    <xf numFmtId="7" fontId="11" fillId="0" borderId="0" xfId="9" applyNumberFormat="1" applyFill="1" applyBorder="1">
      <alignment vertical="top"/>
    </xf>
    <xf numFmtId="172" fontId="26" fillId="0" borderId="5" xfId="9" applyNumberFormat="1" applyFont="1" applyFill="1" applyBorder="1" applyAlignment="1">
      <alignment horizontal="center" vertical="top"/>
    </xf>
    <xf numFmtId="0" fontId="21" fillId="0" borderId="5" xfId="9" applyFont="1" applyFill="1" applyBorder="1" applyAlignment="1">
      <alignment horizontal="centerContinuous" vertical="top" wrapText="1" shrinkToFit="1"/>
    </xf>
    <xf numFmtId="166" fontId="21" fillId="0" borderId="5" xfId="9" applyNumberFormat="1" applyFont="1" applyFill="1" applyBorder="1" applyAlignment="1">
      <alignment horizontal="centerContinuous" vertical="top"/>
    </xf>
    <xf numFmtId="10" fontId="21" fillId="0" borderId="5" xfId="9" applyNumberFormat="1" applyFont="1" applyFill="1" applyBorder="1" applyAlignment="1">
      <alignment horizontal="centerContinuous" vertical="top"/>
    </xf>
    <xf numFmtId="5" fontId="44" fillId="0" borderId="2" xfId="9" applyNumberFormat="1" applyFont="1" applyFill="1" applyBorder="1" applyAlignment="1">
      <alignment horizontal="center" vertical="top"/>
    </xf>
    <xf numFmtId="7" fontId="11" fillId="0" borderId="2" xfId="9" applyNumberFormat="1" applyFill="1" applyBorder="1">
      <alignment vertical="top"/>
    </xf>
    <xf numFmtId="7" fontId="11" fillId="0" borderId="2" xfId="9" applyNumberFormat="1" applyFill="1" applyBorder="1" applyAlignment="1">
      <alignment horizontal="center" vertical="top"/>
    </xf>
    <xf numFmtId="7" fontId="44" fillId="0" borderId="2" xfId="9" applyNumberFormat="1" applyFont="1" applyFill="1" applyBorder="1" applyAlignment="1">
      <alignment horizontal="center" vertical="top"/>
    </xf>
    <xf numFmtId="0" fontId="44" fillId="0" borderId="2" xfId="9" applyFont="1" applyFill="1" applyBorder="1" applyAlignment="1">
      <alignment horizontal="center" vertical="top"/>
    </xf>
    <xf numFmtId="0" fontId="44" fillId="0" borderId="16" xfId="9" applyFont="1" applyFill="1" applyBorder="1">
      <alignment vertical="top"/>
    </xf>
    <xf numFmtId="172" fontId="52" fillId="0" borderId="19" xfId="0" applyNumberFormat="1" applyFont="1" applyFill="1" applyBorder="1"/>
    <xf numFmtId="172" fontId="52" fillId="0" borderId="19" xfId="0" applyNumberFormat="1" applyFont="1" applyBorder="1"/>
    <xf numFmtId="172" fontId="52" fillId="0" borderId="0" xfId="0" applyNumberFormat="1" applyFont="1" applyBorder="1"/>
    <xf numFmtId="172" fontId="52" fillId="0" borderId="0" xfId="0" applyNumberFormat="1" applyFont="1" applyBorder="1" applyAlignment="1"/>
    <xf numFmtId="172" fontId="52" fillId="0" borderId="0" xfId="0" applyNumberFormat="1" applyFont="1" applyFill="1" applyBorder="1" applyAlignment="1"/>
    <xf numFmtId="172" fontId="52" fillId="0" borderId="19" xfId="0" applyNumberFormat="1" applyFont="1" applyFill="1" applyBorder="1" applyAlignment="1"/>
    <xf numFmtId="172" fontId="52" fillId="0" borderId="37" xfId="0" applyNumberFormat="1" applyFont="1" applyFill="1" applyBorder="1" applyAlignment="1"/>
    <xf numFmtId="172" fontId="52" fillId="0" borderId="19" xfId="0" applyNumberFormat="1" applyFont="1" applyBorder="1" applyAlignment="1"/>
    <xf numFmtId="172" fontId="58" fillId="0" borderId="0" xfId="0" applyNumberFormat="1" applyFont="1"/>
    <xf numFmtId="173" fontId="52" fillId="0" borderId="19" xfId="0" applyNumberFormat="1" applyFont="1" applyBorder="1"/>
    <xf numFmtId="173" fontId="58" fillId="0" borderId="0" xfId="0" applyNumberFormat="1" applyFont="1"/>
    <xf numFmtId="168" fontId="52" fillId="0" borderId="19" xfId="0" applyNumberFormat="1" applyFont="1" applyBorder="1"/>
    <xf numFmtId="168" fontId="52" fillId="0" borderId="0" xfId="3" applyNumberFormat="1" applyFont="1" applyBorder="1"/>
    <xf numFmtId="168" fontId="52" fillId="0" borderId="0" xfId="3" quotePrefix="1" applyNumberFormat="1" applyFont="1" applyBorder="1"/>
    <xf numFmtId="5" fontId="52" fillId="0" borderId="0" xfId="0" applyNumberFormat="1" applyFont="1"/>
    <xf numFmtId="186" fontId="52" fillId="0" borderId="0" xfId="0" applyNumberFormat="1" applyFont="1"/>
    <xf numFmtId="5" fontId="58" fillId="0" borderId="0" xfId="0" applyNumberFormat="1" applyFont="1" applyAlignment="1">
      <alignment horizontal="center"/>
    </xf>
    <xf numFmtId="168" fontId="52" fillId="0" borderId="13" xfId="0" applyNumberFormat="1" applyFont="1" applyBorder="1"/>
    <xf numFmtId="168" fontId="52" fillId="0" borderId="9" xfId="0" applyNumberFormat="1" applyFont="1" applyBorder="1"/>
    <xf numFmtId="168" fontId="54" fillId="0" borderId="19" xfId="0" applyNumberFormat="1" applyFont="1" applyBorder="1"/>
    <xf numFmtId="168" fontId="52" fillId="0" borderId="0" xfId="0" applyNumberFormat="1" applyFont="1" applyBorder="1" applyAlignment="1"/>
    <xf numFmtId="168" fontId="52" fillId="0" borderId="0" xfId="0" applyNumberFormat="1" applyFont="1" applyFill="1" applyBorder="1" applyAlignment="1"/>
    <xf numFmtId="168" fontId="52" fillId="0" borderId="37" xfId="0" applyNumberFormat="1" applyFont="1" applyFill="1" applyBorder="1" applyAlignment="1"/>
    <xf numFmtId="7" fontId="54" fillId="0" borderId="19" xfId="0" applyNumberFormat="1" applyFont="1" applyBorder="1"/>
    <xf numFmtId="168" fontId="54" fillId="0" borderId="0" xfId="0" applyNumberFormat="1" applyFont="1" applyBorder="1"/>
    <xf numFmtId="168" fontId="52" fillId="0" borderId="37" xfId="0" applyNumberFormat="1" applyFont="1" applyBorder="1"/>
    <xf numFmtId="7" fontId="58" fillId="0" borderId="0" xfId="0" applyNumberFormat="1" applyFont="1" applyFill="1" applyBorder="1" applyAlignment="1"/>
    <xf numFmtId="7" fontId="58" fillId="0" borderId="37" xfId="0" applyNumberFormat="1" applyFont="1" applyFill="1" applyBorder="1" applyAlignment="1"/>
    <xf numFmtId="0" fontId="51" fillId="0" borderId="0" xfId="0" applyFont="1" applyBorder="1" applyAlignment="1">
      <alignment horizontal="centerContinuous"/>
    </xf>
    <xf numFmtId="0" fontId="51" fillId="0" borderId="0" xfId="0" applyFont="1" applyBorder="1" applyAlignment="1">
      <alignment horizontal="left"/>
    </xf>
    <xf numFmtId="3" fontId="0" fillId="0" borderId="0" xfId="0" applyNumberFormat="1"/>
    <xf numFmtId="170" fontId="66" fillId="0" borderId="0" xfId="0" applyNumberFormat="1" applyFont="1" applyFill="1" applyBorder="1" applyAlignment="1"/>
    <xf numFmtId="170" fontId="66" fillId="0" borderId="19" xfId="0" applyNumberFormat="1" applyFont="1" applyFill="1" applyBorder="1" applyAlignment="1"/>
    <xf numFmtId="170" fontId="66" fillId="0" borderId="37" xfId="0" applyNumberFormat="1" applyFont="1" applyFill="1" applyBorder="1" applyAlignment="1"/>
    <xf numFmtId="44" fontId="52" fillId="0" borderId="0" xfId="2" applyFont="1" applyBorder="1"/>
    <xf numFmtId="167" fontId="58" fillId="0" borderId="0" xfId="1" applyNumberFormat="1" applyFont="1"/>
    <xf numFmtId="167" fontId="58" fillId="0" borderId="0" xfId="1" applyNumberFormat="1" applyFont="1" applyAlignment="1">
      <alignment horizontal="center"/>
    </xf>
    <xf numFmtId="7" fontId="4" fillId="0" borderId="0" xfId="9" applyNumberFormat="1" applyFont="1" applyBorder="1" applyAlignment="1">
      <alignment horizontal="center" vertical="top"/>
    </xf>
    <xf numFmtId="168" fontId="11" fillId="0" borderId="0" xfId="9" applyNumberFormat="1" applyBorder="1" applyAlignment="1">
      <alignment horizontal="center" vertical="top"/>
    </xf>
    <xf numFmtId="0" fontId="52" fillId="52" borderId="0" xfId="0" applyFont="1" applyFill="1"/>
    <xf numFmtId="171" fontId="52" fillId="52" borderId="0" xfId="0" applyNumberFormat="1" applyFont="1" applyFill="1"/>
    <xf numFmtId="0" fontId="52" fillId="52" borderId="0" xfId="0" applyFont="1" applyFill="1" applyBorder="1" applyAlignment="1">
      <alignment horizontal="center"/>
    </xf>
    <xf numFmtId="0" fontId="52" fillId="52" borderId="0" xfId="0" applyFont="1" applyFill="1" applyAlignment="1">
      <alignment horizontal="center"/>
    </xf>
    <xf numFmtId="0" fontId="52" fillId="52" borderId="14" xfId="0" applyFont="1" applyFill="1" applyBorder="1" applyAlignment="1">
      <alignment horizontal="center"/>
    </xf>
    <xf numFmtId="171" fontId="52" fillId="52" borderId="0" xfId="0" applyNumberFormat="1" applyFont="1" applyFill="1" applyBorder="1" applyAlignment="1"/>
    <xf numFmtId="0" fontId="58" fillId="52" borderId="40" xfId="0" applyFont="1" applyFill="1" applyBorder="1" applyAlignment="1">
      <alignment horizontal="center"/>
    </xf>
    <xf numFmtId="0" fontId="52" fillId="52" borderId="40" xfId="0" applyFont="1" applyFill="1" applyBorder="1" applyAlignment="1">
      <alignment horizontal="center"/>
    </xf>
    <xf numFmtId="0" fontId="0" fillId="52" borderId="0" xfId="0" applyFill="1" applyAlignment="1">
      <alignment vertical="top"/>
    </xf>
    <xf numFmtId="0" fontId="54" fillId="52" borderId="0" xfId="0" applyFont="1" applyFill="1" applyAlignment="1">
      <alignment horizontal="center"/>
    </xf>
    <xf numFmtId="14" fontId="54" fillId="52" borderId="0" xfId="0" applyNumberFormat="1" applyFont="1" applyFill="1" applyAlignment="1">
      <alignment horizontal="center"/>
    </xf>
    <xf numFmtId="0" fontId="54" fillId="52" borderId="14" xfId="0" applyFont="1" applyFill="1" applyBorder="1" applyAlignment="1">
      <alignment horizontal="center"/>
    </xf>
    <xf numFmtId="0" fontId="52" fillId="52" borderId="40" xfId="0" applyFont="1" applyFill="1" applyBorder="1"/>
    <xf numFmtId="7" fontId="3" fillId="0" borderId="36" xfId="9" applyNumberFormat="1" applyFont="1" applyFill="1" applyBorder="1">
      <alignment vertical="top"/>
    </xf>
    <xf numFmtId="7" fontId="3" fillId="0" borderId="37" xfId="9" applyNumberFormat="1" applyFont="1" applyFill="1" applyBorder="1">
      <alignment vertical="top"/>
    </xf>
    <xf numFmtId="7" fontId="3" fillId="0" borderId="38" xfId="9" applyNumberFormat="1" applyFont="1" applyFill="1" applyBorder="1">
      <alignment vertical="top"/>
    </xf>
    <xf numFmtId="168" fontId="3" fillId="0" borderId="36" xfId="9" applyNumberFormat="1" applyFont="1" applyFill="1" applyBorder="1" applyAlignment="1">
      <alignment horizontal="center" vertical="top"/>
    </xf>
    <xf numFmtId="7" fontId="4" fillId="0" borderId="37" xfId="9" applyNumberFormat="1" applyFont="1" applyFill="1" applyBorder="1" applyAlignment="1">
      <alignment horizontal="center" vertical="top"/>
    </xf>
    <xf numFmtId="7" fontId="3" fillId="0" borderId="38" xfId="9" applyNumberFormat="1" applyFont="1" applyFill="1" applyBorder="1" applyAlignment="1">
      <alignment horizontal="center" vertical="top"/>
    </xf>
    <xf numFmtId="7" fontId="51" fillId="0" borderId="0" xfId="0" applyNumberFormat="1" applyFont="1" applyBorder="1" applyAlignment="1">
      <alignment horizontal="center"/>
    </xf>
    <xf numFmtId="37" fontId="52" fillId="0" borderId="47" xfId="0" applyNumberFormat="1" applyFont="1" applyBorder="1"/>
    <xf numFmtId="0" fontId="59" fillId="0" borderId="14" xfId="0" applyFont="1" applyFill="1" applyBorder="1" applyAlignment="1">
      <alignment horizontal="center"/>
    </xf>
    <xf numFmtId="170" fontId="94" fillId="0" borderId="37" xfId="0" applyNumberFormat="1" applyFont="1" applyFill="1" applyBorder="1" applyAlignment="1"/>
    <xf numFmtId="183" fontId="58" fillId="0" borderId="0" xfId="0" applyNumberFormat="1" applyFont="1" applyFill="1"/>
    <xf numFmtId="171" fontId="58" fillId="0" borderId="19" xfId="0" applyNumberFormat="1" applyFont="1" applyFill="1" applyBorder="1"/>
    <xf numFmtId="171" fontId="94" fillId="0" borderId="19" xfId="0" applyNumberFormat="1" applyFont="1" applyFill="1" applyBorder="1"/>
    <xf numFmtId="171" fontId="58" fillId="0" borderId="0" xfId="0" applyNumberFormat="1" applyFont="1" applyFill="1" applyBorder="1"/>
    <xf numFmtId="171" fontId="94" fillId="0" borderId="0" xfId="0" applyNumberFormat="1" applyFont="1" applyFill="1" applyBorder="1"/>
    <xf numFmtId="171" fontId="58" fillId="0" borderId="0" xfId="0" applyNumberFormat="1" applyFont="1" applyFill="1" applyBorder="1" applyAlignment="1"/>
    <xf numFmtId="171" fontId="58" fillId="0" borderId="37" xfId="0" applyNumberFormat="1" applyFont="1" applyFill="1" applyBorder="1" applyAlignment="1"/>
    <xf numFmtId="171" fontId="93" fillId="0" borderId="19" xfId="0" applyNumberFormat="1" applyFont="1" applyFill="1" applyBorder="1"/>
    <xf numFmtId="14" fontId="93" fillId="0" borderId="0" xfId="0" applyNumberFormat="1" applyFont="1" applyFill="1" applyAlignment="1">
      <alignment horizontal="center"/>
    </xf>
    <xf numFmtId="168" fontId="52" fillId="0" borderId="19" xfId="0" applyNumberFormat="1" applyFont="1" applyFill="1" applyBorder="1"/>
    <xf numFmtId="168" fontId="52" fillId="0" borderId="0" xfId="0" applyNumberFormat="1" applyFont="1" applyFill="1" applyBorder="1"/>
    <xf numFmtId="168" fontId="54" fillId="0" borderId="19" xfId="0" applyNumberFormat="1" applyFont="1" applyFill="1" applyBorder="1"/>
    <xf numFmtId="168" fontId="54" fillId="0" borderId="0" xfId="0" applyNumberFormat="1" applyFont="1" applyFill="1" applyBorder="1"/>
    <xf numFmtId="168" fontId="52" fillId="0" borderId="37" xfId="0" applyNumberFormat="1" applyFont="1" applyFill="1" applyBorder="1"/>
    <xf numFmtId="39" fontId="52" fillId="0" borderId="19" xfId="0" applyNumberFormat="1" applyFont="1" applyFill="1" applyBorder="1"/>
    <xf numFmtId="39" fontId="52" fillId="0" borderId="0" xfId="0" applyNumberFormat="1" applyFont="1" applyFill="1"/>
    <xf numFmtId="7" fontId="52" fillId="0" borderId="0" xfId="0" applyNumberFormat="1" applyFont="1" applyFill="1"/>
    <xf numFmtId="0" fontId="53" fillId="0" borderId="0" xfId="0" applyFont="1"/>
    <xf numFmtId="7" fontId="51" fillId="0" borderId="0" xfId="0" applyNumberFormat="1" applyFont="1" applyBorder="1" applyAlignment="1">
      <alignment horizontal="centerContinuous"/>
    </xf>
    <xf numFmtId="49" fontId="124" fillId="0" borderId="0" xfId="9" applyNumberFormat="1" applyFont="1" applyFill="1" applyBorder="1" applyAlignment="1">
      <alignment horizontal="left"/>
    </xf>
    <xf numFmtId="7" fontId="124" fillId="0" borderId="0" xfId="9" applyNumberFormat="1" applyFont="1" applyFill="1" applyAlignment="1">
      <alignment horizontal="left" vertical="center"/>
    </xf>
    <xf numFmtId="7" fontId="4" fillId="0" borderId="0" xfId="9" applyNumberFormat="1" applyFont="1" applyBorder="1" applyAlignment="1">
      <alignment horizontal="center" vertical="top"/>
    </xf>
    <xf numFmtId="168" fontId="11" fillId="0" borderId="0" xfId="9" applyNumberFormat="1" applyBorder="1" applyAlignment="1">
      <alignment horizontal="center" vertical="top"/>
    </xf>
    <xf numFmtId="0" fontId="74" fillId="0" borderId="0" xfId="9" applyFont="1" applyFill="1" applyBorder="1">
      <alignment vertical="top"/>
    </xf>
    <xf numFmtId="0" fontId="54" fillId="0" borderId="12" xfId="0" applyFont="1" applyBorder="1" applyAlignment="1">
      <alignment horizontal="center"/>
    </xf>
    <xf numFmtId="0" fontId="52" fillId="0" borderId="11" xfId="0" applyFont="1" applyBorder="1" applyAlignment="1">
      <alignment horizontal="center"/>
    </xf>
    <xf numFmtId="171" fontId="52" fillId="0" borderId="20" xfId="0" applyNumberFormat="1" applyFont="1" applyBorder="1" applyAlignment="1">
      <alignment horizontal="center"/>
    </xf>
    <xf numFmtId="171" fontId="54" fillId="0" borderId="13" xfId="0" applyNumberFormat="1" applyFont="1" applyBorder="1" applyAlignment="1">
      <alignment horizontal="center"/>
    </xf>
    <xf numFmtId="168" fontId="52" fillId="0" borderId="9" xfId="3" applyNumberFormat="1" applyFont="1" applyBorder="1"/>
    <xf numFmtId="168" fontId="52" fillId="0" borderId="9" xfId="3" quotePrefix="1" applyNumberFormat="1" applyFont="1" applyBorder="1"/>
    <xf numFmtId="170" fontId="58" fillId="0" borderId="36" xfId="0" applyNumberFormat="1" applyFont="1" applyBorder="1" applyAlignment="1">
      <alignment horizontal="center"/>
    </xf>
    <xf numFmtId="168" fontId="52" fillId="0" borderId="38" xfId="0" applyNumberFormat="1" applyFont="1" applyBorder="1"/>
    <xf numFmtId="171" fontId="52" fillId="0" borderId="48" xfId="0" applyNumberFormat="1" applyFont="1" applyBorder="1"/>
    <xf numFmtId="171" fontId="52" fillId="0" borderId="48" xfId="0" applyNumberFormat="1" applyFont="1" applyBorder="1" applyAlignment="1">
      <alignment horizontal="left"/>
    </xf>
    <xf numFmtId="171" fontId="52" fillId="0" borderId="35" xfId="0" applyNumberFormat="1" applyFont="1" applyBorder="1"/>
    <xf numFmtId="171" fontId="52" fillId="0" borderId="0" xfId="0" applyNumberFormat="1" applyFont="1" applyFill="1" applyBorder="1" applyAlignment="1">
      <alignment horizontal="center"/>
    </xf>
    <xf numFmtId="0" fontId="52" fillId="0" borderId="4" xfId="9" applyFont="1" applyBorder="1">
      <alignment vertical="top"/>
    </xf>
    <xf numFmtId="7" fontId="4" fillId="0" borderId="0" xfId="9" applyNumberFormat="1" applyFont="1" applyBorder="1" applyAlignment="1">
      <alignment horizontal="center" vertical="top"/>
    </xf>
    <xf numFmtId="168" fontId="11" fillId="0" borderId="0" xfId="9" applyNumberFormat="1" applyBorder="1" applyAlignment="1">
      <alignment horizontal="center" vertical="top"/>
    </xf>
    <xf numFmtId="0" fontId="52" fillId="0" borderId="45" xfId="0" applyFont="1" applyBorder="1"/>
    <xf numFmtId="171" fontId="52" fillId="0" borderId="46" xfId="0" applyNumberFormat="1" applyFont="1" applyBorder="1"/>
    <xf numFmtId="171" fontId="52" fillId="0" borderId="9" xfId="0" applyNumberFormat="1" applyFont="1" applyBorder="1" applyAlignment="1">
      <alignment horizontal="center"/>
    </xf>
    <xf numFmtId="171" fontId="52" fillId="0" borderId="9" xfId="3" applyNumberFormat="1" applyFont="1" applyBorder="1"/>
    <xf numFmtId="171" fontId="52" fillId="0" borderId="9" xfId="3" quotePrefix="1" applyNumberFormat="1" applyFont="1" applyBorder="1"/>
    <xf numFmtId="171" fontId="52" fillId="0" borderId="38" xfId="0" applyNumberFormat="1" applyFont="1" applyBorder="1"/>
    <xf numFmtId="5" fontId="52" fillId="0" borderId="19" xfId="0" applyNumberFormat="1" applyFont="1" applyBorder="1"/>
    <xf numFmtId="5" fontId="52" fillId="0" borderId="0" xfId="3" applyNumberFormat="1" applyFont="1" applyBorder="1"/>
    <xf numFmtId="5" fontId="52" fillId="0" borderId="0" xfId="3" quotePrefix="1" applyNumberFormat="1" applyFont="1" applyBorder="1"/>
    <xf numFmtId="5" fontId="52" fillId="0" borderId="0" xfId="0" applyNumberFormat="1" applyFont="1" applyBorder="1"/>
    <xf numFmtId="37" fontId="52" fillId="0" borderId="44" xfId="0" applyNumberFormat="1" applyFont="1" applyBorder="1"/>
    <xf numFmtId="0" fontId="54" fillId="0" borderId="29" xfId="0" applyFont="1" applyFill="1" applyBorder="1" applyAlignment="1">
      <alignment horizontal="center"/>
    </xf>
    <xf numFmtId="0" fontId="54" fillId="0" borderId="50" xfId="0" applyFont="1" applyBorder="1" applyAlignment="1">
      <alignment horizontal="right"/>
    </xf>
    <xf numFmtId="0" fontId="93" fillId="48" borderId="0" xfId="0" applyFont="1" applyFill="1" applyBorder="1" applyAlignment="1">
      <alignment horizontal="center"/>
    </xf>
    <xf numFmtId="0" fontId="54" fillId="0" borderId="50" xfId="0" applyFont="1" applyFill="1" applyBorder="1" applyAlignment="1">
      <alignment horizontal="center"/>
    </xf>
    <xf numFmtId="39" fontId="52" fillId="0" borderId="0" xfId="0" applyNumberFormat="1" applyFont="1" applyFill="1" applyBorder="1"/>
    <xf numFmtId="7" fontId="51" fillId="0" borderId="0" xfId="0" applyNumberFormat="1" applyFont="1" applyFill="1" applyBorder="1" applyAlignment="1">
      <alignment horizontal="center"/>
    </xf>
    <xf numFmtId="14" fontId="52" fillId="0" borderId="0" xfId="0" applyNumberFormat="1" applyFont="1" applyFill="1" applyAlignment="1">
      <alignment horizontal="center"/>
    </xf>
    <xf numFmtId="0" fontId="52" fillId="0" borderId="0" xfId="0" applyFont="1" applyFill="1" applyAlignment="1">
      <alignment horizontal="center"/>
    </xf>
    <xf numFmtId="168" fontId="11" fillId="0" borderId="4" xfId="9" applyNumberFormat="1" applyFont="1" applyBorder="1" applyAlignment="1">
      <alignment horizontal="center" vertical="top"/>
    </xf>
    <xf numFmtId="167" fontId="52" fillId="0" borderId="0" xfId="0" applyNumberFormat="1" applyFont="1"/>
    <xf numFmtId="37" fontId="52" fillId="0" borderId="0" xfId="0" applyNumberFormat="1" applyFont="1" applyFill="1" applyBorder="1"/>
    <xf numFmtId="171" fontId="54" fillId="0" borderId="46" xfId="0" applyNumberFormat="1" applyFont="1" applyBorder="1" applyAlignment="1">
      <alignment horizontal="centerContinuous"/>
    </xf>
    <xf numFmtId="39" fontId="52" fillId="0" borderId="13" xfId="0" applyNumberFormat="1" applyFont="1" applyBorder="1"/>
    <xf numFmtId="186" fontId="52" fillId="0" borderId="19" xfId="0" applyNumberFormat="1" applyFont="1" applyFill="1" applyBorder="1"/>
    <xf numFmtId="186" fontId="52" fillId="0" borderId="19" xfId="0" applyNumberFormat="1" applyFont="1" applyBorder="1"/>
    <xf numFmtId="186" fontId="52" fillId="0" borderId="0" xfId="3" quotePrefix="1" applyNumberFormat="1" applyFont="1" applyBorder="1"/>
    <xf numFmtId="186" fontId="52" fillId="0" borderId="0" xfId="0" applyNumberFormat="1" applyFont="1" applyBorder="1"/>
    <xf numFmtId="186" fontId="52" fillId="0" borderId="0" xfId="3" applyNumberFormat="1" applyFont="1" applyBorder="1"/>
    <xf numFmtId="7" fontId="3" fillId="0" borderId="0" xfId="9" applyNumberFormat="1" applyFont="1" applyFill="1" applyAlignment="1">
      <alignment horizontal="left" vertical="center"/>
    </xf>
    <xf numFmtId="0" fontId="25" fillId="0" borderId="0" xfId="10" applyFont="1" applyFill="1"/>
    <xf numFmtId="164" fontId="52" fillId="0" borderId="30" xfId="0" applyNumberFormat="1" applyFont="1" applyFill="1" applyBorder="1" applyAlignment="1">
      <alignment horizontal="center"/>
    </xf>
    <xf numFmtId="0" fontId="47" fillId="10" borderId="8" xfId="0" applyFont="1" applyFill="1" applyBorder="1" applyAlignment="1">
      <alignment horizontal="left" vertical="top"/>
    </xf>
    <xf numFmtId="0" fontId="47" fillId="10" borderId="0" xfId="0" applyFont="1" applyFill="1" applyBorder="1" applyAlignment="1">
      <alignment horizontal="left" vertical="top" wrapText="1"/>
    </xf>
    <xf numFmtId="0" fontId="47" fillId="10" borderId="2" xfId="0" applyFont="1" applyFill="1" applyBorder="1" applyAlignment="1">
      <alignment horizontal="left" vertical="top" wrapText="1"/>
    </xf>
    <xf numFmtId="7" fontId="47" fillId="10" borderId="59" xfId="9" applyNumberFormat="1" applyFont="1" applyFill="1" applyBorder="1" applyAlignment="1">
      <alignment horizontal="center" vertical="top"/>
    </xf>
    <xf numFmtId="7" fontId="47" fillId="10" borderId="30" xfId="9" applyNumberFormat="1" applyFont="1" applyFill="1" applyBorder="1" applyAlignment="1">
      <alignment horizontal="center" vertical="top"/>
    </xf>
    <xf numFmtId="3" fontId="47" fillId="10" borderId="0" xfId="9" applyNumberFormat="1" applyFont="1" applyFill="1" applyBorder="1" applyAlignment="1">
      <alignment horizontal="center" vertical="top"/>
    </xf>
    <xf numFmtId="196" fontId="25" fillId="0" borderId="17" xfId="9" applyNumberFormat="1" applyFont="1" applyBorder="1" applyAlignment="1">
      <alignment horizontal="center" vertical="top"/>
    </xf>
    <xf numFmtId="196" fontId="25" fillId="0" borderId="8" xfId="9" applyNumberFormat="1" applyFont="1" applyBorder="1" applyAlignment="1">
      <alignment horizontal="center" vertical="top"/>
    </xf>
    <xf numFmtId="196" fontId="25" fillId="0" borderId="7" xfId="9" applyNumberFormat="1" applyFont="1" applyBorder="1" applyAlignment="1">
      <alignment horizontal="center" vertical="top"/>
    </xf>
    <xf numFmtId="196" fontId="3" fillId="0" borderId="8" xfId="9" applyNumberFormat="1" applyFont="1" applyBorder="1" applyAlignment="1">
      <alignment horizontal="center" vertical="top"/>
    </xf>
    <xf numFmtId="196" fontId="11" fillId="0" borderId="0" xfId="9" applyNumberFormat="1" applyAlignment="1">
      <alignment horizontal="center" vertical="top"/>
    </xf>
    <xf numFmtId="7" fontId="58" fillId="0" borderId="19" xfId="0" applyNumberFormat="1" applyFont="1" applyFill="1" applyBorder="1"/>
    <xf numFmtId="7" fontId="58" fillId="0" borderId="0" xfId="0" applyNumberFormat="1" applyFont="1" applyFill="1" applyBorder="1"/>
    <xf numFmtId="7" fontId="59" fillId="0" borderId="19" xfId="0" applyNumberFormat="1" applyFont="1" applyFill="1" applyBorder="1"/>
    <xf numFmtId="7" fontId="59" fillId="0" borderId="0" xfId="0" applyNumberFormat="1" applyFont="1" applyFill="1" applyBorder="1"/>
    <xf numFmtId="0" fontId="125" fillId="0" borderId="0" xfId="0" applyFont="1" applyFill="1"/>
    <xf numFmtId="166" fontId="54" fillId="0" borderId="53" xfId="11" applyNumberFormat="1" applyFont="1" applyFill="1" applyBorder="1"/>
    <xf numFmtId="0" fontId="93" fillId="53" borderId="0" xfId="0" applyFont="1" applyFill="1" applyBorder="1" applyAlignment="1">
      <alignment horizontal="center"/>
    </xf>
    <xf numFmtId="195" fontId="93" fillId="53" borderId="0" xfId="0" applyNumberFormat="1" applyFont="1" applyFill="1" applyBorder="1" applyAlignment="1">
      <alignment horizontal="center"/>
    </xf>
    <xf numFmtId="0" fontId="54" fillId="53" borderId="0" xfId="0" applyFont="1" applyFill="1" applyBorder="1" applyAlignment="1">
      <alignment horizontal="center"/>
    </xf>
    <xf numFmtId="0" fontId="87" fillId="0" borderId="0" xfId="0" applyFont="1" applyFill="1" applyBorder="1"/>
    <xf numFmtId="0" fontId="67" fillId="0" borderId="0" xfId="0" applyFont="1" applyFill="1" applyBorder="1"/>
    <xf numFmtId="171" fontId="87" fillId="0" borderId="0" xfId="0" applyNumberFormat="1" applyFont="1" applyFill="1" applyBorder="1"/>
    <xf numFmtId="0" fontId="55" fillId="0" borderId="0" xfId="0" applyFont="1" applyFill="1" applyBorder="1"/>
    <xf numFmtId="171" fontId="55" fillId="0" borderId="0" xfId="0" applyNumberFormat="1" applyFont="1" applyFill="1" applyBorder="1"/>
    <xf numFmtId="0" fontId="62" fillId="0" borderId="43" xfId="0" applyFont="1" applyFill="1" applyBorder="1"/>
    <xf numFmtId="171" fontId="55" fillId="0" borderId="41" xfId="0" applyNumberFormat="1" applyFont="1" applyFill="1" applyBorder="1"/>
    <xf numFmtId="0" fontId="54" fillId="0" borderId="0" xfId="0" applyFont="1" applyFill="1" applyBorder="1" applyAlignment="1">
      <alignment horizontal="centerContinuous"/>
    </xf>
    <xf numFmtId="171" fontId="62" fillId="0" borderId="0" xfId="0" applyNumberFormat="1" applyFont="1" applyFill="1" applyBorder="1" applyAlignment="1">
      <alignment horizontal="center"/>
    </xf>
    <xf numFmtId="0" fontId="58" fillId="0" borderId="0" xfId="0" applyFont="1" applyFill="1" applyBorder="1" applyAlignment="1">
      <alignment horizontal="center"/>
    </xf>
    <xf numFmtId="0" fontId="62" fillId="0" borderId="14" xfId="0" applyFont="1" applyFill="1" applyBorder="1" applyAlignment="1">
      <alignment horizontal="center"/>
    </xf>
    <xf numFmtId="0" fontId="58" fillId="0" borderId="14" xfId="0" applyFont="1" applyFill="1" applyBorder="1" applyAlignment="1">
      <alignment horizontal="center"/>
    </xf>
    <xf numFmtId="0" fontId="62" fillId="0" borderId="25" xfId="0" applyFont="1" applyFill="1" applyBorder="1" applyAlignment="1">
      <alignment horizontal="center"/>
    </xf>
    <xf numFmtId="0" fontId="54" fillId="0" borderId="26" xfId="0" applyFont="1" applyFill="1" applyBorder="1" applyAlignment="1">
      <alignment horizontal="right"/>
    </xf>
    <xf numFmtId="0" fontId="54" fillId="0" borderId="29" xfId="0" applyFont="1" applyFill="1" applyBorder="1" applyAlignment="1">
      <alignment horizontal="right"/>
    </xf>
    <xf numFmtId="172" fontId="8" fillId="0" borderId="8" xfId="0" applyNumberFormat="1" applyFont="1" applyFill="1" applyBorder="1"/>
    <xf numFmtId="171" fontId="8" fillId="0" borderId="0" xfId="0" applyNumberFormat="1" applyFont="1" applyFill="1" applyBorder="1"/>
    <xf numFmtId="171" fontId="8" fillId="0" borderId="2" xfId="0" applyNumberFormat="1" applyFont="1" applyFill="1" applyBorder="1"/>
    <xf numFmtId="171" fontId="8" fillId="0" borderId="14" xfId="0" applyNumberFormat="1" applyFont="1" applyFill="1" applyBorder="1"/>
    <xf numFmtId="171" fontId="8" fillId="0" borderId="16" xfId="0" applyNumberFormat="1" applyFont="1" applyFill="1" applyBorder="1"/>
    <xf numFmtId="170" fontId="94" fillId="0" borderId="19" xfId="0" applyNumberFormat="1" applyFont="1" applyFill="1" applyBorder="1" applyAlignment="1"/>
    <xf numFmtId="170" fontId="94" fillId="0" borderId="0" xfId="0" applyNumberFormat="1" applyFont="1" applyFill="1" applyBorder="1" applyAlignment="1"/>
    <xf numFmtId="7" fontId="4" fillId="0" borderId="0" xfId="9" applyNumberFormat="1" applyFont="1" applyBorder="1" applyAlignment="1">
      <alignment horizontal="center" vertical="top"/>
    </xf>
    <xf numFmtId="168" fontId="11" fillId="0" borderId="0" xfId="9" applyNumberFormat="1" applyBorder="1" applyAlignment="1">
      <alignment horizontal="center" vertical="top"/>
    </xf>
    <xf numFmtId="43" fontId="52" fillId="0" borderId="0" xfId="1" applyFont="1" applyFill="1" applyBorder="1" applyAlignment="1">
      <alignment horizontal="centerContinuous"/>
    </xf>
    <xf numFmtId="3" fontId="93" fillId="0" borderId="0" xfId="5" applyFont="1" applyFill="1" applyBorder="1"/>
    <xf numFmtId="0" fontId="93" fillId="0" borderId="0" xfId="0" applyFont="1" applyFill="1" applyBorder="1"/>
    <xf numFmtId="0" fontId="93" fillId="0" borderId="0" xfId="0" applyFont="1"/>
    <xf numFmtId="7" fontId="11" fillId="0" borderId="0" xfId="9" applyNumberFormat="1" applyAlignment="1">
      <alignment horizontal="center"/>
    </xf>
    <xf numFmtId="0" fontId="47" fillId="10" borderId="0" xfId="0" applyFont="1" applyFill="1" applyBorder="1" applyAlignment="1">
      <alignment horizontal="left" vertical="top" wrapText="1"/>
    </xf>
    <xf numFmtId="7" fontId="3" fillId="10" borderId="26" xfId="9" applyNumberFormat="1" applyFont="1" applyFill="1" applyBorder="1" applyAlignment="1">
      <alignment vertical="top"/>
    </xf>
    <xf numFmtId="7" fontId="3" fillId="10" borderId="0" xfId="9" applyNumberFormat="1" applyFont="1" applyFill="1" applyBorder="1" applyAlignment="1">
      <alignment vertical="top"/>
    </xf>
    <xf numFmtId="173" fontId="47" fillId="10" borderId="58" xfId="9" applyNumberFormat="1" applyFont="1" applyFill="1" applyBorder="1" applyAlignment="1">
      <alignment horizontal="center" vertical="top"/>
    </xf>
    <xf numFmtId="173" fontId="47" fillId="10" borderId="53" xfId="9" applyNumberFormat="1" applyFont="1" applyFill="1" applyBorder="1" applyAlignment="1">
      <alignment horizontal="center" vertical="top"/>
    </xf>
    <xf numFmtId="7" fontId="3" fillId="0" borderId="0" xfId="9" applyNumberFormat="1" applyFont="1" applyFill="1" applyAlignment="1">
      <alignment vertical="top"/>
    </xf>
    <xf numFmtId="43" fontId="52" fillId="0" borderId="0" xfId="1" applyFont="1" applyBorder="1"/>
    <xf numFmtId="43" fontId="61" fillId="0" borderId="0" xfId="1" applyFont="1" applyBorder="1"/>
    <xf numFmtId="43" fontId="54" fillId="0" borderId="0" xfId="1" applyFont="1" applyBorder="1" applyAlignment="1">
      <alignment horizontal="right"/>
    </xf>
    <xf numFmtId="197" fontId="52" fillId="0" borderId="0" xfId="1" applyNumberFormat="1" applyFont="1" applyBorder="1"/>
    <xf numFmtId="197" fontId="61" fillId="0" borderId="0" xfId="1" applyNumberFormat="1" applyFont="1" applyBorder="1"/>
    <xf numFmtId="197" fontId="54" fillId="0" borderId="0" xfId="1" applyNumberFormat="1" applyFont="1" applyBorder="1" applyAlignment="1">
      <alignment horizontal="right"/>
    </xf>
    <xf numFmtId="198" fontId="52" fillId="0" borderId="0" xfId="1" applyNumberFormat="1" applyFont="1" applyBorder="1"/>
    <xf numFmtId="198" fontId="61" fillId="0" borderId="0" xfId="1" applyNumberFormat="1" applyFont="1" applyBorder="1"/>
    <xf numFmtId="198" fontId="54" fillId="0" borderId="0" xfId="1" applyNumberFormat="1" applyFont="1" applyBorder="1" applyAlignment="1">
      <alignment horizontal="right"/>
    </xf>
    <xf numFmtId="198" fontId="52" fillId="0" borderId="0" xfId="1" applyNumberFormat="1" applyFont="1" applyBorder="1" applyAlignment="1">
      <alignment horizontal="right"/>
    </xf>
    <xf numFmtId="199" fontId="123" fillId="0" borderId="0" xfId="0" applyNumberFormat="1" applyFont="1" applyBorder="1"/>
    <xf numFmtId="200" fontId="25" fillId="0" borderId="0" xfId="9" applyNumberFormat="1" applyFont="1" applyFill="1" applyAlignment="1">
      <alignment vertical="top"/>
    </xf>
    <xf numFmtId="7" fontId="11" fillId="0" borderId="22" xfId="9" applyNumberFormat="1" applyFill="1" applyBorder="1">
      <alignment vertical="top"/>
    </xf>
    <xf numFmtId="7" fontId="11" fillId="0" borderId="10" xfId="9" applyNumberFormat="1" applyFill="1" applyBorder="1">
      <alignment vertical="top"/>
    </xf>
    <xf numFmtId="0" fontId="11" fillId="0" borderId="10" xfId="9" applyFill="1" applyBorder="1">
      <alignment vertical="top"/>
    </xf>
    <xf numFmtId="7" fontId="11" fillId="0" borderId="16" xfId="9" applyNumberFormat="1" applyFill="1" applyBorder="1">
      <alignment vertical="top"/>
    </xf>
    <xf numFmtId="183" fontId="8" fillId="10" borderId="2" xfId="9" applyNumberFormat="1" applyFont="1" applyFill="1" applyBorder="1" applyAlignment="1">
      <alignment horizontal="center" vertical="top"/>
    </xf>
    <xf numFmtId="172" fontId="8" fillId="0" borderId="7" xfId="0" applyNumberFormat="1" applyFont="1" applyFill="1" applyBorder="1"/>
    <xf numFmtId="172" fontId="58" fillId="0" borderId="0" xfId="0" applyNumberFormat="1" applyFont="1" applyFill="1"/>
    <xf numFmtId="7" fontId="51" fillId="0" borderId="0" xfId="2" applyNumberFormat="1" applyFont="1" applyFill="1" applyBorder="1" applyAlignment="1">
      <alignment horizontal="center"/>
    </xf>
    <xf numFmtId="0" fontId="52" fillId="0" borderId="14" xfId="0" applyFont="1" applyFill="1" applyBorder="1" applyAlignment="1">
      <alignment horizontal="center"/>
    </xf>
    <xf numFmtId="7" fontId="52" fillId="0" borderId="0" xfId="0" applyNumberFormat="1" applyFont="1" applyFill="1" applyBorder="1"/>
    <xf numFmtId="7" fontId="54" fillId="0" borderId="19" xfId="0" applyNumberFormat="1" applyFont="1" applyFill="1" applyBorder="1"/>
    <xf numFmtId="0" fontId="60" fillId="0" borderId="40" xfId="0" applyFont="1" applyFill="1" applyBorder="1" applyAlignment="1">
      <alignment horizontal="center"/>
    </xf>
    <xf numFmtId="0" fontId="0" fillId="0" borderId="0" xfId="0" applyFill="1" applyAlignment="1">
      <alignment vertical="top"/>
    </xf>
    <xf numFmtId="0" fontId="55" fillId="0" borderId="0" xfId="0" applyFont="1" applyFill="1"/>
    <xf numFmtId="171" fontId="55" fillId="0" borderId="0" xfId="0" applyNumberFormat="1" applyFont="1" applyFill="1"/>
    <xf numFmtId="168" fontId="55" fillId="0" borderId="0" xfId="0" applyNumberFormat="1" applyFont="1" applyFill="1"/>
    <xf numFmtId="194" fontId="55" fillId="0" borderId="0" xfId="0" applyNumberFormat="1" applyFont="1" applyFill="1"/>
    <xf numFmtId="0" fontId="62" fillId="0" borderId="0" xfId="0" applyFont="1" applyFill="1"/>
    <xf numFmtId="0" fontId="62" fillId="0" borderId="0" xfId="0" applyFont="1" applyFill="1" applyAlignment="1">
      <alignment horizontal="center"/>
    </xf>
    <xf numFmtId="14" fontId="62" fillId="0" borderId="0" xfId="0" applyNumberFormat="1" applyFont="1" applyFill="1" applyAlignment="1">
      <alignment horizontal="center"/>
    </xf>
    <xf numFmtId="0" fontId="62" fillId="0" borderId="19" xfId="0" applyFont="1" applyFill="1" applyBorder="1" applyAlignment="1">
      <alignment horizontal="center"/>
    </xf>
    <xf numFmtId="172" fontId="55" fillId="0" borderId="19" xfId="0" applyNumberFormat="1" applyFont="1" applyFill="1" applyBorder="1"/>
    <xf numFmtId="172" fontId="55" fillId="0" borderId="0" xfId="0" applyNumberFormat="1" applyFont="1" applyFill="1" applyBorder="1"/>
    <xf numFmtId="0" fontId="55" fillId="0" borderId="40" xfId="0" applyFont="1" applyFill="1" applyBorder="1"/>
    <xf numFmtId="0" fontId="91" fillId="0" borderId="0" xfId="0" applyFont="1" applyBorder="1" applyAlignment="1">
      <alignment wrapText="1"/>
    </xf>
    <xf numFmtId="0" fontId="2" fillId="0" borderId="0" xfId="0" applyFont="1" applyAlignment="1">
      <alignment wrapText="1"/>
    </xf>
    <xf numFmtId="0" fontId="0" fillId="0" borderId="0" xfId="0" applyAlignment="1">
      <alignment wrapText="1"/>
    </xf>
    <xf numFmtId="37" fontId="91" fillId="0" borderId="0" xfId="0" applyNumberFormat="1" applyFont="1" applyAlignment="1" applyProtection="1">
      <alignment horizontal="left" wrapText="1"/>
    </xf>
    <xf numFmtId="0" fontId="54" fillId="48" borderId="0" xfId="0" applyFont="1" applyFill="1" applyBorder="1" applyAlignment="1">
      <alignment horizontal="center" wrapText="1"/>
    </xf>
    <xf numFmtId="0" fontId="53" fillId="49" borderId="0" xfId="0" applyFont="1" applyFill="1" applyBorder="1" applyAlignment="1">
      <alignment horizontal="center" wrapText="1"/>
    </xf>
    <xf numFmtId="37" fontId="54" fillId="10" borderId="44" xfId="0" applyNumberFormat="1" applyFont="1" applyFill="1" applyBorder="1" applyAlignment="1">
      <alignment horizontal="center"/>
    </xf>
    <xf numFmtId="37" fontId="54" fillId="10" borderId="45" xfId="0" applyNumberFormat="1" applyFont="1" applyFill="1" applyBorder="1" applyAlignment="1">
      <alignment horizontal="center"/>
    </xf>
    <xf numFmtId="37" fontId="54" fillId="10" borderId="46" xfId="0" applyNumberFormat="1" applyFont="1" applyFill="1" applyBorder="1" applyAlignment="1">
      <alignment horizontal="center"/>
    </xf>
    <xf numFmtId="0" fontId="54" fillId="0" borderId="27" xfId="0" applyFont="1" applyBorder="1" applyAlignment="1">
      <alignment horizontal="center" wrapText="1"/>
    </xf>
    <xf numFmtId="0" fontId="0" fillId="0" borderId="9" xfId="0" applyBorder="1" applyAlignment="1">
      <alignment horizontal="center" wrapText="1"/>
    </xf>
    <xf numFmtId="37" fontId="54" fillId="0" borderId="12" xfId="0" applyNumberFormat="1" applyFont="1" applyBorder="1" applyAlignment="1">
      <alignment horizontal="center"/>
    </xf>
    <xf numFmtId="37" fontId="54" fillId="0" borderId="11" xfId="0" applyNumberFormat="1" applyFont="1" applyBorder="1" applyAlignment="1">
      <alignment horizontal="center"/>
    </xf>
    <xf numFmtId="37" fontId="54" fillId="0" borderId="20" xfId="0" applyNumberFormat="1" applyFont="1" applyBorder="1" applyAlignment="1">
      <alignment horizontal="center"/>
    </xf>
    <xf numFmtId="37" fontId="54" fillId="0" borderId="44" xfId="0" applyNumberFormat="1" applyFont="1" applyBorder="1" applyAlignment="1">
      <alignment horizontal="center"/>
    </xf>
    <xf numFmtId="37" fontId="54" fillId="0" borderId="45" xfId="0" applyNumberFormat="1" applyFont="1" applyBorder="1" applyAlignment="1">
      <alignment horizontal="center"/>
    </xf>
    <xf numFmtId="37" fontId="54" fillId="0" borderId="46" xfId="0" applyNumberFormat="1" applyFont="1" applyBorder="1" applyAlignment="1">
      <alignment horizontal="center"/>
    </xf>
    <xf numFmtId="0" fontId="47" fillId="10" borderId="8"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2" xfId="0" applyFont="1" applyFill="1" applyBorder="1" applyAlignment="1">
      <alignment horizontal="left" vertical="top" wrapText="1"/>
    </xf>
    <xf numFmtId="174" fontId="71" fillId="0" borderId="0" xfId="9" applyNumberFormat="1" applyFont="1" applyBorder="1" applyAlignment="1">
      <alignment horizontal="center" vertical="top"/>
    </xf>
    <xf numFmtId="0" fontId="16" fillId="0" borderId="0" xfId="9" applyFont="1" applyBorder="1" applyAlignment="1">
      <alignment horizontal="center"/>
    </xf>
    <xf numFmtId="0" fontId="11" fillId="0" borderId="0" xfId="9" applyBorder="1" applyAlignment="1">
      <alignment horizontal="right" vertical="top" textRotation="180"/>
    </xf>
    <xf numFmtId="0" fontId="4" fillId="0" borderId="12" xfId="9" applyFont="1" applyBorder="1" applyAlignment="1">
      <alignment horizontal="center" vertical="top"/>
    </xf>
    <xf numFmtId="0" fontId="4" fillId="0" borderId="20" xfId="9" applyFont="1" applyBorder="1" applyAlignment="1">
      <alignment horizontal="center" vertical="top"/>
    </xf>
    <xf numFmtId="0" fontId="5" fillId="0" borderId="5" xfId="9" applyFont="1" applyBorder="1" applyAlignment="1">
      <alignment horizontal="center" vertical="top"/>
    </xf>
    <xf numFmtId="0" fontId="5" fillId="0" borderId="9" xfId="9" applyFont="1" applyBorder="1" applyAlignment="1">
      <alignment horizontal="center" vertical="top"/>
    </xf>
    <xf numFmtId="0" fontId="5" fillId="0" borderId="0" xfId="9" applyFont="1" applyBorder="1" applyAlignment="1">
      <alignment horizontal="center" vertical="top"/>
    </xf>
    <xf numFmtId="0" fontId="32" fillId="0" borderId="5" xfId="9" applyFont="1" applyBorder="1" applyAlignment="1">
      <alignment horizontal="center" vertical="top"/>
    </xf>
    <xf numFmtId="0" fontId="32" fillId="0" borderId="0" xfId="9" applyFont="1" applyBorder="1" applyAlignment="1">
      <alignment horizontal="center" vertical="top"/>
    </xf>
    <xf numFmtId="0" fontId="4" fillId="0" borderId="11" xfId="9" applyFont="1" applyBorder="1" applyAlignment="1">
      <alignment horizontal="center" vertical="top"/>
    </xf>
    <xf numFmtId="0" fontId="3" fillId="0" borderId="5" xfId="9" applyFont="1" applyBorder="1" applyAlignment="1">
      <alignment horizontal="center" vertical="top"/>
    </xf>
    <xf numFmtId="0" fontId="3" fillId="0" borderId="9" xfId="9" applyFont="1" applyBorder="1" applyAlignment="1">
      <alignment horizontal="center" vertical="top"/>
    </xf>
    <xf numFmtId="0" fontId="25" fillId="0" borderId="6" xfId="9" applyFont="1" applyBorder="1" applyAlignment="1">
      <alignment horizontal="center" vertical="top" wrapText="1"/>
    </xf>
    <xf numFmtId="0" fontId="25" fillId="0" borderId="13" xfId="9" applyFont="1" applyBorder="1" applyAlignment="1">
      <alignment horizontal="center" vertical="top" wrapText="1"/>
    </xf>
    <xf numFmtId="0" fontId="19" fillId="0" borderId="0" xfId="9" applyFont="1" applyBorder="1" applyAlignment="1">
      <alignment horizontal="right" vertical="top" textRotation="180"/>
    </xf>
    <xf numFmtId="0" fontId="32" fillId="0" borderId="9" xfId="9" applyFont="1" applyBorder="1" applyAlignment="1">
      <alignment horizontal="center" vertical="top"/>
    </xf>
    <xf numFmtId="0" fontId="3" fillId="0" borderId="0" xfId="9" applyFont="1" applyBorder="1" applyAlignment="1">
      <alignment horizontal="center" vertical="top"/>
    </xf>
    <xf numFmtId="0" fontId="4" fillId="0" borderId="0" xfId="9" applyFont="1" applyBorder="1" applyAlignment="1">
      <alignment horizontal="center" vertical="top"/>
    </xf>
    <xf numFmtId="0" fontId="4" fillId="0" borderId="9" xfId="9" applyFont="1" applyBorder="1" applyAlignment="1">
      <alignment horizontal="center" vertical="top"/>
    </xf>
    <xf numFmtId="0" fontId="19" fillId="0" borderId="0" xfId="9" applyFont="1" applyBorder="1" applyAlignment="1">
      <alignment horizontal="left"/>
    </xf>
    <xf numFmtId="0" fontId="4" fillId="0" borderId="5" xfId="9" applyFont="1" applyBorder="1" applyAlignment="1">
      <alignment horizontal="center" vertical="top"/>
    </xf>
    <xf numFmtId="0" fontId="5" fillId="0" borderId="11" xfId="9" applyFont="1" applyBorder="1" applyAlignment="1">
      <alignment horizontal="center" vertical="top"/>
    </xf>
    <xf numFmtId="0" fontId="5" fillId="0" borderId="20" xfId="9" applyFont="1" applyBorder="1" applyAlignment="1">
      <alignment horizontal="center" vertical="top"/>
    </xf>
    <xf numFmtId="0" fontId="39" fillId="0" borderId="0" xfId="10" applyFont="1" applyBorder="1" applyAlignment="1">
      <alignment horizontal="right" vertical="top" textRotation="180"/>
    </xf>
    <xf numFmtId="7" fontId="11" fillId="0" borderId="0" xfId="9" applyNumberFormat="1" applyAlignment="1">
      <alignment horizontal="right" vertical="top" textRotation="180"/>
    </xf>
    <xf numFmtId="0" fontId="10" fillId="0" borderId="0" xfId="10" applyBorder="1" applyAlignment="1">
      <alignment horizontal="right" vertical="top" textRotation="180"/>
    </xf>
    <xf numFmtId="7" fontId="11" fillId="0" borderId="0" xfId="9" applyNumberFormat="1" applyAlignment="1">
      <alignment vertical="top"/>
    </xf>
    <xf numFmtId="0" fontId="3" fillId="0" borderId="5" xfId="9" applyFont="1" applyBorder="1" applyAlignment="1">
      <alignment horizontal="left" vertical="top" wrapText="1"/>
    </xf>
    <xf numFmtId="7" fontId="11" fillId="0" borderId="9" xfId="9" applyNumberFormat="1" applyBorder="1" applyAlignment="1">
      <alignment vertical="top" wrapText="1"/>
    </xf>
    <xf numFmtId="0" fontId="3" fillId="0" borderId="6" xfId="9" applyFont="1" applyBorder="1" applyAlignment="1">
      <alignment horizontal="left" vertical="top" wrapText="1"/>
    </xf>
    <xf numFmtId="7" fontId="11" fillId="0" borderId="13" xfId="9" applyNumberFormat="1" applyBorder="1" applyAlignment="1">
      <alignment vertical="top" wrapText="1"/>
    </xf>
    <xf numFmtId="7" fontId="5" fillId="0" borderId="5" xfId="9" applyNumberFormat="1" applyFont="1" applyBorder="1" applyAlignment="1">
      <alignment horizontal="center" vertical="top"/>
    </xf>
    <xf numFmtId="7" fontId="5" fillId="0" borderId="9" xfId="9" applyNumberFormat="1" applyFont="1" applyBorder="1" applyAlignment="1">
      <alignment horizontal="center" vertical="top"/>
    </xf>
    <xf numFmtId="0" fontId="19" fillId="0" borderId="0" xfId="9" applyFont="1" applyAlignment="1">
      <alignment horizontal="left" vertical="center" wrapText="1"/>
    </xf>
    <xf numFmtId="0" fontId="19" fillId="0" borderId="0" xfId="9" applyFont="1" applyAlignment="1">
      <alignment horizontal="left" vertical="center"/>
    </xf>
    <xf numFmtId="0" fontId="5" fillId="0" borderId="12" xfId="9" applyFont="1" applyBorder="1" applyAlignment="1">
      <alignment horizontal="center" vertical="top"/>
    </xf>
    <xf numFmtId="7" fontId="4" fillId="0" borderId="5" xfId="9" applyNumberFormat="1" applyFont="1" applyBorder="1" applyAlignment="1">
      <alignment horizontal="center" vertical="top"/>
    </xf>
    <xf numFmtId="7" fontId="4" fillId="0" borderId="9" xfId="9" applyNumberFormat="1" applyFont="1" applyBorder="1" applyAlignment="1">
      <alignment horizontal="center" vertical="top"/>
    </xf>
    <xf numFmtId="7" fontId="4" fillId="0" borderId="12" xfId="9" applyNumberFormat="1" applyFont="1" applyBorder="1" applyAlignment="1">
      <alignment horizontal="center" vertical="top"/>
    </xf>
    <xf numFmtId="7" fontId="4" fillId="0" borderId="20" xfId="9" applyNumberFormat="1" applyFont="1" applyBorder="1" applyAlignment="1">
      <alignment horizontal="center" vertical="top"/>
    </xf>
    <xf numFmtId="7" fontId="4" fillId="0" borderId="0" xfId="9" applyNumberFormat="1" applyFont="1" applyBorder="1" applyAlignment="1">
      <alignment horizontal="center" vertical="top"/>
    </xf>
    <xf numFmtId="0" fontId="38" fillId="0" borderId="0" xfId="9" applyFont="1" applyAlignment="1">
      <alignment horizontal="left"/>
    </xf>
    <xf numFmtId="0" fontId="9" fillId="0" borderId="36" xfId="9" applyFont="1" applyBorder="1" applyAlignment="1">
      <alignment horizontal="center" vertical="top"/>
    </xf>
    <xf numFmtId="0" fontId="9" fillId="0" borderId="37" xfId="9" applyFont="1" applyBorder="1" applyAlignment="1">
      <alignment horizontal="center" vertical="top"/>
    </xf>
    <xf numFmtId="0" fontId="9" fillId="0" borderId="38" xfId="9" applyFont="1" applyBorder="1" applyAlignment="1">
      <alignment horizontal="center" vertical="top"/>
    </xf>
    <xf numFmtId="0" fontId="38" fillId="0" borderId="43" xfId="9" applyFont="1" applyBorder="1" applyAlignment="1">
      <alignment horizontal="center" vertical="top"/>
    </xf>
    <xf numFmtId="0" fontId="38" fillId="0" borderId="40" xfId="9" applyFont="1" applyBorder="1" applyAlignment="1">
      <alignment horizontal="center" vertical="top"/>
    </xf>
    <xf numFmtId="0" fontId="38" fillId="0" borderId="41" xfId="9" applyFont="1" applyBorder="1" applyAlignment="1">
      <alignment horizontal="center" vertical="top"/>
    </xf>
    <xf numFmtId="172" fontId="9" fillId="0" borderId="25" xfId="9" applyNumberFormat="1" applyFont="1" applyBorder="1" applyAlignment="1">
      <alignment horizontal="center" vertical="top"/>
    </xf>
    <xf numFmtId="172" fontId="9" fillId="0" borderId="26" xfId="9" applyNumberFormat="1" applyFont="1" applyBorder="1" applyAlignment="1">
      <alignment horizontal="center" vertical="top"/>
    </xf>
    <xf numFmtId="172" fontId="9" fillId="0" borderId="29" xfId="9" applyNumberFormat="1" applyFont="1" applyBorder="1" applyAlignment="1">
      <alignment horizontal="center" vertical="top"/>
    </xf>
    <xf numFmtId="0" fontId="40" fillId="0" borderId="0" xfId="9" applyFont="1" applyAlignment="1">
      <alignment horizontal="center" vertical="top"/>
    </xf>
    <xf numFmtId="0" fontId="48" fillId="0" borderId="0" xfId="9" applyFont="1" applyAlignment="1">
      <alignment horizontal="center" vertical="top"/>
    </xf>
    <xf numFmtId="0" fontId="48" fillId="0" borderId="0" xfId="9" applyFont="1" applyFill="1" applyAlignment="1">
      <alignment horizontal="center" vertical="top"/>
    </xf>
    <xf numFmtId="0" fontId="23" fillId="0" borderId="0" xfId="9" applyFont="1" applyAlignment="1">
      <alignment horizontal="left" vertical="top"/>
    </xf>
    <xf numFmtId="0" fontId="47" fillId="0" borderId="0" xfId="9" applyFont="1" applyAlignment="1">
      <alignment horizontal="center" vertical="top"/>
    </xf>
    <xf numFmtId="0" fontId="44" fillId="0" borderId="0" xfId="9" applyFont="1" applyAlignment="1">
      <alignment horizontal="left" vertical="top"/>
    </xf>
    <xf numFmtId="7" fontId="121" fillId="0" borderId="0" xfId="9" applyNumberFormat="1" applyFont="1" applyAlignment="1">
      <alignment horizontal="center" vertical="top"/>
    </xf>
    <xf numFmtId="0" fontId="9" fillId="0" borderId="0" xfId="9" applyFont="1" applyAlignment="1">
      <alignment horizontal="left" wrapText="1"/>
    </xf>
    <xf numFmtId="168" fontId="11" fillId="0" borderId="0" xfId="9" applyNumberFormat="1" applyBorder="1" applyAlignment="1">
      <alignment horizontal="center" vertical="top"/>
    </xf>
    <xf numFmtId="0" fontId="9" fillId="0" borderId="0" xfId="9" applyFont="1" applyAlignment="1">
      <alignment horizontal="center" vertical="center"/>
    </xf>
    <xf numFmtId="7" fontId="4" fillId="0" borderId="36" xfId="9" applyNumberFormat="1" applyFont="1" applyBorder="1" applyAlignment="1">
      <alignment horizontal="center" vertical="top"/>
    </xf>
    <xf numFmtId="7" fontId="4" fillId="0" borderId="37" xfId="9" applyNumberFormat="1" applyFont="1" applyBorder="1" applyAlignment="1">
      <alignment horizontal="center" vertical="top"/>
    </xf>
    <xf numFmtId="7" fontId="4" fillId="0" borderId="38" xfId="9" applyNumberFormat="1" applyFont="1" applyBorder="1" applyAlignment="1">
      <alignment horizontal="center" vertical="top"/>
    </xf>
    <xf numFmtId="7" fontId="4" fillId="0" borderId="0" xfId="9" applyNumberFormat="1" applyFont="1" applyBorder="1" applyAlignment="1">
      <alignment horizontal="center" vertical="top" wrapText="1"/>
    </xf>
    <xf numFmtId="7" fontId="11" fillId="0" borderId="0" xfId="9" applyNumberFormat="1" applyBorder="1" applyAlignment="1">
      <alignment horizontal="center" vertical="top" wrapText="1"/>
    </xf>
    <xf numFmtId="0" fontId="21" fillId="0" borderId="0" xfId="9" applyFont="1" applyAlignment="1">
      <alignment horizontal="left" vertical="top"/>
    </xf>
    <xf numFmtId="0" fontId="9" fillId="0" borderId="0" xfId="9" applyFont="1" applyAlignment="1">
      <alignment horizontal="left" vertical="top" wrapText="1"/>
    </xf>
    <xf numFmtId="0" fontId="25" fillId="0" borderId="19" xfId="9" applyFont="1" applyBorder="1" applyAlignment="1">
      <alignment horizontal="center" vertical="top"/>
    </xf>
    <xf numFmtId="7" fontId="4" fillId="0" borderId="0" xfId="9" applyNumberFormat="1" applyFont="1" applyAlignment="1">
      <alignment horizontal="center" vertical="top"/>
    </xf>
    <xf numFmtId="0" fontId="43" fillId="0" borderId="0" xfId="7" applyFont="1" applyAlignment="1">
      <alignment horizontal="left" vertical="top" wrapText="1"/>
    </xf>
    <xf numFmtId="0" fontId="22" fillId="0" borderId="0" xfId="9" applyFont="1" applyAlignment="1">
      <alignment horizontal="center" vertical="top"/>
    </xf>
    <xf numFmtId="0" fontId="25" fillId="0" borderId="0" xfId="9" applyNumberFormat="1" applyFont="1" applyAlignment="1">
      <alignment horizontal="center" vertical="top"/>
    </xf>
    <xf numFmtId="7" fontId="4" fillId="0" borderId="25" xfId="9" applyNumberFormat="1" applyFont="1" applyBorder="1" applyAlignment="1">
      <alignment horizontal="center" vertical="top"/>
    </xf>
    <xf numFmtId="7" fontId="4" fillId="0" borderId="26" xfId="9" applyNumberFormat="1" applyFont="1" applyBorder="1" applyAlignment="1">
      <alignment horizontal="center" vertical="top"/>
    </xf>
    <xf numFmtId="7" fontId="4" fillId="0" borderId="29" xfId="9" applyNumberFormat="1" applyFont="1" applyBorder="1" applyAlignment="1">
      <alignment horizontal="center" vertical="top"/>
    </xf>
    <xf numFmtId="175" fontId="4" fillId="0" borderId="43" xfId="9" applyNumberFormat="1" applyFont="1" applyBorder="1" applyAlignment="1">
      <alignment horizontal="center" vertical="top"/>
    </xf>
    <xf numFmtId="175" fontId="4" fillId="0" borderId="40" xfId="9" applyNumberFormat="1" applyFont="1" applyBorder="1" applyAlignment="1">
      <alignment horizontal="center" vertical="top"/>
    </xf>
    <xf numFmtId="175" fontId="4" fillId="0" borderId="41" xfId="9" applyNumberFormat="1" applyFont="1" applyBorder="1" applyAlignment="1">
      <alignment horizontal="center" vertical="top"/>
    </xf>
  </cellXfs>
  <cellStyles count="106">
    <cellStyle name="Accent1 - 20%" xfId="15"/>
    <cellStyle name="Accent1 - 40%" xfId="16"/>
    <cellStyle name="Accent1 - 60%" xfId="17"/>
    <cellStyle name="Accent2 - 20%" xfId="18"/>
    <cellStyle name="Accent2 - 40%" xfId="19"/>
    <cellStyle name="Accent2 - 60%" xfId="20"/>
    <cellStyle name="Accent3 - 20%" xfId="21"/>
    <cellStyle name="Accent3 - 40%" xfId="22"/>
    <cellStyle name="Accent3 - 60%" xfId="23"/>
    <cellStyle name="Accent4 - 20%" xfId="24"/>
    <cellStyle name="Accent4 - 40%" xfId="25"/>
    <cellStyle name="Accent4 - 60%" xfId="26"/>
    <cellStyle name="Accent5 - 20%" xfId="27"/>
    <cellStyle name="Accent5 - 40%" xfId="28"/>
    <cellStyle name="Accent5 - 60%" xfId="29"/>
    <cellStyle name="Accent6 - 20%" xfId="30"/>
    <cellStyle name="Accent6 - 40%" xfId="31"/>
    <cellStyle name="Accent6 - 60%" xfId="32"/>
    <cellStyle name="ColumnHeading" xfId="33"/>
    <cellStyle name="Comma" xfId="1" builtinId="3"/>
    <cellStyle name="Comma 2" xfId="13"/>
    <cellStyle name="Comma 3" xfId="34"/>
    <cellStyle name="Comma 4" xfId="35"/>
    <cellStyle name="Comma0" xfId="36"/>
    <cellStyle name="Comma4" xfId="37"/>
    <cellStyle name="CountryTitle" xfId="38"/>
    <cellStyle name="Currency" xfId="2" builtinId="4"/>
    <cellStyle name="currency 0" xfId="39"/>
    <cellStyle name="Currency 2" xfId="40"/>
    <cellStyle name="Currency 3" xfId="41"/>
    <cellStyle name="Currency 4" xfId="42"/>
    <cellStyle name="Currency0" xfId="43"/>
    <cellStyle name="Currency4" xfId="44"/>
    <cellStyle name="Date" xfId="45"/>
    <cellStyle name="Emphasis 1" xfId="46"/>
    <cellStyle name="Emphasis 2" xfId="47"/>
    <cellStyle name="Emphasis 3" xfId="48"/>
    <cellStyle name="Fixed" xfId="49"/>
    <cellStyle name="Footnote" xfId="50"/>
    <cellStyle name="Heading1" xfId="51"/>
    <cellStyle name="Heading2" xfId="52"/>
    <cellStyle name="Normal" xfId="0" builtinId="0"/>
    <cellStyle name="Normal [0]" xfId="53"/>
    <cellStyle name="Normal [2]" xfId="54"/>
    <cellStyle name="Normal 2" xfId="12"/>
    <cellStyle name="Normal 3" xfId="55"/>
    <cellStyle name="Normal_Book3" xfId="3"/>
    <cellStyle name="Normal_Book5" xfId="4"/>
    <cellStyle name="Normal_DISTBYrateMay2002" xfId="5"/>
    <cellStyle name="Normal_OR 10-05A 9-15-05" xfId="6"/>
    <cellStyle name="Normal_OR Sch 54 history" xfId="7"/>
    <cellStyle name="Normal_RS 1 2 3 Permanent Rate Histories" xfId="8"/>
    <cellStyle name="Normal_WA 10-05A 9-15-05" xfId="9"/>
    <cellStyle name="Normal_WA Transp billing rates summary 10-1-01" xfId="10"/>
    <cellStyle name="Percent" xfId="11" builtinId="5"/>
    <cellStyle name="Percent 2" xfId="14"/>
    <cellStyle name="Percent2" xfId="56"/>
    <cellStyle name="RowHeading" xfId="57"/>
    <cellStyle name="SAPBEXaggData" xfId="58"/>
    <cellStyle name="SAPBEXaggDataEmph" xfId="59"/>
    <cellStyle name="SAPBEXaggItem" xfId="60"/>
    <cellStyle name="SAPBEXaggItemX" xfId="61"/>
    <cellStyle name="SAPBEXchaText" xfId="62"/>
    <cellStyle name="SAPBEXexcBad7" xfId="63"/>
    <cellStyle name="SAPBEXexcBad8" xfId="64"/>
    <cellStyle name="SAPBEXexcBad9" xfId="65"/>
    <cellStyle name="SAPBEXexcCritical4" xfId="66"/>
    <cellStyle name="SAPBEXexcCritical5" xfId="67"/>
    <cellStyle name="SAPBEXexcCritical6" xfId="68"/>
    <cellStyle name="SAPBEXexcGood1" xfId="69"/>
    <cellStyle name="SAPBEXexcGood2" xfId="70"/>
    <cellStyle name="SAPBEXexcGood3" xfId="71"/>
    <cellStyle name="SAPBEXfilterDrill" xfId="72"/>
    <cellStyle name="SAPBEXfilterItem" xfId="73"/>
    <cellStyle name="SAPBEXfilterText" xfId="74"/>
    <cellStyle name="SAPBEXformats" xfId="75"/>
    <cellStyle name="SAPBEXheaderItem" xfId="76"/>
    <cellStyle name="SAPBEXheaderText" xfId="77"/>
    <cellStyle name="SAPBEXHLevel0" xfId="78"/>
    <cellStyle name="SAPBEXHLevel0X" xfId="79"/>
    <cellStyle name="SAPBEXHLevel1" xfId="80"/>
    <cellStyle name="SAPBEXHLevel1X" xfId="81"/>
    <cellStyle name="SAPBEXHLevel2" xfId="82"/>
    <cellStyle name="SAPBEXHLevel2X" xfId="83"/>
    <cellStyle name="SAPBEXHLevel3" xfId="84"/>
    <cellStyle name="SAPBEXHLevel3X" xfId="85"/>
    <cellStyle name="SAPBEXinputData" xfId="86"/>
    <cellStyle name="SAPBEXresData" xfId="87"/>
    <cellStyle name="SAPBEXresDataEmph" xfId="88"/>
    <cellStyle name="SAPBEXresItem" xfId="89"/>
    <cellStyle name="SAPBEXresItemX" xfId="90"/>
    <cellStyle name="SAPBEXstdData" xfId="91"/>
    <cellStyle name="SAPBEXstdDataEmph" xfId="92"/>
    <cellStyle name="SAPBEXstdItem" xfId="93"/>
    <cellStyle name="SAPBEXstdItemX" xfId="94"/>
    <cellStyle name="SAPBEXtitle" xfId="95"/>
    <cellStyle name="SAPBEXundefined" xfId="96"/>
    <cellStyle name="Sheet Title" xfId="97"/>
    <cellStyle name="SubHeading" xfId="98"/>
    <cellStyle name="SubsidTitle" xfId="99"/>
    <cellStyle name="Table Data" xfId="100"/>
    <cellStyle name="Table Headings Bold" xfId="101"/>
    <cellStyle name="Totals" xfId="102"/>
    <cellStyle name="Totals [0]" xfId="103"/>
    <cellStyle name="Totals [2]" xfId="104"/>
    <cellStyle name="Year" xfId="105"/>
  </cellStyles>
  <dxfs count="0"/>
  <tableStyles count="0" defaultTableStyle="TableStyleMedium9" defaultPivotStyle="PivotStyleLight16"/>
  <colors>
    <mruColors>
      <color rgb="FFFFCCFF"/>
      <color rgb="FFFFFF99"/>
      <color rgb="FFFFCCCC"/>
      <color rgb="FF0000FF"/>
      <color rgb="FFF0B8B7"/>
      <color rgb="FFFFFF00"/>
      <color rgb="FFFF3300"/>
      <color rgb="FFFF9999"/>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56"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3</xdr:col>
      <xdr:colOff>685800</xdr:colOff>
      <xdr:row>0</xdr:row>
      <xdr:rowOff>95250</xdr:rowOff>
    </xdr:from>
    <xdr:to>
      <xdr:col>4</xdr:col>
      <xdr:colOff>1676399</xdr:colOff>
      <xdr:row>1</xdr:row>
      <xdr:rowOff>9525</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6534150" y="95250"/>
          <a:ext cx="2486024" cy="5429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152400</xdr:colOff>
      <xdr:row>0</xdr:row>
      <xdr:rowOff>56423</xdr:rowOff>
    </xdr:from>
    <xdr:to>
      <xdr:col>3</xdr:col>
      <xdr:colOff>95250</xdr:colOff>
      <xdr:row>3</xdr:row>
      <xdr:rowOff>87895</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52400" y="56423"/>
          <a:ext cx="3009900" cy="783947"/>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85726</xdr:rowOff>
    </xdr:from>
    <xdr:to>
      <xdr:col>4</xdr:col>
      <xdr:colOff>466725</xdr:colOff>
      <xdr:row>3</xdr:row>
      <xdr:rowOff>189589</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95250" y="85726"/>
          <a:ext cx="2809875" cy="751563"/>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114301</xdr:colOff>
      <xdr:row>0</xdr:row>
      <xdr:rowOff>38101</xdr:rowOff>
    </xdr:from>
    <xdr:to>
      <xdr:col>2</xdr:col>
      <xdr:colOff>581025</xdr:colOff>
      <xdr:row>2</xdr:row>
      <xdr:rowOff>209550</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14301" y="38101"/>
          <a:ext cx="2609849" cy="72389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0</xdr:row>
      <xdr:rowOff>114299</xdr:rowOff>
    </xdr:from>
    <xdr:to>
      <xdr:col>4</xdr:col>
      <xdr:colOff>409575</xdr:colOff>
      <xdr:row>3</xdr:row>
      <xdr:rowOff>188982</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14300" y="114299"/>
          <a:ext cx="2800350" cy="722383"/>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133350</xdr:colOff>
      <xdr:row>0</xdr:row>
      <xdr:rowOff>95249</xdr:rowOff>
    </xdr:from>
    <xdr:to>
      <xdr:col>2</xdr:col>
      <xdr:colOff>552450</xdr:colOff>
      <xdr:row>3</xdr:row>
      <xdr:rowOff>109623</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33350" y="95249"/>
          <a:ext cx="2867025" cy="76684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114301</xdr:colOff>
      <xdr:row>0</xdr:row>
      <xdr:rowOff>85725</xdr:rowOff>
    </xdr:from>
    <xdr:to>
      <xdr:col>3</xdr:col>
      <xdr:colOff>85448</xdr:colOff>
      <xdr:row>1</xdr:row>
      <xdr:rowOff>28575</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14301" y="85725"/>
          <a:ext cx="2457172" cy="6572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85726</xdr:colOff>
      <xdr:row>0</xdr:row>
      <xdr:rowOff>66675</xdr:rowOff>
    </xdr:from>
    <xdr:to>
      <xdr:col>2</xdr:col>
      <xdr:colOff>638176</xdr:colOff>
      <xdr:row>1</xdr:row>
      <xdr:rowOff>107948</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85726" y="66675"/>
          <a:ext cx="2362200" cy="631823"/>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66676</xdr:colOff>
      <xdr:row>0</xdr:row>
      <xdr:rowOff>66675</xdr:rowOff>
    </xdr:from>
    <xdr:to>
      <xdr:col>3</xdr:col>
      <xdr:colOff>438151</xdr:colOff>
      <xdr:row>1</xdr:row>
      <xdr:rowOff>56559</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66676" y="66675"/>
          <a:ext cx="2419350" cy="647109"/>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66675</xdr:colOff>
      <xdr:row>0</xdr:row>
      <xdr:rowOff>66675</xdr:rowOff>
    </xdr:from>
    <xdr:to>
      <xdr:col>3</xdr:col>
      <xdr:colOff>447675</xdr:colOff>
      <xdr:row>1</xdr:row>
      <xdr:rowOff>59106</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66675" y="66675"/>
          <a:ext cx="2428875" cy="649656"/>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95251</xdr:colOff>
      <xdr:row>0</xdr:row>
      <xdr:rowOff>66675</xdr:rowOff>
    </xdr:from>
    <xdr:to>
      <xdr:col>2</xdr:col>
      <xdr:colOff>552451</xdr:colOff>
      <xdr:row>0</xdr:row>
      <xdr:rowOff>744356</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95251" y="66675"/>
          <a:ext cx="2533650" cy="6776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95250</xdr:rowOff>
    </xdr:from>
    <xdr:to>
      <xdr:col>1</xdr:col>
      <xdr:colOff>1090696</xdr:colOff>
      <xdr:row>0</xdr:row>
      <xdr:rowOff>781050</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23824" y="95250"/>
          <a:ext cx="3033797" cy="6858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123825</xdr:colOff>
      <xdr:row>0</xdr:row>
      <xdr:rowOff>57150</xdr:rowOff>
    </xdr:from>
    <xdr:to>
      <xdr:col>3</xdr:col>
      <xdr:colOff>476249</xdr:colOff>
      <xdr:row>1</xdr:row>
      <xdr:rowOff>21787</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23825" y="57150"/>
          <a:ext cx="2609849" cy="698062"/>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495299</xdr:colOff>
      <xdr:row>1</xdr:row>
      <xdr:rowOff>88462</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76200" y="66675"/>
          <a:ext cx="2609849" cy="698062"/>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66675</xdr:colOff>
      <xdr:row>0</xdr:row>
      <xdr:rowOff>76200</xdr:rowOff>
    </xdr:from>
    <xdr:to>
      <xdr:col>3</xdr:col>
      <xdr:colOff>142874</xdr:colOff>
      <xdr:row>1</xdr:row>
      <xdr:rowOff>583762</xdr:rowOff>
    </xdr:to>
    <xdr:pic>
      <xdr:nvPicPr>
        <xdr:cNvPr id="4"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66675" y="76200"/>
          <a:ext cx="2609849" cy="698062"/>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76200</xdr:colOff>
      <xdr:row>0</xdr:row>
      <xdr:rowOff>76200</xdr:rowOff>
    </xdr:from>
    <xdr:to>
      <xdr:col>2</xdr:col>
      <xdr:colOff>895350</xdr:colOff>
      <xdr:row>1</xdr:row>
      <xdr:rowOff>553741</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76200" y="76200"/>
          <a:ext cx="2390775" cy="639466"/>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76201</xdr:colOff>
      <xdr:row>0</xdr:row>
      <xdr:rowOff>47625</xdr:rowOff>
    </xdr:from>
    <xdr:to>
      <xdr:col>2</xdr:col>
      <xdr:colOff>495301</xdr:colOff>
      <xdr:row>1</xdr:row>
      <xdr:rowOff>404554</xdr:rowOff>
    </xdr:to>
    <xdr:pic>
      <xdr:nvPicPr>
        <xdr:cNvPr id="4"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76201" y="47625"/>
          <a:ext cx="2438400" cy="652204"/>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0</xdr:row>
      <xdr:rowOff>76200</xdr:rowOff>
    </xdr:from>
    <xdr:to>
      <xdr:col>2</xdr:col>
      <xdr:colOff>238124</xdr:colOff>
      <xdr:row>1</xdr:row>
      <xdr:rowOff>21787</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85725" y="76200"/>
          <a:ext cx="2609849" cy="698062"/>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2</xdr:col>
      <xdr:colOff>266699</xdr:colOff>
      <xdr:row>1</xdr:row>
      <xdr:rowOff>88462</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04775" y="95250"/>
          <a:ext cx="2609849" cy="698062"/>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161924</xdr:colOff>
      <xdr:row>2</xdr:row>
      <xdr:rowOff>136087</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14300" y="85725"/>
          <a:ext cx="2609849" cy="698062"/>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57150</xdr:colOff>
      <xdr:row>0</xdr:row>
      <xdr:rowOff>47625</xdr:rowOff>
    </xdr:from>
    <xdr:to>
      <xdr:col>2</xdr:col>
      <xdr:colOff>723899</xdr:colOff>
      <xdr:row>1</xdr:row>
      <xdr:rowOff>145612</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57150" y="47625"/>
          <a:ext cx="2609849" cy="698062"/>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123825</xdr:colOff>
      <xdr:row>0</xdr:row>
      <xdr:rowOff>66675</xdr:rowOff>
    </xdr:from>
    <xdr:to>
      <xdr:col>2</xdr:col>
      <xdr:colOff>876299</xdr:colOff>
      <xdr:row>2</xdr:row>
      <xdr:rowOff>193237</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23825" y="66675"/>
          <a:ext cx="2609849" cy="69806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47</xdr:row>
      <xdr:rowOff>57150</xdr:rowOff>
    </xdr:from>
    <xdr:to>
      <xdr:col>2</xdr:col>
      <xdr:colOff>190499</xdr:colOff>
      <xdr:row>51</xdr:row>
      <xdr:rowOff>114299</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23825" y="9115425"/>
          <a:ext cx="2828924" cy="70484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0</xdr:rowOff>
    </xdr:from>
    <xdr:to>
      <xdr:col>2</xdr:col>
      <xdr:colOff>161925</xdr:colOff>
      <xdr:row>0</xdr:row>
      <xdr:rowOff>0</xdr:rowOff>
    </xdr:to>
    <xdr:pic>
      <xdr:nvPicPr>
        <xdr:cNvPr id="9220" name="Picture 2" descr="nwn letter template"/>
        <xdr:cNvPicPr>
          <a:picLocks noChangeAspect="1" noChangeArrowheads="1"/>
        </xdr:cNvPicPr>
      </xdr:nvPicPr>
      <xdr:blipFill>
        <a:blip xmlns:r="http://schemas.openxmlformats.org/officeDocument/2006/relationships" r:embed="rId1"/>
        <a:srcRect/>
        <a:stretch>
          <a:fillRect/>
        </a:stretch>
      </xdr:blipFill>
      <xdr:spPr bwMode="auto">
        <a:xfrm>
          <a:off x="85725" y="0"/>
          <a:ext cx="3448050" cy="0"/>
        </a:xfrm>
        <a:prstGeom prst="rect">
          <a:avLst/>
        </a:prstGeom>
        <a:noFill/>
        <a:ln w="9525">
          <a:noFill/>
          <a:miter lim="800000"/>
          <a:headEnd/>
          <a:tailEnd/>
        </a:ln>
      </xdr:spPr>
    </xdr:pic>
    <xdr:clientData/>
  </xdr:twoCellAnchor>
  <xdr:twoCellAnchor>
    <xdr:from>
      <xdr:col>0</xdr:col>
      <xdr:colOff>47625</xdr:colOff>
      <xdr:row>40</xdr:row>
      <xdr:rowOff>3175</xdr:rowOff>
    </xdr:from>
    <xdr:to>
      <xdr:col>1</xdr:col>
      <xdr:colOff>660564</xdr:colOff>
      <xdr:row>43</xdr:row>
      <xdr:rowOff>231775</xdr:rowOff>
    </xdr:to>
    <xdr:pic>
      <xdr:nvPicPr>
        <xdr:cNvPr id="4" name="Picture 1" descr="nwn letter template"/>
        <xdr:cNvPicPr>
          <a:picLocks noChangeAspect="1" noChangeArrowheads="1"/>
        </xdr:cNvPicPr>
      </xdr:nvPicPr>
      <xdr:blipFill>
        <a:blip xmlns:r="http://schemas.openxmlformats.org/officeDocument/2006/relationships" r:embed="rId2" cstate="print"/>
        <a:srcRect/>
        <a:stretch>
          <a:fillRect/>
        </a:stretch>
      </xdr:blipFill>
      <xdr:spPr bwMode="auto">
        <a:xfrm>
          <a:off x="47625" y="7648575"/>
          <a:ext cx="3089439"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0</xdr:row>
      <xdr:rowOff>57149</xdr:rowOff>
    </xdr:from>
    <xdr:to>
      <xdr:col>1</xdr:col>
      <xdr:colOff>565691</xdr:colOff>
      <xdr:row>0</xdr:row>
      <xdr:rowOff>695324</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66674" y="57149"/>
          <a:ext cx="2823117" cy="6381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47624</xdr:colOff>
      <xdr:row>0</xdr:row>
      <xdr:rowOff>76199</xdr:rowOff>
    </xdr:from>
    <xdr:to>
      <xdr:col>1</xdr:col>
      <xdr:colOff>2100669</xdr:colOff>
      <xdr:row>3</xdr:row>
      <xdr:rowOff>47624</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47624" y="76199"/>
          <a:ext cx="2738845" cy="619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2</xdr:col>
      <xdr:colOff>407495</xdr:colOff>
      <xdr:row>2</xdr:row>
      <xdr:rowOff>161925</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123825" y="76200"/>
          <a:ext cx="2864945" cy="733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66674</xdr:rowOff>
    </xdr:from>
    <xdr:to>
      <xdr:col>0</xdr:col>
      <xdr:colOff>2612861</xdr:colOff>
      <xdr:row>2</xdr:row>
      <xdr:rowOff>171450</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47625" y="66674"/>
          <a:ext cx="2565236" cy="60960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57150</xdr:rowOff>
    </xdr:from>
    <xdr:to>
      <xdr:col>0</xdr:col>
      <xdr:colOff>2647950</xdr:colOff>
      <xdr:row>2</xdr:row>
      <xdr:rowOff>123825</xdr:rowOff>
    </xdr:to>
    <xdr:pic>
      <xdr:nvPicPr>
        <xdr:cNvPr id="3" name="Picture 1" descr="nwn letter template"/>
        <xdr:cNvPicPr>
          <a:picLocks noChangeAspect="1" noChangeArrowheads="1"/>
        </xdr:cNvPicPr>
      </xdr:nvPicPr>
      <xdr:blipFill>
        <a:blip xmlns:r="http://schemas.openxmlformats.org/officeDocument/2006/relationships" r:embed="rId1" cstate="print"/>
        <a:srcRect/>
        <a:stretch>
          <a:fillRect/>
        </a:stretch>
      </xdr:blipFill>
      <xdr:spPr bwMode="auto">
        <a:xfrm>
          <a:off x="38100" y="57150"/>
          <a:ext cx="2609850" cy="6572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OREGON/2010/October%20Filings/Rate%20Development%20File%20&amp;%20Support/NWN%202010-11%20Oregon%20PGA%20rate%20development%20file%20Octo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snt01\groups\Documents%20and%20Settings\jzs\Local%20Settings\Temporary%20Internet%20Files\OLK17C\Income%20Statement%20Budget%20-%20Version%2005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psnt01\groups\Financial%20Planning%20and%20Analysis\Forecast%20-%20Board\201009%20Forecast\Margin\FCST%20Margin%2009_02_10%20Board%20BASE%20C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ory_Affairs/PGA%20-%20OREGON/2012/October%20filings/Gas%20Cost%20Development%20file%20and%20support/NWN%202012-13%20PGA%20gas%20cost%20development%20file%20Octo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Average Bill by RS"/>
      <sheetName val="Rates in summary"/>
      <sheetName val="Rates in detail"/>
      <sheetName val="Elasticity"/>
      <sheetName val="Permanents"/>
      <sheetName val="Temporaries"/>
      <sheetName val="Allocation equal ¢ per therm"/>
      <sheetName val="Allocation equal % of margin"/>
      <sheetName val="Inputs"/>
      <sheetName val="Oregon volumes"/>
      <sheetName val="Amortization Rates"/>
      <sheetName val="PGA Summary UM1286 Req'd"/>
      <sheetName val="Rates for MAS GS"/>
      <sheetName val="Inputs for FCST MGN"/>
      <sheetName val="Rates for Tariff Sheets"/>
      <sheetName val="Cover"/>
      <sheetName val="OR Index"/>
      <sheetName val="F Goldenrod"/>
      <sheetName val="Statement of Rates"/>
      <sheetName val="Statement of Rates Mult. Co"/>
      <sheetName val="Summary of Sales Rates"/>
      <sheetName val="Sales Summary-Mult. Co."/>
      <sheetName val="Summary of Transportation Rates"/>
      <sheetName val="Transp. Summary-Mult. Co"/>
      <sheetName val="Summary of Changes in Rates"/>
      <sheetName val="Adjs. to  Residential Rates"/>
      <sheetName val="Rate Case History"/>
      <sheetName val="Annual WACOG History"/>
      <sheetName val="Winter WACOG History"/>
      <sheetName val="RS 1 Billing Rate History"/>
      <sheetName val="RS 2 Billing Rate History"/>
      <sheetName val="RS 3 Sales Billing Rate History"/>
      <sheetName val="RS 19 Sales Billing Rate His"/>
      <sheetName val="RS 31 FirmSalesHistory"/>
      <sheetName val="RS 31 IntpSalesHistory"/>
      <sheetName val="RS 32 FirmSalesHistory"/>
      <sheetName val="RS 32 IntpSalesHistory"/>
      <sheetName val="RS 31 Transp History"/>
      <sheetName val="RS 32 Transp History"/>
      <sheetName val="RS 33 Transp History"/>
      <sheetName val="Break"/>
      <sheetName val="RS1 History 1982-2001"/>
      <sheetName val="RS 2 History 1980-2001"/>
      <sheetName val="RS 3 Sales History 1980-2001"/>
      <sheetName val="RS 3 Transp History 1988-2001"/>
      <sheetName val="RS 3T History 2002-2006"/>
      <sheetName val="RS 1R Perm. Rates"/>
      <sheetName val="RS 2 Perm. Rates"/>
      <sheetName val="RS 3 Perm. Rates"/>
      <sheetName val="OR RS 54 History 2003-2009"/>
      <sheetName val="RS 31 Sales History"/>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ow r="30">
          <cell r="B30">
            <v>2.7990000000000001E-2</v>
          </cell>
        </row>
        <row r="85">
          <cell r="B85">
            <v>40483</v>
          </cell>
        </row>
      </sheetData>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Version 2-10"/>
      <sheetName val="Budget Version 2-14"/>
      <sheetName val="Bud. Ver. 2-10 to 2-14"/>
      <sheetName val="Budget Version 2-21"/>
      <sheetName val="Bud. Ver. 2-14 to 2-21"/>
      <sheetName val="Budget Version 4-19"/>
      <sheetName val="Bud. Ver. 2-21 to 4-19"/>
      <sheetName val="Budget Version 5-2"/>
      <sheetName val="Bud. Ver. 4-19 to 5-2"/>
      <sheetName val="Budget Version 5-31"/>
      <sheetName val="Bud. Ver. 5-2 to 5-31"/>
      <sheetName val="Data"/>
      <sheetName val="YT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ow r="4">
          <cell r="G4" t="str">
            <v>Jan</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 Others"/>
      <sheetName val="General Inputs - Rates"/>
      <sheetName val="General Inputs - COH"/>
      <sheetName val="Customer&amp;Usage Inputs"/>
      <sheetName val="Customers"/>
      <sheetName val="Volumes"/>
      <sheetName val="Volumes per Customer"/>
      <sheetName val="Customer Charge"/>
      <sheetName val="Temp Com&amp;Dem Def collection"/>
      <sheetName val="Temp collection"/>
      <sheetName val="Temp Amortization"/>
      <sheetName val="perm revenue"/>
      <sheetName val="Decoupling"/>
      <sheetName val="MDDV Service Charge"/>
      <sheetName val="Total Revenue"/>
      <sheetName val="Franchise Tax"/>
      <sheetName val="Other Tax"/>
      <sheetName val="Total CYCLE Revenues"/>
      <sheetName val="Total CYCLE Volumes"/>
      <sheetName val="Unbilled Rev"/>
      <sheetName val="Unbilled Vol"/>
      <sheetName val="Output to Forecast model"/>
      <sheetName val="Margins tab to Forecast model"/>
      <sheetName val="Volumes tab to Forecast model"/>
      <sheetName val="Monthly Margin"/>
      <sheetName val="LUFG Margin allocated"/>
      <sheetName val="Executive Summary"/>
      <sheetName val="BExRepositorySheet"/>
      <sheetName val="Export to Rev Year 2010"/>
      <sheetName val="Export to Rev Year 2011"/>
      <sheetName val="Export to Margin Analysis"/>
      <sheetName val="Export to Lawson Year 2010"/>
      <sheetName val="Export to Lawson Year 2011"/>
      <sheetName val="Export to SAP 2010"/>
      <sheetName val="Export to SAP 2011"/>
      <sheetName val="export to AMORT Model"/>
      <sheetName val="OR WACOG EQ"/>
      <sheetName val="WACOG Deferral"/>
      <sheetName val="Commodity"/>
      <sheetName val="Demand"/>
      <sheetName val="Demand Def Allocated"/>
      <sheetName val="Demand Equal Allocated"/>
      <sheetName val="Seasonalzd Demand TEST"/>
      <sheetName val="Amort of Comm &amp; Demand"/>
      <sheetName val="COG Summary"/>
      <sheetName val="COG &amp; DEM Collected"/>
      <sheetName val="COG Detail"/>
      <sheetName val="WACOG Collected"/>
    </sheetNames>
    <sheetDataSet>
      <sheetData sheetId="0">
        <row r="10">
          <cell r="C10">
            <v>2010</v>
          </cell>
          <cell r="F10">
            <v>2.8999999999999998E-3</v>
          </cell>
        </row>
      </sheetData>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Total Commodity Summary old"/>
      <sheetName val="Commodity Cost from Vol Pipe"/>
      <sheetName val="download for JV28A"/>
      <sheetName val="Commodity Cost from Supply VERT"/>
      <sheetName val="Hedged Spot Dispatch &amp; Cost"/>
      <sheetName val="Commodity Cost from Supply"/>
      <sheetName val="Commodity Supply Dispatch"/>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 val="COG Inputs -FCST MGN file"/>
      <sheetName val="PGA Summary UM1286 Req'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0">
          <cell r="E10">
            <v>4.3720000000000002E-2</v>
          </cell>
        </row>
      </sheetData>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6"/>
  <sheetViews>
    <sheetView workbookViewId="0">
      <selection activeCell="H17" sqref="H17"/>
    </sheetView>
  </sheetViews>
  <sheetFormatPr defaultColWidth="9.33203125" defaultRowHeight="13.2" x14ac:dyDescent="0.25"/>
  <cols>
    <col min="1" max="1" width="5.88671875" style="436" customWidth="1"/>
    <col min="2" max="2" width="34.88671875" style="436" customWidth="1"/>
    <col min="3" max="3" width="70.88671875" style="436" customWidth="1"/>
    <col min="4" max="25" width="20.88671875" style="436" customWidth="1"/>
    <col min="26" max="16384" width="9.33203125" style="436"/>
  </cols>
  <sheetData>
    <row r="1" spans="1:6" ht="13.8" x14ac:dyDescent="0.25">
      <c r="A1" s="468" t="str">
        <f>+'Washington volumes'!A1</f>
        <v>NW Natural</v>
      </c>
      <c r="D1" s="844">
        <v>39814</v>
      </c>
    </row>
    <row r="2" spans="1:6" ht="13.8" x14ac:dyDescent="0.25">
      <c r="A2" s="468" t="str">
        <f>+'Washington volumes'!A2</f>
        <v>Rates &amp; Regulatory Affairs</v>
      </c>
    </row>
    <row r="3" spans="1:6" ht="13.8" x14ac:dyDescent="0.25">
      <c r="A3" s="468" t="str">
        <f>+'Washington volumes'!A3</f>
        <v>2019-2020 PGA Filing - Washington: September Filing</v>
      </c>
    </row>
    <row r="4" spans="1:6" ht="13.8" x14ac:dyDescent="0.25">
      <c r="A4" s="468" t="s">
        <v>99</v>
      </c>
    </row>
    <row r="5" spans="1:6" x14ac:dyDescent="0.25">
      <c r="B5" s="471"/>
    </row>
    <row r="6" spans="1:6" x14ac:dyDescent="0.25">
      <c r="A6" s="582" t="s">
        <v>100</v>
      </c>
      <c r="B6" s="583"/>
      <c r="C6" s="583"/>
    </row>
    <row r="7" spans="1:6" x14ac:dyDescent="0.25">
      <c r="B7" s="471"/>
    </row>
    <row r="8" spans="1:6" x14ac:dyDescent="0.25">
      <c r="A8" s="436" t="s">
        <v>214</v>
      </c>
    </row>
    <row r="10" spans="1:6" x14ac:dyDescent="0.25">
      <c r="A10" s="460" t="s">
        <v>101</v>
      </c>
      <c r="C10" s="460" t="s">
        <v>102</v>
      </c>
      <c r="D10" s="460"/>
      <c r="E10" s="460"/>
      <c r="F10" s="460"/>
    </row>
    <row r="11" spans="1:6" ht="13.8" thickBot="1" x14ac:dyDescent="0.3">
      <c r="A11" s="460"/>
      <c r="C11" s="460"/>
      <c r="D11" s="460"/>
      <c r="E11" s="460"/>
      <c r="F11" s="460"/>
    </row>
    <row r="12" spans="1:6" x14ac:dyDescent="0.25">
      <c r="A12" s="584" t="s">
        <v>103</v>
      </c>
      <c r="B12" s="585"/>
      <c r="C12" s="586" t="s">
        <v>104</v>
      </c>
      <c r="D12" s="460"/>
      <c r="E12" s="460"/>
      <c r="F12" s="460"/>
    </row>
    <row r="13" spans="1:6" ht="13.8" thickBot="1" x14ac:dyDescent="0.3">
      <c r="A13" s="587"/>
      <c r="B13" s="588"/>
      <c r="C13" s="589"/>
    </row>
    <row r="14" spans="1:6" x14ac:dyDescent="0.25">
      <c r="A14" s="584" t="s">
        <v>192</v>
      </c>
      <c r="B14" s="585"/>
      <c r="C14" s="586" t="s">
        <v>207</v>
      </c>
    </row>
    <row r="15" spans="1:6" x14ac:dyDescent="0.25">
      <c r="A15" s="590"/>
      <c r="B15" s="437"/>
      <c r="C15" s="537" t="s">
        <v>208</v>
      </c>
    </row>
    <row r="16" spans="1:6" ht="13.8" thickBot="1" x14ac:dyDescent="0.3">
      <c r="A16" s="587"/>
      <c r="B16" s="588"/>
      <c r="C16" s="589"/>
    </row>
    <row r="17" spans="1:3" x14ac:dyDescent="0.25">
      <c r="A17" s="584" t="s">
        <v>184</v>
      </c>
      <c r="B17" s="585"/>
      <c r="C17" s="586" t="s">
        <v>105</v>
      </c>
    </row>
    <row r="18" spans="1:3" x14ac:dyDescent="0.25">
      <c r="A18" s="590"/>
      <c r="B18" s="437"/>
      <c r="C18" s="537" t="s">
        <v>186</v>
      </c>
    </row>
    <row r="19" spans="1:3" x14ac:dyDescent="0.25">
      <c r="A19" s="590"/>
      <c r="B19" s="437"/>
      <c r="C19" s="537" t="s">
        <v>187</v>
      </c>
    </row>
    <row r="20" spans="1:3" ht="13.8" thickBot="1" x14ac:dyDescent="0.3">
      <c r="A20" s="587"/>
      <c r="B20" s="588"/>
      <c r="C20" s="589"/>
    </row>
    <row r="21" spans="1:3" x14ac:dyDescent="0.25">
      <c r="A21" s="584" t="s">
        <v>183</v>
      </c>
      <c r="B21" s="585"/>
      <c r="C21" s="586" t="s">
        <v>185</v>
      </c>
    </row>
    <row r="22" spans="1:3" x14ac:dyDescent="0.25">
      <c r="A22" s="590"/>
      <c r="B22" s="437"/>
      <c r="C22" s="537" t="s">
        <v>188</v>
      </c>
    </row>
    <row r="23" spans="1:3" x14ac:dyDescent="0.25">
      <c r="A23" s="590"/>
      <c r="B23" s="437"/>
      <c r="C23" s="537" t="s">
        <v>187</v>
      </c>
    </row>
    <row r="24" spans="1:3" ht="13.8" thickBot="1" x14ac:dyDescent="0.3">
      <c r="A24" s="587"/>
      <c r="B24" s="588"/>
      <c r="C24" s="589"/>
    </row>
    <row r="25" spans="1:3" x14ac:dyDescent="0.25">
      <c r="A25" s="584" t="s">
        <v>106</v>
      </c>
      <c r="B25" s="585"/>
      <c r="C25" s="586" t="s">
        <v>107</v>
      </c>
    </row>
    <row r="26" spans="1:3" ht="13.8" thickBot="1" x14ac:dyDescent="0.3">
      <c r="A26" s="587"/>
      <c r="B26" s="588"/>
      <c r="C26" s="589"/>
    </row>
    <row r="27" spans="1:3" x14ac:dyDescent="0.25">
      <c r="A27" s="584" t="s">
        <v>108</v>
      </c>
      <c r="B27" s="585"/>
      <c r="C27" s="586" t="s">
        <v>109</v>
      </c>
    </row>
    <row r="28" spans="1:3" x14ac:dyDescent="0.25">
      <c r="A28" s="590"/>
      <c r="B28" s="437"/>
      <c r="C28" s="537" t="s">
        <v>110</v>
      </c>
    </row>
    <row r="29" spans="1:3" ht="13.8" thickBot="1" x14ac:dyDescent="0.3">
      <c r="A29" s="587"/>
      <c r="B29" s="588"/>
      <c r="C29" s="589"/>
    </row>
    <row r="30" spans="1:3" x14ac:dyDescent="0.25">
      <c r="A30" s="584" t="s">
        <v>111</v>
      </c>
      <c r="B30" s="585"/>
      <c r="C30" s="586" t="s">
        <v>109</v>
      </c>
    </row>
    <row r="31" spans="1:3" x14ac:dyDescent="0.25">
      <c r="A31" s="590"/>
      <c r="B31" s="437"/>
      <c r="C31" s="537" t="s">
        <v>112</v>
      </c>
    </row>
    <row r="32" spans="1:3" ht="13.8" thickBot="1" x14ac:dyDescent="0.3">
      <c r="A32" s="587"/>
      <c r="B32" s="588"/>
      <c r="C32" s="589"/>
    </row>
    <row r="33" spans="1:3" x14ac:dyDescent="0.25">
      <c r="A33" s="584" t="s">
        <v>19</v>
      </c>
      <c r="B33" s="585"/>
      <c r="C33" s="586" t="s">
        <v>189</v>
      </c>
    </row>
    <row r="34" spans="1:3" ht="13.8" thickBot="1" x14ac:dyDescent="0.3">
      <c r="A34" s="587"/>
      <c r="B34" s="588"/>
      <c r="C34" s="589"/>
    </row>
    <row r="35" spans="1:3" x14ac:dyDescent="0.25">
      <c r="A35" s="584" t="s">
        <v>119</v>
      </c>
      <c r="B35" s="585"/>
      <c r="C35" s="586" t="s">
        <v>113</v>
      </c>
    </row>
    <row r="36" spans="1:3" x14ac:dyDescent="0.25">
      <c r="A36" s="590"/>
      <c r="B36" s="437"/>
      <c r="C36" s="537" t="s">
        <v>114</v>
      </c>
    </row>
    <row r="37" spans="1:3" x14ac:dyDescent="0.25">
      <c r="A37" s="590"/>
      <c r="B37" s="437"/>
      <c r="C37" s="537" t="s">
        <v>115</v>
      </c>
    </row>
    <row r="38" spans="1:3" ht="13.8" thickBot="1" x14ac:dyDescent="0.3">
      <c r="A38" s="591"/>
      <c r="B38" s="588"/>
      <c r="C38" s="589"/>
    </row>
    <row r="41" spans="1:3" x14ac:dyDescent="0.25">
      <c r="A41" s="592" t="s">
        <v>116</v>
      </c>
      <c r="B41" s="593"/>
      <c r="C41" s="593"/>
    </row>
    <row r="43" spans="1:3" x14ac:dyDescent="0.25">
      <c r="A43" s="436">
        <v>1</v>
      </c>
      <c r="B43" s="436" t="s">
        <v>117</v>
      </c>
    </row>
    <row r="44" spans="1:3" x14ac:dyDescent="0.25">
      <c r="A44" s="436">
        <v>2</v>
      </c>
      <c r="B44" s="436" t="s">
        <v>209</v>
      </c>
    </row>
    <row r="45" spans="1:3" x14ac:dyDescent="0.25">
      <c r="B45" s="436" t="s">
        <v>210</v>
      </c>
    </row>
    <row r="46" spans="1:3" x14ac:dyDescent="0.25">
      <c r="A46" s="436">
        <v>3</v>
      </c>
      <c r="B46" s="436" t="s">
        <v>118</v>
      </c>
    </row>
  </sheetData>
  <phoneticPr fontId="2" type="noConversion"/>
  <printOptions horizontalCentered="1"/>
  <pageMargins left="0.5" right="0.5" top="0.5" bottom="0.5" header="0.25" footer="0.25"/>
  <pageSetup paperSize="28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C283"/>
  <sheetViews>
    <sheetView zoomScale="90" zoomScaleNormal="90" workbookViewId="0">
      <pane xSplit="3" ySplit="7" topLeftCell="D136" activePane="bottomRight" state="frozen"/>
      <selection activeCell="F34" sqref="F34"/>
      <selection pane="topRight" activeCell="F34" sqref="F34"/>
      <selection pane="bottomLeft" activeCell="F34" sqref="F34"/>
      <selection pane="bottomRight" activeCell="H4" sqref="H4"/>
    </sheetView>
  </sheetViews>
  <sheetFormatPr defaultColWidth="9.33203125" defaultRowHeight="13.8" x14ac:dyDescent="0.25"/>
  <cols>
    <col min="1" max="1" width="9.33203125" style="1207"/>
    <col min="2" max="2" width="9.88671875" style="1207" customWidth="1"/>
    <col min="3" max="3" width="37.33203125" style="1207" bestFit="1" customWidth="1"/>
    <col min="4" max="4" width="17.109375" style="1207" customWidth="1"/>
    <col min="5" max="18" width="21.88671875" style="1207" customWidth="1"/>
    <col min="19" max="19" width="25.88671875" style="1207" customWidth="1"/>
    <col min="20" max="22" width="21.88671875" style="1207" customWidth="1"/>
    <col min="23" max="28" width="21.88671875" style="1216" customWidth="1"/>
    <col min="29" max="29" width="21.88671875" style="1207" customWidth="1"/>
    <col min="30" max="53" width="17.109375" style="1207" customWidth="1"/>
    <col min="54" max="16384" width="9.33203125" style="1207"/>
  </cols>
  <sheetData>
    <row r="1" spans="1:29" x14ac:dyDescent="0.25">
      <c r="A1" s="1206" t="s">
        <v>0</v>
      </c>
      <c r="W1" s="1207"/>
      <c r="X1" s="1207"/>
      <c r="Y1" s="1207"/>
      <c r="Z1" s="1207"/>
      <c r="AA1" s="1207"/>
      <c r="AB1" s="1207"/>
    </row>
    <row r="2" spans="1:29" x14ac:dyDescent="0.25">
      <c r="A2" s="1206" t="s">
        <v>894</v>
      </c>
      <c r="W2" s="1207"/>
      <c r="X2" s="1207"/>
      <c r="Y2" s="1207"/>
      <c r="Z2" s="1207"/>
      <c r="AA2" s="1207"/>
      <c r="AB2" s="1207"/>
    </row>
    <row r="3" spans="1:29" x14ac:dyDescent="0.25">
      <c r="A3" s="1208" t="s">
        <v>895</v>
      </c>
      <c r="W3" s="1207"/>
      <c r="X3" s="1207"/>
      <c r="Y3" s="1207"/>
      <c r="Z3" s="1207"/>
      <c r="AA3" s="1207"/>
      <c r="AB3" s="1207"/>
    </row>
    <row r="4" spans="1:29" x14ac:dyDescent="0.25">
      <c r="A4" s="1206" t="s">
        <v>896</v>
      </c>
      <c r="W4" s="1207"/>
      <c r="X4" s="1207"/>
      <c r="Y4" s="1207"/>
      <c r="Z4" s="1207"/>
      <c r="AA4" s="1207"/>
      <c r="AB4" s="1207"/>
    </row>
    <row r="5" spans="1:29" ht="14.4" thickBot="1" x14ac:dyDescent="0.3">
      <c r="A5" s="1209" t="s">
        <v>897</v>
      </c>
      <c r="P5" s="1210"/>
      <c r="Q5" s="1210"/>
      <c r="R5" s="1210"/>
      <c r="S5" s="1210"/>
      <c r="W5" s="1207"/>
      <c r="X5" s="1207"/>
      <c r="Y5" s="1207"/>
      <c r="Z5" s="1207"/>
      <c r="AA5" s="1207"/>
      <c r="AB5" s="1207"/>
    </row>
    <row r="6" spans="1:29" ht="58.2" customHeight="1" x14ac:dyDescent="0.25">
      <c r="A6" s="1211" t="s">
        <v>898</v>
      </c>
      <c r="B6" s="1212"/>
      <c r="C6" s="1212"/>
      <c r="D6" s="1213" t="s">
        <v>899</v>
      </c>
      <c r="E6" s="1214" t="s">
        <v>280</v>
      </c>
      <c r="F6" s="1214" t="s">
        <v>330</v>
      </c>
      <c r="G6" s="1214" t="s">
        <v>900</v>
      </c>
      <c r="H6" s="1214" t="s">
        <v>901</v>
      </c>
      <c r="I6" s="1214" t="s">
        <v>902</v>
      </c>
      <c r="J6" s="1214" t="s">
        <v>903</v>
      </c>
      <c r="K6" s="1214" t="s">
        <v>904</v>
      </c>
      <c r="L6" s="1214" t="s">
        <v>905</v>
      </c>
      <c r="M6" s="1214" t="s">
        <v>906</v>
      </c>
      <c r="N6" s="1214" t="s">
        <v>907</v>
      </c>
      <c r="O6" s="1214" t="s">
        <v>908</v>
      </c>
      <c r="P6" s="1215" t="s">
        <v>909</v>
      </c>
      <c r="R6" s="1214" t="s">
        <v>330</v>
      </c>
    </row>
    <row r="7" spans="1:29" x14ac:dyDescent="0.25">
      <c r="A7" s="1217"/>
      <c r="B7" s="1216"/>
      <c r="C7" s="1216"/>
      <c r="D7" s="1218" t="s">
        <v>910</v>
      </c>
      <c r="E7" s="1219" t="s">
        <v>280</v>
      </c>
      <c r="F7" s="1219" t="s">
        <v>911</v>
      </c>
      <c r="G7" s="1219" t="s">
        <v>912</v>
      </c>
      <c r="H7" s="1219" t="s">
        <v>913</v>
      </c>
      <c r="I7" s="1219" t="s">
        <v>914</v>
      </c>
      <c r="J7" s="1219" t="s">
        <v>915</v>
      </c>
      <c r="K7" s="1219" t="s">
        <v>916</v>
      </c>
      <c r="L7" s="1219" t="s">
        <v>916</v>
      </c>
      <c r="M7" s="1219" t="s">
        <v>917</v>
      </c>
      <c r="N7" s="1219" t="s">
        <v>918</v>
      </c>
      <c r="O7" s="1219" t="s">
        <v>917</v>
      </c>
      <c r="P7" s="1220" t="s">
        <v>919</v>
      </c>
      <c r="R7" s="1219" t="s">
        <v>911</v>
      </c>
    </row>
    <row r="8" spans="1:29" x14ac:dyDescent="0.25">
      <c r="A8" s="1217"/>
      <c r="B8" s="1216"/>
      <c r="C8" s="1221" t="s">
        <v>920</v>
      </c>
      <c r="D8" s="1222"/>
      <c r="E8" s="1223" t="s">
        <v>921</v>
      </c>
      <c r="F8" s="1223" t="s">
        <v>922</v>
      </c>
      <c r="G8" s="1223" t="s">
        <v>922</v>
      </c>
      <c r="H8" s="1223" t="s">
        <v>922</v>
      </c>
      <c r="I8" s="1223" t="s">
        <v>922</v>
      </c>
      <c r="J8" s="1223" t="s">
        <v>922</v>
      </c>
      <c r="K8" s="1223" t="s">
        <v>923</v>
      </c>
      <c r="L8" s="1223" t="s">
        <v>923</v>
      </c>
      <c r="M8" s="1223" t="s">
        <v>923</v>
      </c>
      <c r="N8" s="1223" t="s">
        <v>924</v>
      </c>
      <c r="O8" s="1223" t="s">
        <v>924</v>
      </c>
      <c r="P8" s="1224"/>
      <c r="R8" s="1223" t="s">
        <v>922</v>
      </c>
    </row>
    <row r="9" spans="1:29" x14ac:dyDescent="0.25">
      <c r="A9" s="1217"/>
      <c r="B9" s="1216"/>
      <c r="C9" s="1221" t="s">
        <v>925</v>
      </c>
      <c r="D9" s="1222"/>
      <c r="E9" s="1223" t="s">
        <v>926</v>
      </c>
      <c r="F9" s="1223" t="s">
        <v>926</v>
      </c>
      <c r="G9" s="1223" t="s">
        <v>926</v>
      </c>
      <c r="H9" s="1223" t="s">
        <v>926</v>
      </c>
      <c r="I9" s="1223" t="s">
        <v>926</v>
      </c>
      <c r="J9" s="1223" t="s">
        <v>926</v>
      </c>
      <c r="K9" s="1223" t="s">
        <v>927</v>
      </c>
      <c r="L9" s="1223" t="s">
        <v>927</v>
      </c>
      <c r="M9" s="1225" t="s">
        <v>928</v>
      </c>
      <c r="N9" s="1225" t="s">
        <v>929</v>
      </c>
      <c r="O9" s="1225" t="s">
        <v>929</v>
      </c>
      <c r="P9" s="1224"/>
      <c r="R9" s="1223" t="s">
        <v>926</v>
      </c>
    </row>
    <row r="10" spans="1:29" x14ac:dyDescent="0.25">
      <c r="A10" s="1217"/>
      <c r="B10" s="1216"/>
      <c r="C10" s="1221"/>
      <c r="D10" s="1222"/>
      <c r="E10" s="1223"/>
      <c r="F10" s="1223"/>
      <c r="G10" s="1223"/>
      <c r="H10" s="1223"/>
      <c r="I10" s="1223"/>
      <c r="J10" s="1223"/>
      <c r="K10" s="1223"/>
      <c r="L10" s="1223"/>
      <c r="M10" s="1226"/>
      <c r="N10" s="1227" t="s">
        <v>930</v>
      </c>
      <c r="O10" s="1227" t="s">
        <v>930</v>
      </c>
      <c r="P10" s="1224"/>
      <c r="R10" s="1223"/>
    </row>
    <row r="11" spans="1:29" x14ac:dyDescent="0.25">
      <c r="A11" s="1228" t="s">
        <v>772</v>
      </c>
      <c r="B11" s="1229" t="s">
        <v>688</v>
      </c>
      <c r="C11" s="1230" t="s">
        <v>46</v>
      </c>
      <c r="D11" s="1231"/>
      <c r="E11" s="1231"/>
      <c r="F11" s="1231"/>
      <c r="G11" s="1231"/>
      <c r="H11" s="1231"/>
      <c r="I11" s="1231"/>
      <c r="J11" s="1231"/>
      <c r="K11" s="1231"/>
      <c r="L11" s="1231"/>
      <c r="M11" s="1231"/>
      <c r="N11" s="1231"/>
      <c r="O11" s="1231"/>
      <c r="P11" s="1231"/>
      <c r="Q11" s="1233">
        <v>0.61834492714719791</v>
      </c>
    </row>
    <row r="12" spans="1:29" x14ac:dyDescent="0.25">
      <c r="A12" s="1234"/>
      <c r="B12" s="1229"/>
      <c r="C12" s="1235" t="s">
        <v>931</v>
      </c>
      <c r="D12" s="1231"/>
      <c r="E12" s="1231"/>
      <c r="F12" s="1231"/>
      <c r="G12" s="1231"/>
      <c r="H12" s="1231"/>
      <c r="I12" s="1231"/>
      <c r="J12" s="1231"/>
      <c r="K12" s="1231"/>
      <c r="L12" s="1231"/>
      <c r="M12" s="1231"/>
      <c r="N12" s="1231"/>
      <c r="O12" s="1231"/>
      <c r="P12" s="1231"/>
      <c r="Q12" s="1233">
        <v>0.20829263632252135</v>
      </c>
      <c r="AC12" s="1206"/>
    </row>
    <row r="13" spans="1:29" x14ac:dyDescent="0.25">
      <c r="A13" s="1234"/>
      <c r="B13" s="1229"/>
      <c r="C13" s="1235"/>
      <c r="D13" s="1231"/>
      <c r="E13" s="1231"/>
      <c r="F13" s="1231"/>
      <c r="G13" s="1231"/>
      <c r="H13" s="1231"/>
      <c r="I13" s="1231"/>
      <c r="J13" s="1231"/>
      <c r="K13" s="1231"/>
      <c r="L13" s="1231"/>
      <c r="M13" s="1231"/>
      <c r="N13" s="1231"/>
      <c r="O13" s="1231"/>
      <c r="P13" s="1231"/>
      <c r="Q13" s="1233"/>
      <c r="AC13" s="1206"/>
    </row>
    <row r="14" spans="1:29" x14ac:dyDescent="0.25">
      <c r="A14" s="1234"/>
      <c r="B14" s="1229"/>
      <c r="C14" s="1237" t="s">
        <v>932</v>
      </c>
      <c r="D14" s="1231"/>
      <c r="E14" s="1231"/>
      <c r="F14" s="1231"/>
      <c r="G14" s="1231"/>
      <c r="H14" s="1231"/>
      <c r="I14" s="1231"/>
      <c r="J14" s="1231"/>
      <c r="K14" s="1231"/>
      <c r="L14" s="1231"/>
      <c r="M14" s="1231"/>
      <c r="N14" s="1231"/>
      <c r="O14" s="1231"/>
      <c r="P14" s="1231"/>
      <c r="Q14" s="1233"/>
      <c r="AC14" s="1206"/>
    </row>
    <row r="15" spans="1:29" x14ac:dyDescent="0.25">
      <c r="A15" s="1234"/>
      <c r="B15" s="1229"/>
      <c r="C15" s="1237" t="s">
        <v>933</v>
      </c>
      <c r="D15" s="1231"/>
      <c r="E15" s="1231"/>
      <c r="F15" s="1231"/>
      <c r="G15" s="1231"/>
      <c r="H15" s="1231"/>
      <c r="I15" s="1231"/>
      <c r="J15" s="1231"/>
      <c r="K15" s="1231"/>
      <c r="L15" s="1231"/>
      <c r="M15" s="1231"/>
      <c r="N15" s="1231"/>
      <c r="O15" s="1231"/>
      <c r="P15" s="1231"/>
      <c r="Q15" s="1233"/>
      <c r="AC15" s="1206"/>
    </row>
    <row r="16" spans="1:29" x14ac:dyDescent="0.25">
      <c r="A16" s="1234"/>
      <c r="B16" s="1229"/>
      <c r="C16" s="1235" t="s">
        <v>934</v>
      </c>
      <c r="D16" s="1231"/>
      <c r="E16" s="1231"/>
      <c r="F16" s="1231"/>
      <c r="G16" s="1231"/>
      <c r="H16" s="1231"/>
      <c r="I16" s="1231"/>
      <c r="J16" s="1231"/>
      <c r="K16" s="1231"/>
      <c r="L16" s="1231"/>
      <c r="M16" s="1231"/>
      <c r="N16" s="1231"/>
      <c r="O16" s="1231"/>
      <c r="P16" s="1231"/>
      <c r="Q16" s="1233">
        <v>6.764328223996513E-2</v>
      </c>
      <c r="AC16" s="1206"/>
    </row>
    <row r="17" spans="1:29" x14ac:dyDescent="0.25">
      <c r="A17" s="1234"/>
      <c r="B17" s="1229"/>
      <c r="C17" s="1235"/>
      <c r="D17" s="1231"/>
      <c r="E17" s="1231"/>
      <c r="F17" s="1231"/>
      <c r="G17" s="1231"/>
      <c r="H17" s="1231"/>
      <c r="I17" s="1231"/>
      <c r="J17" s="1231"/>
      <c r="K17" s="1231"/>
      <c r="L17" s="1231"/>
      <c r="M17" s="1231"/>
      <c r="N17" s="1231"/>
      <c r="O17" s="1231"/>
      <c r="P17" s="1231"/>
      <c r="Q17" s="1233"/>
      <c r="AC17" s="1206"/>
    </row>
    <row r="18" spans="1:29" x14ac:dyDescent="0.25">
      <c r="A18" s="1234"/>
      <c r="B18" s="1229"/>
      <c r="C18" s="1237" t="s">
        <v>935</v>
      </c>
      <c r="D18" s="1231"/>
      <c r="E18" s="1231"/>
      <c r="F18" s="1231"/>
      <c r="G18" s="1231"/>
      <c r="H18" s="1231"/>
      <c r="I18" s="1231"/>
      <c r="J18" s="1231"/>
      <c r="K18" s="1231"/>
      <c r="L18" s="1231"/>
      <c r="M18" s="1231"/>
      <c r="N18" s="1231"/>
      <c r="O18" s="1231"/>
      <c r="P18" s="1231"/>
      <c r="Q18" s="1233"/>
      <c r="AC18" s="1206"/>
    </row>
    <row r="19" spans="1:29" x14ac:dyDescent="0.25">
      <c r="A19" s="1234"/>
      <c r="B19" s="1229"/>
      <c r="C19" s="1237" t="s">
        <v>936</v>
      </c>
      <c r="D19" s="1231"/>
      <c r="E19" s="1231"/>
      <c r="F19" s="1231"/>
      <c r="G19" s="1231"/>
      <c r="H19" s="1231"/>
      <c r="I19" s="1231"/>
      <c r="J19" s="1231"/>
      <c r="K19" s="1231"/>
      <c r="L19" s="1231"/>
      <c r="M19" s="1231"/>
      <c r="N19" s="1231"/>
      <c r="O19" s="1231"/>
      <c r="P19" s="1231"/>
      <c r="Q19" s="1233"/>
      <c r="AC19" s="1206"/>
    </row>
    <row r="20" spans="1:29" x14ac:dyDescent="0.25">
      <c r="A20" s="1234"/>
      <c r="B20" s="1229"/>
      <c r="C20" s="1237" t="s">
        <v>937</v>
      </c>
      <c r="D20" s="1231"/>
      <c r="E20" s="1231"/>
      <c r="F20" s="1231"/>
      <c r="G20" s="1231"/>
      <c r="H20" s="1231"/>
      <c r="I20" s="1231"/>
      <c r="J20" s="1231"/>
      <c r="K20" s="1231"/>
      <c r="L20" s="1231"/>
      <c r="M20" s="1231"/>
      <c r="N20" s="1231"/>
      <c r="O20" s="1231"/>
      <c r="P20" s="1231"/>
      <c r="Q20" s="1233"/>
      <c r="AC20" s="1206"/>
    </row>
    <row r="21" spans="1:29" x14ac:dyDescent="0.25">
      <c r="A21" s="1234"/>
      <c r="B21" s="1229"/>
      <c r="C21" s="1237" t="s">
        <v>938</v>
      </c>
      <c r="D21" s="1231"/>
      <c r="E21" s="1231"/>
      <c r="F21" s="1231"/>
      <c r="G21" s="1231"/>
      <c r="H21" s="1231"/>
      <c r="I21" s="1231"/>
      <c r="J21" s="1231"/>
      <c r="K21" s="1231"/>
      <c r="L21" s="1231"/>
      <c r="M21" s="1231"/>
      <c r="N21" s="1231"/>
      <c r="O21" s="1231"/>
      <c r="P21" s="1231"/>
      <c r="Q21" s="1233"/>
      <c r="AC21" s="1206"/>
    </row>
    <row r="22" spans="1:29" x14ac:dyDescent="0.25">
      <c r="A22" s="1234"/>
      <c r="B22" s="1229"/>
      <c r="C22" s="1237" t="s">
        <v>939</v>
      </c>
      <c r="D22" s="1231"/>
      <c r="E22" s="1231"/>
      <c r="F22" s="1231"/>
      <c r="G22" s="1231"/>
      <c r="H22" s="1231"/>
      <c r="I22" s="1231"/>
      <c r="J22" s="1231"/>
      <c r="K22" s="1231"/>
      <c r="L22" s="1231"/>
      <c r="M22" s="1231"/>
      <c r="N22" s="1231"/>
      <c r="O22" s="1231"/>
      <c r="P22" s="1231"/>
      <c r="Q22" s="1233"/>
      <c r="AC22" s="1206"/>
    </row>
    <row r="23" spans="1:29" x14ac:dyDescent="0.25">
      <c r="A23" s="1234"/>
      <c r="B23" s="1229"/>
      <c r="C23" s="1237" t="s">
        <v>940</v>
      </c>
      <c r="D23" s="1231"/>
      <c r="E23" s="1231"/>
      <c r="F23" s="1231"/>
      <c r="G23" s="1231"/>
      <c r="H23" s="1231"/>
      <c r="I23" s="1231"/>
      <c r="J23" s="1231"/>
      <c r="K23" s="1231"/>
      <c r="L23" s="1231"/>
      <c r="M23" s="1231"/>
      <c r="N23" s="1231"/>
      <c r="O23" s="1231"/>
      <c r="P23" s="1231"/>
      <c r="Q23" s="1233"/>
      <c r="AC23" s="1233"/>
    </row>
    <row r="24" spans="1:29" x14ac:dyDescent="0.25">
      <c r="A24" s="1234"/>
      <c r="B24" s="1229"/>
      <c r="C24" s="1235" t="s">
        <v>941</v>
      </c>
      <c r="D24" s="1231"/>
      <c r="E24" s="1231"/>
      <c r="F24" s="1231"/>
      <c r="G24" s="1231"/>
      <c r="H24" s="1231"/>
      <c r="I24" s="1231"/>
      <c r="J24" s="1231"/>
      <c r="K24" s="1231"/>
      <c r="L24" s="1231"/>
      <c r="M24" s="1231"/>
      <c r="N24" s="1231"/>
      <c r="O24" s="1231"/>
      <c r="P24" s="1231"/>
      <c r="Q24" s="1233"/>
      <c r="AC24" s="1233"/>
    </row>
    <row r="25" spans="1:29" x14ac:dyDescent="0.25">
      <c r="A25" s="1234"/>
      <c r="B25" s="1229"/>
      <c r="C25" s="1235"/>
      <c r="D25" s="1231"/>
      <c r="E25" s="1231"/>
      <c r="F25" s="1231"/>
      <c r="G25" s="1231"/>
      <c r="H25" s="1231"/>
      <c r="I25" s="1231"/>
      <c r="J25" s="1231"/>
      <c r="K25" s="1231"/>
      <c r="L25" s="1231"/>
      <c r="M25" s="1231"/>
      <c r="N25" s="1231"/>
      <c r="O25" s="1231"/>
      <c r="P25" s="1231"/>
      <c r="Q25" s="1233"/>
      <c r="AC25" s="1233"/>
    </row>
    <row r="26" spans="1:29" x14ac:dyDescent="0.25">
      <c r="A26" s="1234"/>
      <c r="B26" s="1229"/>
      <c r="C26" s="1235" t="s">
        <v>942</v>
      </c>
      <c r="D26" s="1231"/>
      <c r="E26" s="1231"/>
      <c r="F26" s="1231"/>
      <c r="G26" s="1231"/>
      <c r="H26" s="1231"/>
      <c r="I26" s="1231"/>
      <c r="J26" s="1231"/>
      <c r="K26" s="1231"/>
      <c r="L26" s="1231"/>
      <c r="M26" s="1231"/>
      <c r="N26" s="1231"/>
      <c r="O26" s="1231"/>
      <c r="P26" s="1231"/>
      <c r="Q26" s="1233">
        <v>1.780102074050213E-3</v>
      </c>
      <c r="AC26" s="1233"/>
    </row>
    <row r="27" spans="1:29" x14ac:dyDescent="0.25">
      <c r="A27" s="1234"/>
      <c r="B27" s="1229"/>
      <c r="C27" s="1235"/>
      <c r="D27" s="1231"/>
      <c r="E27" s="1231"/>
      <c r="F27" s="1231"/>
      <c r="G27" s="1231"/>
      <c r="H27" s="1231"/>
      <c r="I27" s="1231"/>
      <c r="J27" s="1231"/>
      <c r="K27" s="1231"/>
      <c r="L27" s="1231"/>
      <c r="M27" s="1231"/>
      <c r="N27" s="1231"/>
      <c r="O27" s="1231"/>
      <c r="P27" s="1231"/>
      <c r="Q27" s="1233"/>
      <c r="AC27" s="1233"/>
    </row>
    <row r="28" spans="1:29" x14ac:dyDescent="0.25">
      <c r="A28" s="1234"/>
      <c r="B28" s="1229"/>
      <c r="C28" s="1237" t="s">
        <v>943</v>
      </c>
      <c r="D28" s="1231"/>
      <c r="E28" s="1231"/>
      <c r="F28" s="1231"/>
      <c r="G28" s="1231"/>
      <c r="H28" s="1231"/>
      <c r="I28" s="1231"/>
      <c r="J28" s="1231"/>
      <c r="K28" s="1231"/>
      <c r="L28" s="1231"/>
      <c r="M28" s="1231"/>
      <c r="N28" s="1231"/>
      <c r="O28" s="1231"/>
      <c r="P28" s="1231"/>
      <c r="Q28" s="1233"/>
      <c r="AC28" s="1233"/>
    </row>
    <row r="29" spans="1:29" x14ac:dyDescent="0.25">
      <c r="A29" s="1234"/>
      <c r="B29" s="1229"/>
      <c r="C29" s="1237" t="s">
        <v>944</v>
      </c>
      <c r="D29" s="1231"/>
      <c r="E29" s="1231"/>
      <c r="F29" s="1231"/>
      <c r="G29" s="1231"/>
      <c r="H29" s="1231"/>
      <c r="I29" s="1231"/>
      <c r="J29" s="1231"/>
      <c r="K29" s="1231"/>
      <c r="L29" s="1231"/>
      <c r="M29" s="1231"/>
      <c r="N29" s="1231"/>
      <c r="O29" s="1231"/>
      <c r="P29" s="1231"/>
      <c r="Q29" s="1233"/>
      <c r="AC29" s="1233"/>
    </row>
    <row r="30" spans="1:29" x14ac:dyDescent="0.25">
      <c r="A30" s="1234"/>
      <c r="B30" s="1229"/>
      <c r="C30" s="1235" t="s">
        <v>945</v>
      </c>
      <c r="D30" s="1231"/>
      <c r="E30" s="1231"/>
      <c r="F30" s="1231"/>
      <c r="G30" s="1231"/>
      <c r="H30" s="1231"/>
      <c r="I30" s="1231"/>
      <c r="J30" s="1231"/>
      <c r="K30" s="1231"/>
      <c r="L30" s="1231"/>
      <c r="M30" s="1231"/>
      <c r="N30" s="1231"/>
      <c r="O30" s="1231"/>
      <c r="P30" s="1231"/>
      <c r="Q30" s="1233">
        <v>5.6060799137393853E-3</v>
      </c>
      <c r="AC30" s="1233"/>
    </row>
    <row r="31" spans="1:29" x14ac:dyDescent="0.25">
      <c r="A31" s="1234"/>
      <c r="B31" s="1229"/>
      <c r="C31" s="1235"/>
      <c r="D31" s="1231"/>
      <c r="E31" s="1231"/>
      <c r="F31" s="1231"/>
      <c r="G31" s="1231"/>
      <c r="H31" s="1231"/>
      <c r="I31" s="1231"/>
      <c r="J31" s="1231"/>
      <c r="K31" s="1231"/>
      <c r="L31" s="1231"/>
      <c r="M31" s="1231"/>
      <c r="N31" s="1231"/>
      <c r="O31" s="1231"/>
      <c r="P31" s="1231"/>
      <c r="Q31" s="1233"/>
      <c r="AC31" s="1233"/>
    </row>
    <row r="32" spans="1:29" x14ac:dyDescent="0.25">
      <c r="A32" s="1234"/>
      <c r="B32" s="1229"/>
      <c r="C32" s="1237" t="s">
        <v>946</v>
      </c>
      <c r="D32" s="1231"/>
      <c r="E32" s="1231"/>
      <c r="F32" s="1231"/>
      <c r="G32" s="1231"/>
      <c r="H32" s="1231"/>
      <c r="I32" s="1231"/>
      <c r="J32" s="1231"/>
      <c r="K32" s="1231"/>
      <c r="L32" s="1231"/>
      <c r="M32" s="1231"/>
      <c r="N32" s="1231"/>
      <c r="O32" s="1231"/>
      <c r="P32" s="1231"/>
      <c r="Q32" s="1233"/>
      <c r="AC32" s="1233"/>
    </row>
    <row r="33" spans="1:29" x14ac:dyDescent="0.25">
      <c r="A33" s="1234"/>
      <c r="B33" s="1229"/>
      <c r="C33" s="1237" t="s">
        <v>947</v>
      </c>
      <c r="D33" s="1231"/>
      <c r="E33" s="1231"/>
      <c r="F33" s="1231"/>
      <c r="G33" s="1231"/>
      <c r="H33" s="1231"/>
      <c r="I33" s="1231"/>
      <c r="J33" s="1231"/>
      <c r="K33" s="1231"/>
      <c r="L33" s="1231"/>
      <c r="M33" s="1231"/>
      <c r="N33" s="1231"/>
      <c r="O33" s="1231"/>
      <c r="P33" s="1231"/>
      <c r="Q33" s="1233"/>
      <c r="AC33" s="1233"/>
    </row>
    <row r="34" spans="1:29" x14ac:dyDescent="0.25">
      <c r="A34" s="1234"/>
      <c r="B34" s="1229"/>
      <c r="C34" s="1237" t="s">
        <v>948</v>
      </c>
      <c r="D34" s="1231"/>
      <c r="E34" s="1231"/>
      <c r="F34" s="1231"/>
      <c r="G34" s="1231"/>
      <c r="H34" s="1231"/>
      <c r="I34" s="1231"/>
      <c r="J34" s="1231"/>
      <c r="K34" s="1231"/>
      <c r="L34" s="1231"/>
      <c r="M34" s="1231"/>
      <c r="N34" s="1231"/>
      <c r="O34" s="1231"/>
      <c r="P34" s="1231"/>
      <c r="Q34" s="1233"/>
      <c r="AC34" s="1233"/>
    </row>
    <row r="35" spans="1:29" x14ac:dyDescent="0.25">
      <c r="A35" s="1234"/>
      <c r="B35" s="1229"/>
      <c r="C35" s="1237" t="s">
        <v>949</v>
      </c>
      <c r="D35" s="1231"/>
      <c r="E35" s="1231"/>
      <c r="F35" s="1231"/>
      <c r="G35" s="1231"/>
      <c r="H35" s="1231"/>
      <c r="I35" s="1231"/>
      <c r="J35" s="1231"/>
      <c r="K35" s="1231"/>
      <c r="L35" s="1231"/>
      <c r="M35" s="1231"/>
      <c r="N35" s="1231"/>
      <c r="O35" s="1231"/>
      <c r="P35" s="1231"/>
      <c r="Q35" s="1233"/>
      <c r="AC35" s="1233"/>
    </row>
    <row r="36" spans="1:29" x14ac:dyDescent="0.25">
      <c r="A36" s="1234"/>
      <c r="B36" s="1229"/>
      <c r="C36" s="1237" t="s">
        <v>950</v>
      </c>
      <c r="D36" s="1231"/>
      <c r="E36" s="1231"/>
      <c r="F36" s="1231"/>
      <c r="G36" s="1231"/>
      <c r="H36" s="1231"/>
      <c r="I36" s="1231"/>
      <c r="J36" s="1231"/>
      <c r="K36" s="1231"/>
      <c r="L36" s="1231"/>
      <c r="M36" s="1231"/>
      <c r="N36" s="1231"/>
      <c r="O36" s="1231"/>
      <c r="P36" s="1231"/>
      <c r="Q36" s="1233"/>
    </row>
    <row r="37" spans="1:29" x14ac:dyDescent="0.25">
      <c r="A37" s="1234"/>
      <c r="B37" s="1229"/>
      <c r="C37" s="1237" t="s">
        <v>951</v>
      </c>
      <c r="D37" s="1231"/>
      <c r="E37" s="1231"/>
      <c r="F37" s="1231"/>
      <c r="G37" s="1231"/>
      <c r="H37" s="1231"/>
      <c r="I37" s="1231"/>
      <c r="J37" s="1231"/>
      <c r="K37" s="1231"/>
      <c r="L37" s="1231"/>
      <c r="M37" s="1231"/>
      <c r="N37" s="1231"/>
      <c r="O37" s="1231"/>
      <c r="P37" s="1231"/>
      <c r="Q37" s="1233"/>
    </row>
    <row r="38" spans="1:29" x14ac:dyDescent="0.25">
      <c r="A38" s="1234"/>
      <c r="B38" s="1229"/>
      <c r="C38" s="1235" t="s">
        <v>952</v>
      </c>
      <c r="D38" s="1231"/>
      <c r="E38" s="1231"/>
      <c r="F38" s="1231"/>
      <c r="G38" s="1231"/>
      <c r="H38" s="1231"/>
      <c r="I38" s="1231"/>
      <c r="J38" s="1231"/>
      <c r="K38" s="1231"/>
      <c r="L38" s="1231"/>
      <c r="M38" s="1231"/>
      <c r="N38" s="1231"/>
      <c r="O38" s="1231"/>
      <c r="P38" s="1231"/>
      <c r="Q38" s="1233"/>
    </row>
    <row r="39" spans="1:29" x14ac:dyDescent="0.25">
      <c r="A39" s="1234"/>
      <c r="B39" s="1229"/>
      <c r="C39" s="1235"/>
      <c r="D39" s="1231"/>
      <c r="E39" s="1231"/>
      <c r="F39" s="1231"/>
      <c r="G39" s="1231"/>
      <c r="H39" s="1231"/>
      <c r="I39" s="1231"/>
      <c r="J39" s="1231"/>
      <c r="K39" s="1231"/>
      <c r="L39" s="1231"/>
      <c r="M39" s="1231"/>
      <c r="N39" s="1231"/>
      <c r="O39" s="1231"/>
      <c r="P39" s="1231"/>
      <c r="Q39" s="1233"/>
    </row>
    <row r="40" spans="1:29" x14ac:dyDescent="0.25">
      <c r="A40" s="1234"/>
      <c r="B40" s="1229"/>
      <c r="C40" s="1237" t="s">
        <v>953</v>
      </c>
      <c r="D40" s="1231"/>
      <c r="E40" s="1231"/>
      <c r="F40" s="1231"/>
      <c r="G40" s="1231"/>
      <c r="H40" s="1231"/>
      <c r="I40" s="1231"/>
      <c r="J40" s="1231"/>
      <c r="K40" s="1231"/>
      <c r="L40" s="1231"/>
      <c r="M40" s="1231"/>
      <c r="N40" s="1231"/>
      <c r="O40" s="1231"/>
      <c r="P40" s="1231"/>
      <c r="Q40" s="1233"/>
    </row>
    <row r="41" spans="1:29" x14ac:dyDescent="0.25">
      <c r="A41" s="1234"/>
      <c r="B41" s="1229"/>
      <c r="C41" s="1237" t="s">
        <v>954</v>
      </c>
      <c r="D41" s="1231"/>
      <c r="E41" s="1231"/>
      <c r="F41" s="1231"/>
      <c r="G41" s="1231"/>
      <c r="H41" s="1231"/>
      <c r="I41" s="1231"/>
      <c r="J41" s="1231"/>
      <c r="K41" s="1231"/>
      <c r="L41" s="1231"/>
      <c r="M41" s="1231"/>
      <c r="N41" s="1231"/>
      <c r="O41" s="1231"/>
      <c r="P41" s="1231"/>
      <c r="Q41" s="1233"/>
    </row>
    <row r="42" spans="1:29" x14ac:dyDescent="0.25">
      <c r="A42" s="1234"/>
      <c r="B42" s="1229"/>
      <c r="C42" s="1230" t="s">
        <v>955</v>
      </c>
      <c r="D42" s="1231"/>
      <c r="E42" s="1231"/>
      <c r="F42" s="1231"/>
      <c r="G42" s="1231"/>
      <c r="H42" s="1231"/>
      <c r="I42" s="1231"/>
      <c r="J42" s="1231"/>
      <c r="K42" s="1231"/>
      <c r="L42" s="1231"/>
      <c r="M42" s="1231"/>
      <c r="N42" s="1231"/>
      <c r="O42" s="1231"/>
      <c r="P42" s="1231"/>
      <c r="Q42" s="1233"/>
    </row>
    <row r="43" spans="1:29" x14ac:dyDescent="0.25">
      <c r="A43" s="1234"/>
      <c r="B43" s="1229"/>
      <c r="C43" s="1230"/>
      <c r="D43" s="1231"/>
      <c r="E43" s="1231"/>
      <c r="F43" s="1231"/>
      <c r="G43" s="1231"/>
      <c r="H43" s="1231"/>
      <c r="I43" s="1231"/>
      <c r="J43" s="1231"/>
      <c r="K43" s="1231"/>
      <c r="L43" s="1231"/>
      <c r="M43" s="1231"/>
      <c r="N43" s="1231"/>
      <c r="O43" s="1231"/>
      <c r="P43" s="1231"/>
      <c r="Q43" s="1233"/>
    </row>
    <row r="44" spans="1:29" x14ac:dyDescent="0.25">
      <c r="A44" s="1234"/>
      <c r="B44" s="1229"/>
      <c r="C44" s="1237" t="s">
        <v>956</v>
      </c>
      <c r="D44" s="1231"/>
      <c r="E44" s="1231"/>
      <c r="F44" s="1231"/>
      <c r="G44" s="1231"/>
      <c r="H44" s="1231"/>
      <c r="I44" s="1231"/>
      <c r="J44" s="1231"/>
      <c r="K44" s="1231"/>
      <c r="L44" s="1231"/>
      <c r="M44" s="1231"/>
      <c r="N44" s="1231"/>
      <c r="O44" s="1231"/>
      <c r="P44" s="1231"/>
      <c r="Q44" s="1233"/>
    </row>
    <row r="45" spans="1:29" x14ac:dyDescent="0.25">
      <c r="A45" s="1234"/>
      <c r="B45" s="1229"/>
      <c r="C45" s="1237" t="s">
        <v>957</v>
      </c>
      <c r="D45" s="1231"/>
      <c r="E45" s="1231"/>
      <c r="F45" s="1231"/>
      <c r="G45" s="1231"/>
      <c r="H45" s="1231"/>
      <c r="I45" s="1231"/>
      <c r="J45" s="1231"/>
      <c r="K45" s="1231"/>
      <c r="L45" s="1231"/>
      <c r="M45" s="1231"/>
      <c r="N45" s="1231"/>
      <c r="O45" s="1231"/>
      <c r="P45" s="1231"/>
      <c r="Q45" s="1239"/>
      <c r="R45" s="1240"/>
      <c r="S45" s="1240"/>
      <c r="T45" s="1241"/>
      <c r="U45" s="1216"/>
      <c r="V45" s="1216"/>
    </row>
    <row r="46" spans="1:29" x14ac:dyDescent="0.25">
      <c r="A46" s="1234"/>
      <c r="B46" s="1229"/>
      <c r="C46" s="1237" t="s">
        <v>958</v>
      </c>
      <c r="D46" s="1231"/>
      <c r="E46" s="1231"/>
      <c r="F46" s="1231"/>
      <c r="G46" s="1231"/>
      <c r="H46" s="1231"/>
      <c r="I46" s="1231"/>
      <c r="J46" s="1231"/>
      <c r="K46" s="1231"/>
      <c r="L46" s="1231"/>
      <c r="M46" s="1231"/>
      <c r="N46" s="1231"/>
      <c r="O46" s="1231"/>
      <c r="P46" s="1231"/>
      <c r="Q46" s="1239"/>
      <c r="R46" s="1240"/>
      <c r="S46" s="1240"/>
      <c r="T46" s="1241"/>
      <c r="U46" s="1216"/>
      <c r="V46" s="1216"/>
    </row>
    <row r="47" spans="1:29" x14ac:dyDescent="0.25">
      <c r="A47" s="1234"/>
      <c r="B47" s="1229"/>
      <c r="C47" s="1237" t="s">
        <v>959</v>
      </c>
      <c r="D47" s="1231"/>
      <c r="E47" s="1231"/>
      <c r="F47" s="1231"/>
      <c r="G47" s="1231"/>
      <c r="H47" s="1231"/>
      <c r="I47" s="1231"/>
      <c r="J47" s="1231"/>
      <c r="K47" s="1231"/>
      <c r="L47" s="1231"/>
      <c r="M47" s="1231"/>
      <c r="N47" s="1231"/>
      <c r="O47" s="1231"/>
      <c r="P47" s="1231"/>
      <c r="Q47" s="1239"/>
      <c r="R47" s="1240"/>
      <c r="S47" s="1240"/>
      <c r="T47" s="1241"/>
      <c r="U47" s="1216"/>
      <c r="V47" s="1216"/>
    </row>
    <row r="48" spans="1:29" x14ac:dyDescent="0.25">
      <c r="A48" s="1234"/>
      <c r="B48" s="1229"/>
      <c r="C48" s="1237" t="s">
        <v>960</v>
      </c>
      <c r="D48" s="1231"/>
      <c r="E48" s="1231"/>
      <c r="F48" s="1231"/>
      <c r="G48" s="1231"/>
      <c r="H48" s="1231"/>
      <c r="I48" s="1231"/>
      <c r="J48" s="1231"/>
      <c r="K48" s="1231"/>
      <c r="L48" s="1231"/>
      <c r="M48" s="1231"/>
      <c r="N48" s="1231"/>
      <c r="O48" s="1231"/>
      <c r="P48" s="1231"/>
      <c r="Q48" s="1239"/>
      <c r="R48" s="1240"/>
      <c r="S48" s="1240"/>
      <c r="T48" s="1241"/>
      <c r="U48" s="1216"/>
      <c r="V48" s="1216"/>
    </row>
    <row r="49" spans="1:22" x14ac:dyDescent="0.25">
      <c r="A49" s="1234"/>
      <c r="B49" s="1229"/>
      <c r="C49" s="1237" t="s">
        <v>961</v>
      </c>
      <c r="D49" s="1231"/>
      <c r="E49" s="1231"/>
      <c r="F49" s="1231"/>
      <c r="G49" s="1231"/>
      <c r="H49" s="1231"/>
      <c r="I49" s="1231"/>
      <c r="J49" s="1231"/>
      <c r="K49" s="1231"/>
      <c r="L49" s="1231"/>
      <c r="M49" s="1231"/>
      <c r="N49" s="1231"/>
      <c r="O49" s="1231"/>
      <c r="P49" s="1231"/>
      <c r="Q49" s="1239"/>
      <c r="R49" s="1240"/>
      <c r="S49" s="1240"/>
      <c r="T49" s="1241"/>
      <c r="U49" s="1216"/>
      <c r="V49" s="1216"/>
    </row>
    <row r="50" spans="1:22" x14ac:dyDescent="0.25">
      <c r="A50" s="1234"/>
      <c r="B50" s="1229"/>
      <c r="C50" s="1230" t="s">
        <v>962</v>
      </c>
      <c r="D50" s="1231"/>
      <c r="E50" s="1231"/>
      <c r="F50" s="1231"/>
      <c r="G50" s="1231"/>
      <c r="H50" s="1231"/>
      <c r="I50" s="1231"/>
      <c r="J50" s="1231"/>
      <c r="K50" s="1231"/>
      <c r="L50" s="1231"/>
      <c r="M50" s="1231"/>
      <c r="N50" s="1231"/>
      <c r="O50" s="1231"/>
      <c r="P50" s="1231"/>
      <c r="Q50" s="1242"/>
      <c r="R50" s="1243"/>
      <c r="S50" s="1243"/>
      <c r="T50" s="1241"/>
      <c r="U50" s="1216"/>
      <c r="V50" s="1216"/>
    </row>
    <row r="51" spans="1:22" x14ac:dyDescent="0.25">
      <c r="A51" s="1234"/>
      <c r="B51" s="1229"/>
      <c r="C51" s="1230"/>
      <c r="D51" s="1231"/>
      <c r="E51" s="1231"/>
      <c r="F51" s="1231"/>
      <c r="G51" s="1231"/>
      <c r="H51" s="1231"/>
      <c r="I51" s="1231"/>
      <c r="J51" s="1231"/>
      <c r="K51" s="1231"/>
      <c r="L51" s="1231"/>
      <c r="M51" s="1231"/>
      <c r="N51" s="1231"/>
      <c r="O51" s="1231"/>
      <c r="P51" s="1231"/>
      <c r="Q51" s="1242"/>
      <c r="R51" s="1243"/>
      <c r="S51" s="1243"/>
      <c r="T51" s="1243"/>
      <c r="U51" s="1216"/>
      <c r="V51" s="1216"/>
    </row>
    <row r="52" spans="1:22" x14ac:dyDescent="0.25">
      <c r="A52" s="1234"/>
      <c r="B52" s="1244"/>
      <c r="C52" s="1235"/>
      <c r="D52" s="1231"/>
      <c r="E52" s="1231"/>
      <c r="F52" s="1231"/>
      <c r="G52" s="1231"/>
      <c r="H52" s="1231"/>
      <c r="I52" s="1231"/>
      <c r="J52" s="1231"/>
      <c r="K52" s="1231"/>
      <c r="L52" s="1231"/>
      <c r="M52" s="1231"/>
      <c r="N52" s="1231"/>
      <c r="O52" s="1231"/>
      <c r="P52" s="1231"/>
      <c r="Q52" s="1242"/>
      <c r="R52" s="1243"/>
      <c r="S52" s="1243"/>
      <c r="T52" s="1245"/>
      <c r="U52" s="1216"/>
      <c r="V52" s="1216"/>
    </row>
    <row r="53" spans="1:22" x14ac:dyDescent="0.25">
      <c r="A53" s="1234"/>
      <c r="B53" s="1246" t="s">
        <v>963</v>
      </c>
      <c r="C53" s="1237" t="s">
        <v>964</v>
      </c>
      <c r="D53" s="1231"/>
      <c r="E53" s="1231"/>
      <c r="F53" s="1231"/>
      <c r="G53" s="1231"/>
      <c r="H53" s="1231"/>
      <c r="I53" s="1231"/>
      <c r="J53" s="1231"/>
      <c r="K53" s="1231"/>
      <c r="L53" s="1231"/>
      <c r="M53" s="1231"/>
      <c r="N53" s="1231"/>
      <c r="O53" s="1231"/>
      <c r="P53" s="1231"/>
      <c r="Q53" s="1242"/>
      <c r="R53" s="1243"/>
      <c r="S53" s="1243"/>
      <c r="T53" s="1241"/>
      <c r="U53" s="1216"/>
      <c r="V53" s="1216"/>
    </row>
    <row r="54" spans="1:22" x14ac:dyDescent="0.25">
      <c r="A54" s="1234"/>
      <c r="B54" s="1244"/>
      <c r="C54" s="1237" t="s">
        <v>965</v>
      </c>
      <c r="D54" s="1231"/>
      <c r="E54" s="1231"/>
      <c r="F54" s="1231"/>
      <c r="G54" s="1231"/>
      <c r="H54" s="1231"/>
      <c r="I54" s="1231"/>
      <c r="J54" s="1231"/>
      <c r="K54" s="1231"/>
      <c r="L54" s="1231"/>
      <c r="M54" s="1231"/>
      <c r="N54" s="1231"/>
      <c r="O54" s="1231"/>
      <c r="P54" s="1231"/>
      <c r="Q54" s="1242"/>
      <c r="R54" s="1243"/>
      <c r="S54" s="1243"/>
      <c r="T54" s="1241"/>
      <c r="U54" s="1216"/>
      <c r="V54" s="1216"/>
    </row>
    <row r="55" spans="1:22" x14ac:dyDescent="0.25">
      <c r="A55" s="1234"/>
      <c r="B55" s="1244"/>
      <c r="C55" s="1237" t="s">
        <v>966</v>
      </c>
      <c r="D55" s="1231"/>
      <c r="E55" s="1231"/>
      <c r="F55" s="1231"/>
      <c r="G55" s="1231"/>
      <c r="H55" s="1231"/>
      <c r="I55" s="1231"/>
      <c r="J55" s="1231"/>
      <c r="K55" s="1231"/>
      <c r="L55" s="1231"/>
      <c r="M55" s="1231"/>
      <c r="N55" s="1231"/>
      <c r="O55" s="1231"/>
      <c r="P55" s="1231"/>
      <c r="Q55" s="1242"/>
      <c r="R55" s="1243"/>
      <c r="S55" s="1243"/>
      <c r="T55" s="1241"/>
      <c r="U55" s="1216"/>
      <c r="V55" s="1216"/>
    </row>
    <row r="56" spans="1:22" x14ac:dyDescent="0.25">
      <c r="A56" s="1234"/>
      <c r="B56" s="1244"/>
      <c r="C56" s="1237" t="s">
        <v>967</v>
      </c>
      <c r="D56" s="1231"/>
      <c r="E56" s="1231"/>
      <c r="F56" s="1231"/>
      <c r="G56" s="1231"/>
      <c r="H56" s="1231"/>
      <c r="I56" s="1231"/>
      <c r="J56" s="1231"/>
      <c r="K56" s="1231"/>
      <c r="L56" s="1231"/>
      <c r="M56" s="1231"/>
      <c r="N56" s="1231"/>
      <c r="O56" s="1231"/>
      <c r="P56" s="1231"/>
      <c r="Q56" s="1242"/>
      <c r="R56" s="1243"/>
      <c r="S56" s="1243"/>
      <c r="T56" s="1241"/>
      <c r="U56" s="1216"/>
      <c r="V56" s="1216"/>
    </row>
    <row r="57" spans="1:22" x14ac:dyDescent="0.25">
      <c r="A57" s="1234"/>
      <c r="B57" s="1244"/>
      <c r="C57" s="1237" t="s">
        <v>968</v>
      </c>
      <c r="D57" s="1231"/>
      <c r="E57" s="1231"/>
      <c r="F57" s="1231"/>
      <c r="G57" s="1231"/>
      <c r="H57" s="1231"/>
      <c r="I57" s="1231"/>
      <c r="J57" s="1231"/>
      <c r="K57" s="1231"/>
      <c r="L57" s="1231"/>
      <c r="M57" s="1231"/>
      <c r="N57" s="1231"/>
      <c r="O57" s="1231"/>
      <c r="P57" s="1231"/>
      <c r="Q57" s="1242"/>
      <c r="R57" s="1243"/>
      <c r="S57" s="1243"/>
      <c r="T57" s="1241"/>
      <c r="U57" s="1216"/>
      <c r="V57" s="1216"/>
    </row>
    <row r="58" spans="1:22" x14ac:dyDescent="0.25">
      <c r="A58" s="1234"/>
      <c r="B58" s="1244"/>
      <c r="C58" s="1237" t="s">
        <v>969</v>
      </c>
      <c r="D58" s="1231"/>
      <c r="E58" s="1231"/>
      <c r="F58" s="1231"/>
      <c r="G58" s="1231"/>
      <c r="H58" s="1231"/>
      <c r="I58" s="1231"/>
      <c r="J58" s="1231"/>
      <c r="K58" s="1231"/>
      <c r="L58" s="1231"/>
      <c r="M58" s="1231"/>
      <c r="N58" s="1231"/>
      <c r="O58" s="1231"/>
      <c r="P58" s="1231"/>
      <c r="Q58" s="1242"/>
      <c r="R58" s="1243"/>
      <c r="S58" s="1243"/>
      <c r="T58" s="1241"/>
      <c r="U58" s="1216"/>
      <c r="V58" s="1216"/>
    </row>
    <row r="59" spans="1:22" x14ac:dyDescent="0.25">
      <c r="A59" s="1234"/>
      <c r="B59" s="1246"/>
      <c r="C59" s="1230" t="s">
        <v>941</v>
      </c>
      <c r="D59" s="1231"/>
      <c r="E59" s="1231"/>
      <c r="F59" s="1231"/>
      <c r="G59" s="1231"/>
      <c r="H59" s="1231"/>
      <c r="I59" s="1231"/>
      <c r="J59" s="1231"/>
      <c r="K59" s="1231"/>
      <c r="L59" s="1231"/>
      <c r="M59" s="1231"/>
      <c r="N59" s="1231"/>
      <c r="O59" s="1231"/>
      <c r="P59" s="1231"/>
      <c r="Q59" s="1242"/>
      <c r="R59" s="1243"/>
      <c r="S59" s="1243"/>
      <c r="T59" s="1241"/>
      <c r="U59" s="1216"/>
      <c r="V59" s="1216"/>
    </row>
    <row r="60" spans="1:22" x14ac:dyDescent="0.25">
      <c r="A60" s="1234"/>
      <c r="B60" s="1246"/>
      <c r="C60" s="1230"/>
      <c r="D60" s="1231"/>
      <c r="E60" s="1231"/>
      <c r="F60" s="1231"/>
      <c r="G60" s="1231"/>
      <c r="H60" s="1231"/>
      <c r="I60" s="1231"/>
      <c r="J60" s="1231"/>
      <c r="K60" s="1231"/>
      <c r="L60" s="1231"/>
      <c r="M60" s="1231"/>
      <c r="N60" s="1231"/>
      <c r="O60" s="1231"/>
      <c r="P60" s="1231"/>
      <c r="Q60" s="1242"/>
      <c r="R60" s="1243"/>
      <c r="S60" s="1243"/>
      <c r="T60" s="1243"/>
      <c r="U60" s="1216"/>
      <c r="V60" s="1216"/>
    </row>
    <row r="61" spans="1:22" x14ac:dyDescent="0.25">
      <c r="A61" s="1234"/>
      <c r="B61" s="1246"/>
      <c r="C61" s="1237" t="s">
        <v>970</v>
      </c>
      <c r="D61" s="1231"/>
      <c r="E61" s="1231"/>
      <c r="F61" s="1231"/>
      <c r="G61" s="1231"/>
      <c r="H61" s="1231"/>
      <c r="I61" s="1231"/>
      <c r="J61" s="1231"/>
      <c r="K61" s="1231"/>
      <c r="L61" s="1231"/>
      <c r="M61" s="1231"/>
      <c r="N61" s="1231"/>
      <c r="O61" s="1231"/>
      <c r="P61" s="1231"/>
      <c r="Q61" s="1242"/>
      <c r="R61" s="1243"/>
      <c r="S61" s="1243"/>
      <c r="T61" s="1241"/>
      <c r="U61" s="1216"/>
      <c r="V61" s="1216"/>
    </row>
    <row r="62" spans="1:22" x14ac:dyDescent="0.25">
      <c r="A62" s="1234"/>
      <c r="B62" s="1246"/>
      <c r="C62" s="1237" t="s">
        <v>971</v>
      </c>
      <c r="D62" s="1231"/>
      <c r="E62" s="1231"/>
      <c r="F62" s="1231"/>
      <c r="G62" s="1231"/>
      <c r="H62" s="1231"/>
      <c r="I62" s="1231"/>
      <c r="J62" s="1231"/>
      <c r="K62" s="1231"/>
      <c r="L62" s="1231"/>
      <c r="M62" s="1231"/>
      <c r="N62" s="1231"/>
      <c r="O62" s="1231"/>
      <c r="P62" s="1231"/>
      <c r="Q62" s="1242"/>
      <c r="R62" s="1243"/>
      <c r="S62" s="1243"/>
      <c r="T62" s="1241"/>
      <c r="U62" s="1216"/>
      <c r="V62" s="1216"/>
    </row>
    <row r="63" spans="1:22" x14ac:dyDescent="0.25">
      <c r="A63" s="1234"/>
      <c r="B63" s="1246"/>
      <c r="C63" s="1230" t="s">
        <v>972</v>
      </c>
      <c r="D63" s="1231"/>
      <c r="E63" s="1231"/>
      <c r="F63" s="1231"/>
      <c r="G63" s="1231"/>
      <c r="H63" s="1231"/>
      <c r="I63" s="1231"/>
      <c r="J63" s="1231"/>
      <c r="K63" s="1231"/>
      <c r="L63" s="1231"/>
      <c r="M63" s="1231"/>
      <c r="N63" s="1231"/>
      <c r="O63" s="1231"/>
      <c r="P63" s="1231"/>
      <c r="Q63" s="1242"/>
      <c r="R63" s="1243"/>
      <c r="S63" s="1243"/>
      <c r="T63" s="1241"/>
      <c r="U63" s="1216"/>
      <c r="V63" s="1216"/>
    </row>
    <row r="64" spans="1:22" x14ac:dyDescent="0.25">
      <c r="A64" s="1234"/>
      <c r="B64" s="1246"/>
      <c r="C64" s="1230"/>
      <c r="D64" s="1231"/>
      <c r="E64" s="1231"/>
      <c r="F64" s="1231"/>
      <c r="G64" s="1231"/>
      <c r="H64" s="1231"/>
      <c r="I64" s="1231"/>
      <c r="J64" s="1231"/>
      <c r="K64" s="1231"/>
      <c r="L64" s="1231"/>
      <c r="M64" s="1231"/>
      <c r="N64" s="1231"/>
      <c r="O64" s="1231"/>
      <c r="P64" s="1231"/>
      <c r="Q64" s="1242"/>
      <c r="R64" s="1243"/>
      <c r="S64" s="1243"/>
      <c r="T64" s="1243"/>
      <c r="U64" s="1216"/>
      <c r="V64" s="1216"/>
    </row>
    <row r="65" spans="1:22" x14ac:dyDescent="0.25">
      <c r="A65" s="1234"/>
      <c r="B65" s="1246"/>
      <c r="C65" s="1237" t="s">
        <v>973</v>
      </c>
      <c r="D65" s="1231"/>
      <c r="E65" s="1231"/>
      <c r="F65" s="1231"/>
      <c r="G65" s="1231"/>
      <c r="H65" s="1231"/>
      <c r="I65" s="1231"/>
      <c r="J65" s="1231"/>
      <c r="K65" s="1231"/>
      <c r="L65" s="1231"/>
      <c r="M65" s="1231"/>
      <c r="N65" s="1231"/>
      <c r="O65" s="1231"/>
      <c r="P65" s="1231"/>
      <c r="Q65" s="1242"/>
      <c r="R65" s="1243"/>
      <c r="S65" s="1243"/>
      <c r="T65" s="1241"/>
      <c r="U65" s="1216"/>
      <c r="V65" s="1216"/>
    </row>
    <row r="66" spans="1:22" x14ac:dyDescent="0.25">
      <c r="A66" s="1234"/>
      <c r="B66" s="1246"/>
      <c r="C66" s="1237" t="s">
        <v>974</v>
      </c>
      <c r="D66" s="1231"/>
      <c r="E66" s="1231"/>
      <c r="F66" s="1231"/>
      <c r="G66" s="1231"/>
      <c r="H66" s="1231"/>
      <c r="I66" s="1231"/>
      <c r="J66" s="1231"/>
      <c r="K66" s="1231"/>
      <c r="L66" s="1231"/>
      <c r="M66" s="1231"/>
      <c r="N66" s="1231"/>
      <c r="O66" s="1231"/>
      <c r="P66" s="1231"/>
      <c r="Q66" s="1242"/>
      <c r="R66" s="1243"/>
      <c r="S66" s="1243"/>
      <c r="T66" s="1241"/>
      <c r="U66" s="1216"/>
      <c r="V66" s="1216"/>
    </row>
    <row r="67" spans="1:22" x14ac:dyDescent="0.25">
      <c r="A67" s="1234"/>
      <c r="B67" s="1246"/>
      <c r="C67" s="1237" t="s">
        <v>975</v>
      </c>
      <c r="D67" s="1231"/>
      <c r="E67" s="1231"/>
      <c r="F67" s="1231"/>
      <c r="G67" s="1231"/>
      <c r="H67" s="1231"/>
      <c r="I67" s="1231"/>
      <c r="J67" s="1231"/>
      <c r="K67" s="1231"/>
      <c r="L67" s="1231"/>
      <c r="M67" s="1231"/>
      <c r="N67" s="1231"/>
      <c r="O67" s="1231"/>
      <c r="P67" s="1231"/>
      <c r="Q67" s="1242"/>
      <c r="R67" s="1243"/>
      <c r="S67" s="1243"/>
      <c r="T67" s="1241"/>
      <c r="U67" s="1216"/>
      <c r="V67" s="1216"/>
    </row>
    <row r="68" spans="1:22" x14ac:dyDescent="0.25">
      <c r="A68" s="1234"/>
      <c r="B68" s="1246"/>
      <c r="C68" s="1237" t="s">
        <v>976</v>
      </c>
      <c r="D68" s="1231"/>
      <c r="E68" s="1231"/>
      <c r="F68" s="1231"/>
      <c r="G68" s="1231"/>
      <c r="H68" s="1231"/>
      <c r="I68" s="1231"/>
      <c r="J68" s="1231"/>
      <c r="K68" s="1231"/>
      <c r="L68" s="1231"/>
      <c r="M68" s="1231"/>
      <c r="N68" s="1231"/>
      <c r="O68" s="1231"/>
      <c r="P68" s="1231"/>
      <c r="Q68" s="1242"/>
      <c r="R68" s="1243"/>
      <c r="S68" s="1243"/>
      <c r="T68" s="1241"/>
      <c r="U68" s="1216"/>
      <c r="V68" s="1216"/>
    </row>
    <row r="69" spans="1:22" x14ac:dyDescent="0.25">
      <c r="A69" s="1234"/>
      <c r="B69" s="1246"/>
      <c r="C69" s="1237" t="s">
        <v>977</v>
      </c>
      <c r="D69" s="1231"/>
      <c r="E69" s="1231"/>
      <c r="F69" s="1231"/>
      <c r="G69" s="1231"/>
      <c r="H69" s="1231"/>
      <c r="I69" s="1231"/>
      <c r="J69" s="1231"/>
      <c r="K69" s="1231"/>
      <c r="L69" s="1231"/>
      <c r="M69" s="1231"/>
      <c r="N69" s="1231"/>
      <c r="O69" s="1231"/>
      <c r="P69" s="1231"/>
      <c r="Q69" s="1242"/>
      <c r="R69" s="1243"/>
      <c r="S69" s="1243"/>
      <c r="T69" s="1241"/>
      <c r="U69" s="1216"/>
      <c r="V69" s="1216"/>
    </row>
    <row r="70" spans="1:22" x14ac:dyDescent="0.25">
      <c r="A70" s="1234"/>
      <c r="B70" s="1246"/>
      <c r="C70" s="1237" t="s">
        <v>978</v>
      </c>
      <c r="D70" s="1231"/>
      <c r="E70" s="1231"/>
      <c r="F70" s="1231"/>
      <c r="G70" s="1231"/>
      <c r="H70" s="1231"/>
      <c r="I70" s="1231"/>
      <c r="J70" s="1231"/>
      <c r="K70" s="1231"/>
      <c r="L70" s="1231"/>
      <c r="M70" s="1231"/>
      <c r="N70" s="1231"/>
      <c r="O70" s="1231"/>
      <c r="P70" s="1231"/>
      <c r="Q70" s="1242"/>
      <c r="R70" s="1243"/>
      <c r="S70" s="1243"/>
      <c r="T70" s="1241"/>
      <c r="U70" s="1216"/>
      <c r="V70" s="1216"/>
    </row>
    <row r="71" spans="1:22" x14ac:dyDescent="0.25">
      <c r="A71" s="1234"/>
      <c r="B71" s="1246"/>
      <c r="C71" s="1230" t="s">
        <v>979</v>
      </c>
      <c r="D71" s="1231"/>
      <c r="E71" s="1231"/>
      <c r="F71" s="1231"/>
      <c r="G71" s="1231"/>
      <c r="H71" s="1231"/>
      <c r="I71" s="1231"/>
      <c r="J71" s="1231"/>
      <c r="K71" s="1231"/>
      <c r="L71" s="1231"/>
      <c r="M71" s="1231"/>
      <c r="N71" s="1231"/>
      <c r="O71" s="1231"/>
      <c r="P71" s="1231"/>
      <c r="Q71" s="1242"/>
      <c r="R71" s="1243"/>
      <c r="S71" s="1243"/>
      <c r="T71" s="1243"/>
      <c r="U71" s="1216"/>
      <c r="V71" s="1216"/>
    </row>
    <row r="72" spans="1:22" x14ac:dyDescent="0.25">
      <c r="A72" s="1234"/>
      <c r="B72" s="1246"/>
      <c r="C72" s="1230"/>
      <c r="D72" s="1231"/>
      <c r="E72" s="1231"/>
      <c r="F72" s="1231"/>
      <c r="G72" s="1231"/>
      <c r="H72" s="1231"/>
      <c r="I72" s="1231"/>
      <c r="J72" s="1231"/>
      <c r="K72" s="1231"/>
      <c r="L72" s="1231"/>
      <c r="M72" s="1231"/>
      <c r="N72" s="1231"/>
      <c r="O72" s="1231"/>
      <c r="P72" s="1231"/>
      <c r="Q72" s="1242"/>
      <c r="R72" s="1243"/>
      <c r="S72" s="1243"/>
      <c r="T72" s="1243"/>
      <c r="U72" s="1216"/>
      <c r="V72" s="1216"/>
    </row>
    <row r="73" spans="1:22" x14ac:dyDescent="0.25">
      <c r="A73" s="1234"/>
      <c r="B73" s="1246"/>
      <c r="C73" s="1237" t="s">
        <v>980</v>
      </c>
      <c r="D73" s="1231"/>
      <c r="E73" s="1231"/>
      <c r="F73" s="1231"/>
      <c r="G73" s="1231"/>
      <c r="H73" s="1231"/>
      <c r="I73" s="1231"/>
      <c r="J73" s="1231"/>
      <c r="K73" s="1231"/>
      <c r="L73" s="1231"/>
      <c r="M73" s="1231"/>
      <c r="N73" s="1231"/>
      <c r="O73" s="1231"/>
      <c r="P73" s="1231"/>
      <c r="Q73" s="1242"/>
      <c r="R73" s="1243"/>
      <c r="S73" s="1243"/>
      <c r="T73" s="1241"/>
      <c r="U73" s="1216"/>
      <c r="V73" s="1216"/>
    </row>
    <row r="74" spans="1:22" x14ac:dyDescent="0.25">
      <c r="A74" s="1234"/>
      <c r="B74" s="1246"/>
      <c r="C74" s="1237" t="s">
        <v>981</v>
      </c>
      <c r="D74" s="1231"/>
      <c r="E74" s="1231"/>
      <c r="F74" s="1231"/>
      <c r="G74" s="1231"/>
      <c r="H74" s="1231"/>
      <c r="I74" s="1231"/>
      <c r="J74" s="1231"/>
      <c r="K74" s="1231"/>
      <c r="L74" s="1231"/>
      <c r="M74" s="1231"/>
      <c r="N74" s="1231"/>
      <c r="O74" s="1231"/>
      <c r="P74" s="1231"/>
      <c r="Q74" s="1242"/>
      <c r="R74" s="1243"/>
      <c r="S74" s="1243"/>
      <c r="T74" s="1241"/>
      <c r="U74" s="1216"/>
      <c r="V74" s="1216"/>
    </row>
    <row r="75" spans="1:22" x14ac:dyDescent="0.25">
      <c r="A75" s="1234"/>
      <c r="B75" s="1246"/>
      <c r="C75" s="1237" t="s">
        <v>982</v>
      </c>
      <c r="D75" s="1231"/>
      <c r="E75" s="1231"/>
      <c r="F75" s="1231"/>
      <c r="G75" s="1231"/>
      <c r="H75" s="1231"/>
      <c r="I75" s="1231"/>
      <c r="J75" s="1231"/>
      <c r="K75" s="1231"/>
      <c r="L75" s="1231"/>
      <c r="M75" s="1231"/>
      <c r="N75" s="1231"/>
      <c r="O75" s="1231"/>
      <c r="P75" s="1231"/>
      <c r="Q75" s="1242"/>
      <c r="R75" s="1243"/>
      <c r="S75" s="1243"/>
      <c r="T75" s="1241"/>
      <c r="U75" s="1216"/>
      <c r="V75" s="1216"/>
    </row>
    <row r="76" spans="1:22" x14ac:dyDescent="0.25">
      <c r="A76" s="1234"/>
      <c r="B76" s="1246"/>
      <c r="C76" s="1237" t="s">
        <v>983</v>
      </c>
      <c r="D76" s="1231"/>
      <c r="E76" s="1231"/>
      <c r="F76" s="1231"/>
      <c r="G76" s="1231"/>
      <c r="H76" s="1231"/>
      <c r="I76" s="1231"/>
      <c r="J76" s="1231"/>
      <c r="K76" s="1231"/>
      <c r="L76" s="1231"/>
      <c r="M76" s="1231"/>
      <c r="N76" s="1231"/>
      <c r="O76" s="1231"/>
      <c r="P76" s="1231"/>
      <c r="Q76" s="1242"/>
      <c r="R76" s="1243"/>
      <c r="S76" s="1243"/>
      <c r="T76" s="1241"/>
      <c r="U76" s="1216"/>
      <c r="V76" s="1216"/>
    </row>
    <row r="77" spans="1:22" x14ac:dyDescent="0.25">
      <c r="A77" s="1234"/>
      <c r="B77" s="1246"/>
      <c r="C77" s="1237" t="s">
        <v>984</v>
      </c>
      <c r="D77" s="1231"/>
      <c r="E77" s="1231"/>
      <c r="F77" s="1231"/>
      <c r="G77" s="1231"/>
      <c r="H77" s="1231"/>
      <c r="I77" s="1231"/>
      <c r="J77" s="1231"/>
      <c r="K77" s="1231"/>
      <c r="L77" s="1231"/>
      <c r="M77" s="1231"/>
      <c r="N77" s="1231"/>
      <c r="O77" s="1231"/>
      <c r="P77" s="1231"/>
      <c r="Q77" s="1242"/>
      <c r="R77" s="1243"/>
      <c r="S77" s="1243"/>
      <c r="T77" s="1241"/>
      <c r="U77" s="1216"/>
      <c r="V77" s="1216"/>
    </row>
    <row r="78" spans="1:22" x14ac:dyDescent="0.25">
      <c r="A78" s="1234"/>
      <c r="B78" s="1246"/>
      <c r="C78" s="1237" t="s">
        <v>985</v>
      </c>
      <c r="D78" s="1231"/>
      <c r="E78" s="1231"/>
      <c r="F78" s="1231"/>
      <c r="G78" s="1231"/>
      <c r="H78" s="1231"/>
      <c r="I78" s="1231"/>
      <c r="J78" s="1231"/>
      <c r="K78" s="1231"/>
      <c r="L78" s="1231"/>
      <c r="M78" s="1231"/>
      <c r="N78" s="1231"/>
      <c r="O78" s="1231"/>
      <c r="P78" s="1231"/>
      <c r="Q78" s="1242"/>
      <c r="R78" s="1243"/>
      <c r="S78" s="1243"/>
      <c r="T78" s="1241"/>
      <c r="U78" s="1216"/>
      <c r="V78" s="1216"/>
    </row>
    <row r="79" spans="1:22" x14ac:dyDescent="0.25">
      <c r="A79" s="1234"/>
      <c r="B79" s="1246"/>
      <c r="C79" s="1230" t="s">
        <v>962</v>
      </c>
      <c r="D79" s="1231"/>
      <c r="E79" s="1231"/>
      <c r="F79" s="1231"/>
      <c r="G79" s="1231"/>
      <c r="H79" s="1231"/>
      <c r="I79" s="1231"/>
      <c r="J79" s="1231"/>
      <c r="K79" s="1231"/>
      <c r="L79" s="1231"/>
      <c r="M79" s="1231"/>
      <c r="N79" s="1231"/>
      <c r="O79" s="1231"/>
      <c r="P79" s="1231"/>
      <c r="Q79" s="1242"/>
      <c r="R79" s="1243"/>
      <c r="S79" s="1243"/>
      <c r="T79" s="1241"/>
      <c r="U79" s="1216"/>
      <c r="V79" s="1216"/>
    </row>
    <row r="80" spans="1:22" x14ac:dyDescent="0.25">
      <c r="A80" s="1234"/>
      <c r="B80" s="1246"/>
      <c r="C80" s="1230"/>
      <c r="D80" s="1231"/>
      <c r="E80" s="1231"/>
      <c r="F80" s="1231"/>
      <c r="G80" s="1231"/>
      <c r="H80" s="1231"/>
      <c r="I80" s="1231"/>
      <c r="J80" s="1231"/>
      <c r="K80" s="1231"/>
      <c r="L80" s="1231"/>
      <c r="M80" s="1231"/>
      <c r="N80" s="1231"/>
      <c r="O80" s="1231"/>
      <c r="P80" s="1231"/>
      <c r="Q80" s="1242"/>
      <c r="R80" s="1243"/>
      <c r="S80" s="1243"/>
      <c r="T80" s="1243"/>
      <c r="U80" s="1216"/>
      <c r="V80" s="1216"/>
    </row>
    <row r="81" spans="1:28" x14ac:dyDescent="0.25">
      <c r="A81" s="1234"/>
      <c r="B81" s="1246"/>
      <c r="C81" s="1230" t="s">
        <v>986</v>
      </c>
      <c r="D81" s="1231"/>
      <c r="E81" s="1231"/>
      <c r="F81" s="1231"/>
      <c r="G81" s="1231"/>
      <c r="H81" s="1231"/>
      <c r="I81" s="1231"/>
      <c r="J81" s="1231"/>
      <c r="K81" s="1231"/>
      <c r="L81" s="1231"/>
      <c r="M81" s="1231"/>
      <c r="N81" s="1231"/>
      <c r="O81" s="1231"/>
      <c r="P81" s="1231"/>
      <c r="Q81" s="1242"/>
      <c r="R81" s="1243"/>
      <c r="S81" s="1243"/>
      <c r="T81" s="1241"/>
      <c r="U81" s="1216"/>
      <c r="V81" s="1216"/>
    </row>
    <row r="82" spans="1:28" x14ac:dyDescent="0.25">
      <c r="A82" s="1234"/>
      <c r="B82" s="1246"/>
      <c r="C82" s="1230" t="s">
        <v>987</v>
      </c>
      <c r="D82" s="1231"/>
      <c r="E82" s="1231"/>
      <c r="F82" s="1231"/>
      <c r="G82" s="1231"/>
      <c r="H82" s="1231"/>
      <c r="I82" s="1231"/>
      <c r="J82" s="1231"/>
      <c r="K82" s="1231"/>
      <c r="L82" s="1231"/>
      <c r="M82" s="1231"/>
      <c r="N82" s="1231"/>
      <c r="O82" s="1231"/>
      <c r="P82" s="1231"/>
      <c r="Q82" s="1242"/>
      <c r="R82" s="1243"/>
      <c r="S82" s="1243"/>
      <c r="T82" s="1241"/>
      <c r="U82" s="1216"/>
      <c r="V82" s="1216"/>
    </row>
    <row r="83" spans="1:28" x14ac:dyDescent="0.25">
      <c r="A83" s="1234"/>
      <c r="B83" s="1246"/>
      <c r="C83" s="1230"/>
      <c r="D83" s="1231"/>
      <c r="E83" s="1231"/>
      <c r="F83" s="1231"/>
      <c r="G83" s="1231"/>
      <c r="H83" s="1231"/>
      <c r="I83" s="1231"/>
      <c r="J83" s="1231"/>
      <c r="K83" s="1231"/>
      <c r="L83" s="1231"/>
      <c r="M83" s="1231"/>
      <c r="N83" s="1231"/>
      <c r="O83" s="1231"/>
      <c r="P83" s="1231"/>
      <c r="Q83" s="1242"/>
      <c r="R83" s="1444" t="s">
        <v>1097</v>
      </c>
      <c r="S83" s="1444"/>
      <c r="T83" s="1444"/>
      <c r="U83" s="1445"/>
      <c r="V83" s="1445"/>
      <c r="W83" s="1445"/>
      <c r="X83" s="1445"/>
      <c r="Y83" s="1445"/>
      <c r="Z83" s="1445"/>
      <c r="AA83" s="1445"/>
      <c r="AB83" s="1445"/>
    </row>
    <row r="84" spans="1:28" x14ac:dyDescent="0.25">
      <c r="A84" s="1247"/>
      <c r="B84" s="1229"/>
      <c r="C84" s="1235"/>
      <c r="D84" s="1231"/>
      <c r="E84" s="1231"/>
      <c r="F84" s="1248" t="s">
        <v>1043</v>
      </c>
      <c r="G84" s="1286">
        <f ca="1">NOW()</f>
        <v>43766.598540740742</v>
      </c>
      <c r="H84" s="1248"/>
      <c r="I84" s="1248"/>
      <c r="J84" s="1231"/>
      <c r="K84" s="1231"/>
      <c r="L84" s="1231"/>
      <c r="M84" s="1231"/>
      <c r="N84" s="1231"/>
      <c r="O84" s="1231"/>
      <c r="P84" s="1231"/>
      <c r="Q84" s="1242"/>
      <c r="R84" s="1444"/>
      <c r="S84" s="1444"/>
      <c r="T84" s="1446"/>
      <c r="U84" s="1445"/>
      <c r="V84" s="1445"/>
      <c r="W84" s="1445"/>
      <c r="X84" s="1445"/>
      <c r="Y84" s="1445"/>
      <c r="Z84" s="1445"/>
      <c r="AA84" s="1445"/>
      <c r="AB84" s="1445"/>
    </row>
    <row r="85" spans="1:28" x14ac:dyDescent="0.25">
      <c r="A85" s="1234" t="s">
        <v>181</v>
      </c>
      <c r="B85" s="1229" t="s">
        <v>688</v>
      </c>
      <c r="C85" s="1235" t="s">
        <v>46</v>
      </c>
      <c r="D85" s="1231"/>
      <c r="E85" s="1231"/>
      <c r="F85" s="1232">
        <f>+'Rates in detail'!V15</f>
        <v>0.78120999999999974</v>
      </c>
      <c r="G85" s="1232">
        <f>+F85-Inputs!$B$16-Inputs!$B$18-H85-I85</f>
        <v>0.41381999999999974</v>
      </c>
      <c r="H85" s="1232">
        <f>+Temporaries!F15+Temporaries!G15</f>
        <v>6.3799999999999968E-3</v>
      </c>
      <c r="I85" s="1232">
        <f>+Temporaries!AK15</f>
        <v>4.7199999999999992E-2</v>
      </c>
      <c r="J85" s="1231"/>
      <c r="K85" s="1231"/>
      <c r="L85" s="1231"/>
      <c r="M85" s="1231"/>
      <c r="N85" s="1231"/>
      <c r="O85" s="1231"/>
      <c r="P85" s="1231"/>
      <c r="Q85" s="1233">
        <v>7.1669472780636498E-2</v>
      </c>
      <c r="R85" s="1444">
        <f>+F85-Inputs!$B$18+'Rates in detail'!$F$15</f>
        <v>0.78160999999999969</v>
      </c>
      <c r="S85" s="1444">
        <f>+R85-F85+'Rates in summary'!$F$15</f>
        <v>-4.163336342344337E-17</v>
      </c>
      <c r="T85" s="1447"/>
      <c r="U85" s="1445"/>
      <c r="V85" s="1445"/>
      <c r="W85" s="1445"/>
      <c r="X85" s="1445"/>
      <c r="Y85" s="1445"/>
      <c r="Z85" s="1445"/>
      <c r="AA85" s="1445"/>
      <c r="AB85" s="1445"/>
    </row>
    <row r="86" spans="1:28" x14ac:dyDescent="0.25">
      <c r="A86" s="1234"/>
      <c r="B86" s="1229"/>
      <c r="C86" s="1235" t="s">
        <v>931</v>
      </c>
      <c r="D86" s="1231"/>
      <c r="E86" s="1231"/>
      <c r="F86" s="1232">
        <f>+'Rates in detail'!V16</f>
        <v>0.78024000000000027</v>
      </c>
      <c r="G86" s="1232">
        <f>+F86-Inputs!$B$16-Inputs!$B$18-H86-I86</f>
        <v>0.41794000000000026</v>
      </c>
      <c r="H86" s="1236">
        <f>+$H$85</f>
        <v>6.3799999999999968E-3</v>
      </c>
      <c r="I86" s="1232">
        <f>+Temporaries!AK16</f>
        <v>4.2110000000000002E-2</v>
      </c>
      <c r="J86" s="1231"/>
      <c r="K86" s="1231"/>
      <c r="L86" s="1231"/>
      <c r="M86" s="1231"/>
      <c r="N86" s="1231"/>
      <c r="O86" s="1231"/>
      <c r="P86" s="1231"/>
      <c r="Q86" s="1233">
        <v>2.4492716086943242E-2</v>
      </c>
      <c r="R86" s="1444">
        <f>+F86-Inputs!$B$18+'Rates in detail'!$F$15</f>
        <v>0.78064000000000022</v>
      </c>
      <c r="S86" s="1444">
        <f>+R86-F86+'Rates in summary'!$F$15</f>
        <v>-4.163336342344337E-17</v>
      </c>
      <c r="T86" s="1448"/>
      <c r="U86" s="1445"/>
      <c r="V86" s="1445"/>
      <c r="W86" s="1445"/>
      <c r="X86" s="1445"/>
      <c r="Y86" s="1445"/>
      <c r="Z86" s="1445"/>
      <c r="AA86" s="1445"/>
      <c r="AB86" s="1445"/>
    </row>
    <row r="87" spans="1:28" x14ac:dyDescent="0.25">
      <c r="A87" s="1234"/>
      <c r="B87" s="1229"/>
      <c r="C87" s="1235"/>
      <c r="D87" s="1231"/>
      <c r="E87" s="1231"/>
      <c r="F87" s="1232"/>
      <c r="G87" s="1232"/>
      <c r="H87" s="1232"/>
      <c r="I87" s="1232"/>
      <c r="J87" s="1231"/>
      <c r="K87" s="1231"/>
      <c r="L87" s="1231"/>
      <c r="M87" s="1231"/>
      <c r="N87" s="1231"/>
      <c r="O87" s="1231"/>
      <c r="P87" s="1231"/>
      <c r="Q87" s="1242"/>
      <c r="R87" s="1444"/>
      <c r="S87" s="1444"/>
      <c r="T87" s="1446"/>
      <c r="U87" s="1445"/>
      <c r="V87" s="1445"/>
      <c r="W87" s="1445"/>
      <c r="X87" s="1445"/>
      <c r="Y87" s="1445"/>
      <c r="Z87" s="1445"/>
      <c r="AA87" s="1445"/>
      <c r="AB87" s="1445"/>
    </row>
    <row r="88" spans="1:28" x14ac:dyDescent="0.25">
      <c r="A88" s="1234"/>
      <c r="B88" s="1229"/>
      <c r="C88" s="1237" t="s">
        <v>988</v>
      </c>
      <c r="D88" s="1231"/>
      <c r="E88" s="1231"/>
      <c r="F88" s="1232"/>
      <c r="G88" s="1232"/>
      <c r="H88" s="1249"/>
      <c r="I88" s="1232"/>
      <c r="J88" s="1231"/>
      <c r="K88" s="1231"/>
      <c r="L88" s="1231"/>
      <c r="M88" s="1231"/>
      <c r="N88" s="1231"/>
      <c r="O88" s="1231"/>
      <c r="P88" s="1231"/>
      <c r="Q88" s="1239"/>
      <c r="R88" s="1444"/>
      <c r="S88" s="1449"/>
      <c r="T88" s="1448"/>
      <c r="U88" s="1445"/>
      <c r="V88" s="1445"/>
      <c r="W88" s="1445"/>
      <c r="X88" s="1445"/>
      <c r="Y88" s="1445"/>
      <c r="Z88" s="1445"/>
      <c r="AA88" s="1445"/>
      <c r="AB88" s="1445"/>
    </row>
    <row r="89" spans="1:28" x14ac:dyDescent="0.25">
      <c r="A89" s="1234"/>
      <c r="B89" s="1229"/>
      <c r="C89" s="1237" t="s">
        <v>989</v>
      </c>
      <c r="D89" s="1231"/>
      <c r="E89" s="1231"/>
      <c r="F89" s="1232"/>
      <c r="G89" s="1232"/>
      <c r="H89" s="1236"/>
      <c r="I89" s="1232"/>
      <c r="J89" s="1231"/>
      <c r="K89" s="1231"/>
      <c r="L89" s="1231"/>
      <c r="M89" s="1231"/>
      <c r="N89" s="1231"/>
      <c r="O89" s="1231"/>
      <c r="P89" s="1231"/>
      <c r="Q89" s="1239"/>
      <c r="R89" s="1444"/>
      <c r="S89" s="1449"/>
      <c r="T89" s="1448"/>
      <c r="U89" s="1445"/>
      <c r="V89" s="1445"/>
      <c r="W89" s="1445"/>
      <c r="X89" s="1445"/>
      <c r="Y89" s="1445"/>
      <c r="Z89" s="1445"/>
      <c r="AA89" s="1445"/>
      <c r="AB89" s="1445"/>
    </row>
    <row r="90" spans="1:28" x14ac:dyDescent="0.25">
      <c r="A90" s="1234"/>
      <c r="B90" s="1229"/>
      <c r="C90" s="1237" t="s">
        <v>990</v>
      </c>
      <c r="D90" s="1231"/>
      <c r="E90" s="1231"/>
      <c r="F90" s="1232"/>
      <c r="G90" s="1232"/>
      <c r="H90" s="1236"/>
      <c r="I90" s="1232"/>
      <c r="J90" s="1231"/>
      <c r="K90" s="1231"/>
      <c r="L90" s="1231"/>
      <c r="M90" s="1231"/>
      <c r="N90" s="1231"/>
      <c r="O90" s="1231"/>
      <c r="P90" s="1231"/>
      <c r="Q90" s="1239"/>
      <c r="R90" s="1444"/>
      <c r="S90" s="1449"/>
      <c r="T90" s="1448"/>
      <c r="U90" s="1445"/>
      <c r="V90" s="1445"/>
      <c r="W90" s="1445"/>
      <c r="X90" s="1445"/>
      <c r="Y90" s="1445"/>
      <c r="Z90" s="1445"/>
      <c r="AA90" s="1445"/>
      <c r="AB90" s="1445"/>
    </row>
    <row r="91" spans="1:28" x14ac:dyDescent="0.25">
      <c r="A91" s="1234"/>
      <c r="B91" s="1229"/>
      <c r="C91" s="1237" t="s">
        <v>991</v>
      </c>
      <c r="D91" s="1231"/>
      <c r="E91" s="1231"/>
      <c r="F91" s="1232"/>
      <c r="G91" s="1232"/>
      <c r="H91" s="1236"/>
      <c r="I91" s="1232"/>
      <c r="J91" s="1231"/>
      <c r="K91" s="1231"/>
      <c r="L91" s="1231"/>
      <c r="M91" s="1231"/>
      <c r="N91" s="1231"/>
      <c r="O91" s="1231"/>
      <c r="P91" s="1231"/>
      <c r="Q91" s="1239"/>
      <c r="R91" s="1444"/>
      <c r="S91" s="1449"/>
      <c r="T91" s="1448"/>
      <c r="U91" s="1445"/>
      <c r="V91" s="1445"/>
      <c r="W91" s="1445"/>
      <c r="X91" s="1445"/>
      <c r="Y91" s="1445"/>
      <c r="Z91" s="1445"/>
      <c r="AA91" s="1445"/>
      <c r="AB91" s="1445"/>
    </row>
    <row r="92" spans="1:28" x14ac:dyDescent="0.25">
      <c r="A92" s="1234"/>
      <c r="B92" s="1229"/>
      <c r="C92" s="1235" t="s">
        <v>992</v>
      </c>
      <c r="D92" s="1231"/>
      <c r="E92" s="1231"/>
      <c r="F92" s="1232"/>
      <c r="G92" s="1232"/>
      <c r="H92" s="1232"/>
      <c r="I92" s="1232"/>
      <c r="J92" s="1231"/>
      <c r="K92" s="1231"/>
      <c r="L92" s="1231"/>
      <c r="M92" s="1231"/>
      <c r="N92" s="1231"/>
      <c r="O92" s="1231"/>
      <c r="P92" s="1231"/>
      <c r="Q92" s="1242"/>
      <c r="R92" s="1444"/>
      <c r="S92" s="1444"/>
      <c r="T92" s="1448"/>
      <c r="U92" s="1445"/>
      <c r="V92" s="1445"/>
      <c r="W92" s="1445"/>
      <c r="X92" s="1445"/>
      <c r="Y92" s="1445"/>
      <c r="Z92" s="1445"/>
      <c r="AA92" s="1445"/>
      <c r="AB92" s="1445"/>
    </row>
    <row r="93" spans="1:28" x14ac:dyDescent="0.25">
      <c r="A93" s="1234"/>
      <c r="B93" s="1229"/>
      <c r="C93" s="1235"/>
      <c r="D93" s="1231"/>
      <c r="E93" s="1231"/>
      <c r="F93" s="1232"/>
      <c r="G93" s="1232"/>
      <c r="H93" s="1232"/>
      <c r="I93" s="1232"/>
      <c r="J93" s="1231"/>
      <c r="K93" s="1231"/>
      <c r="L93" s="1231"/>
      <c r="M93" s="1231"/>
      <c r="N93" s="1231"/>
      <c r="O93" s="1231"/>
      <c r="P93" s="1231"/>
      <c r="Q93" s="1242"/>
      <c r="R93" s="1444"/>
      <c r="S93" s="1444"/>
      <c r="T93" s="1446"/>
      <c r="U93" s="1445"/>
      <c r="V93" s="1445"/>
      <c r="W93" s="1445"/>
      <c r="X93" s="1445"/>
      <c r="Y93" s="1445"/>
      <c r="Z93" s="1445"/>
      <c r="AA93" s="1445"/>
      <c r="AB93" s="1445"/>
    </row>
    <row r="94" spans="1:28" x14ac:dyDescent="0.25">
      <c r="A94" s="1234"/>
      <c r="B94" s="1229"/>
      <c r="C94" s="1237" t="s">
        <v>993</v>
      </c>
      <c r="D94" s="1231"/>
      <c r="E94" s="1231"/>
      <c r="F94" s="1232">
        <f>+'Rates in detail'!V19+Inputs!$B$18</f>
        <v>0.65443000000000029</v>
      </c>
      <c r="G94" s="1232">
        <f>+F94-Inputs!$B$16-Inputs!$B$18-H94-I94</f>
        <v>0.30113000000000023</v>
      </c>
      <c r="H94" s="1236">
        <f>+$H$85</f>
        <v>6.3799999999999968E-3</v>
      </c>
      <c r="I94" s="1232">
        <f>+Temporaries!AK19</f>
        <v>3.3110000000000001E-2</v>
      </c>
      <c r="J94" s="1231"/>
      <c r="K94" s="1231"/>
      <c r="L94" s="1231"/>
      <c r="M94" s="1231"/>
      <c r="N94" s="1231"/>
      <c r="O94" s="1231"/>
      <c r="P94" s="1231"/>
      <c r="Q94" s="1239"/>
      <c r="R94" s="1444">
        <f>+F94-Inputs!$B$18+'Rates in detail'!$F$15</f>
        <v>0.65483000000000025</v>
      </c>
      <c r="S94" s="1444">
        <f>+R94-F94+'Rates in summary'!$F$15</f>
        <v>-4.163336342344337E-17</v>
      </c>
      <c r="T94" s="1448"/>
      <c r="U94" s="1445"/>
      <c r="V94" s="1445"/>
      <c r="W94" s="1445"/>
      <c r="X94" s="1445"/>
      <c r="Y94" s="1445"/>
      <c r="Z94" s="1445"/>
      <c r="AA94" s="1445"/>
      <c r="AB94" s="1445"/>
    </row>
    <row r="95" spans="1:28" x14ac:dyDescent="0.25">
      <c r="A95" s="1234"/>
      <c r="B95" s="1229"/>
      <c r="C95" s="1237" t="s">
        <v>994</v>
      </c>
      <c r="D95" s="1231"/>
      <c r="E95" s="1231"/>
      <c r="F95" s="1232">
        <f>+'Rates in detail'!V20+Inputs!$B$18</f>
        <v>0.61469999999999991</v>
      </c>
      <c r="G95" s="1232">
        <f>+F95-Inputs!$B$16-Inputs!$B$18-H95-I95</f>
        <v>0.26533999999999991</v>
      </c>
      <c r="H95" s="1236">
        <f>+$H$85</f>
        <v>6.3799999999999968E-3</v>
      </c>
      <c r="I95" s="1232">
        <f>+Temporaries!AK20</f>
        <v>2.9170000000000001E-2</v>
      </c>
      <c r="J95" s="1231"/>
      <c r="K95" s="1231"/>
      <c r="L95" s="1231"/>
      <c r="M95" s="1231"/>
      <c r="N95" s="1231"/>
      <c r="O95" s="1231"/>
      <c r="P95" s="1231"/>
      <c r="Q95" s="1239"/>
      <c r="R95" s="1444">
        <f>+F95-Inputs!$B$18+'Rates in detail'!$F$15</f>
        <v>0.61509999999999987</v>
      </c>
      <c r="S95" s="1444">
        <f>+R95-F95+'Rates in summary'!$F$15</f>
        <v>-4.163336342344337E-17</v>
      </c>
      <c r="T95" s="1448"/>
      <c r="U95" s="1445"/>
      <c r="V95" s="1445"/>
      <c r="W95" s="1445"/>
      <c r="X95" s="1445"/>
      <c r="Y95" s="1445"/>
      <c r="Z95" s="1445"/>
      <c r="AA95" s="1445"/>
      <c r="AB95" s="1445"/>
    </row>
    <row r="96" spans="1:28" x14ac:dyDescent="0.25">
      <c r="A96" s="1234"/>
      <c r="B96" s="1229"/>
      <c r="C96" s="1235" t="s">
        <v>995</v>
      </c>
      <c r="D96" s="1231"/>
      <c r="E96" s="1231"/>
      <c r="F96" s="1232"/>
      <c r="G96" s="1232"/>
      <c r="H96" s="1232"/>
      <c r="I96" s="1232"/>
      <c r="J96" s="1231"/>
      <c r="K96" s="1231"/>
      <c r="L96" s="1231"/>
      <c r="M96" s="1231"/>
      <c r="N96" s="1231"/>
      <c r="O96" s="1231"/>
      <c r="P96" s="1231"/>
      <c r="Q96" s="1233">
        <v>1.8325384379116478E-3</v>
      </c>
      <c r="R96" s="1444"/>
      <c r="S96" s="1444"/>
      <c r="T96" s="1448"/>
      <c r="U96" s="1445"/>
      <c r="V96" s="1445"/>
      <c r="W96" s="1445"/>
      <c r="X96" s="1445"/>
      <c r="Y96" s="1445"/>
      <c r="Z96" s="1445"/>
      <c r="AA96" s="1445"/>
      <c r="AB96" s="1445"/>
    </row>
    <row r="97" spans="1:28" x14ac:dyDescent="0.25">
      <c r="A97" s="1234"/>
      <c r="B97" s="1229"/>
      <c r="C97" s="1235"/>
      <c r="D97" s="1231"/>
      <c r="E97" s="1231"/>
      <c r="F97" s="1232"/>
      <c r="G97" s="1232"/>
      <c r="H97" s="1232"/>
      <c r="I97" s="1232"/>
      <c r="J97" s="1231"/>
      <c r="K97" s="1231"/>
      <c r="L97" s="1231"/>
      <c r="M97" s="1231"/>
      <c r="N97" s="1231"/>
      <c r="O97" s="1231"/>
      <c r="P97" s="1231"/>
      <c r="Q97" s="1242"/>
      <c r="R97" s="1444"/>
      <c r="S97" s="1444"/>
      <c r="T97" s="1446"/>
      <c r="U97" s="1445"/>
      <c r="V97" s="1445"/>
      <c r="W97" s="1445"/>
      <c r="X97" s="1445"/>
      <c r="Y97" s="1445"/>
      <c r="Z97" s="1445"/>
      <c r="AA97" s="1445"/>
      <c r="AB97" s="1445"/>
    </row>
    <row r="98" spans="1:28" x14ac:dyDescent="0.25">
      <c r="A98" s="1234"/>
      <c r="B98" s="1229"/>
      <c r="C98" s="1237" t="s">
        <v>126</v>
      </c>
      <c r="D98" s="1231"/>
      <c r="E98" s="1231"/>
      <c r="F98" s="1232">
        <f>+'Rates in detail'!V29+Inputs!$B$18</f>
        <v>0.45662999999999998</v>
      </c>
      <c r="G98" s="1232">
        <f>+F98-Inputs!$B$16-Inputs!$B$18-H98-I98</f>
        <v>0.11848999999999996</v>
      </c>
      <c r="H98" s="1236">
        <f t="shared" ref="H98:H103" si="0">+$H$85</f>
        <v>6.3799999999999968E-3</v>
      </c>
      <c r="I98" s="1232">
        <f>+Temporaries!AK29</f>
        <v>1.7949999999999997E-2</v>
      </c>
      <c r="J98" s="1231"/>
      <c r="K98" s="1231"/>
      <c r="L98" s="1231"/>
      <c r="M98" s="1231"/>
      <c r="N98" s="1231"/>
      <c r="O98" s="1231"/>
      <c r="P98" s="1231"/>
      <c r="Q98" s="1239"/>
      <c r="R98" s="1444">
        <f>+F98-Inputs!$B$18+'Rates in detail'!$F$15</f>
        <v>0.45702999999999999</v>
      </c>
      <c r="S98" s="1444">
        <f>+R98-F98+'Rates in summary'!$F$15</f>
        <v>1.3877787807814457E-17</v>
      </c>
      <c r="T98" s="1448"/>
      <c r="U98" s="1445"/>
      <c r="V98" s="1445"/>
      <c r="W98" s="1445"/>
      <c r="X98" s="1445"/>
      <c r="Y98" s="1445"/>
      <c r="Z98" s="1445"/>
      <c r="AA98" s="1445"/>
      <c r="AB98" s="1445"/>
    </row>
    <row r="99" spans="1:28" x14ac:dyDescent="0.25">
      <c r="A99" s="1234"/>
      <c r="B99" s="1229"/>
      <c r="C99" s="1237" t="s">
        <v>127</v>
      </c>
      <c r="D99" s="1231"/>
      <c r="E99" s="1231"/>
      <c r="F99" s="1232">
        <f>+'Rates in detail'!V30+Inputs!$B$18</f>
        <v>0.44233999999999979</v>
      </c>
      <c r="G99" s="1232">
        <f>+F99-Inputs!$B$16-Inputs!$B$18-H99-I99</f>
        <v>0.10606999999999979</v>
      </c>
      <c r="H99" s="1236">
        <f t="shared" si="0"/>
        <v>6.3799999999999968E-3</v>
      </c>
      <c r="I99" s="1232">
        <f>+Temporaries!AK30</f>
        <v>1.6080000000000001E-2</v>
      </c>
      <c r="J99" s="1231"/>
      <c r="K99" s="1231"/>
      <c r="L99" s="1231"/>
      <c r="M99" s="1231"/>
      <c r="N99" s="1231"/>
      <c r="O99" s="1231"/>
      <c r="P99" s="1231"/>
      <c r="Q99" s="1239"/>
      <c r="R99" s="1444">
        <f>+F99-Inputs!$B$18+'Rates in detail'!$F$15</f>
        <v>0.4427399999999998</v>
      </c>
      <c r="S99" s="1444">
        <f>+R99-F99+'Rates in summary'!$F$15</f>
        <v>1.3877787807814457E-17</v>
      </c>
      <c r="T99" s="1448"/>
      <c r="U99" s="1445"/>
      <c r="V99" s="1445"/>
      <c r="W99" s="1445"/>
      <c r="X99" s="1445"/>
      <c r="Y99" s="1445"/>
      <c r="Z99" s="1445"/>
      <c r="AA99" s="1445"/>
      <c r="AB99" s="1445"/>
    </row>
    <row r="100" spans="1:28" x14ac:dyDescent="0.25">
      <c r="A100" s="1234"/>
      <c r="B100" s="1229"/>
      <c r="C100" s="1237" t="s">
        <v>128</v>
      </c>
      <c r="D100" s="1231"/>
      <c r="E100" s="1231"/>
      <c r="F100" s="1232">
        <f>+'Rates in detail'!V31+Inputs!$B$18</f>
        <v>0.4138699999999999</v>
      </c>
      <c r="G100" s="1232">
        <f>+F100-Inputs!$B$16-Inputs!$B$18-H100-I100</f>
        <v>8.1349999999999908E-2</v>
      </c>
      <c r="H100" s="1236">
        <f t="shared" si="0"/>
        <v>6.3799999999999968E-3</v>
      </c>
      <c r="I100" s="1232">
        <f>+Temporaries!AK31</f>
        <v>1.2329999999999999E-2</v>
      </c>
      <c r="J100" s="1231"/>
      <c r="K100" s="1231"/>
      <c r="L100" s="1231"/>
      <c r="M100" s="1231"/>
      <c r="N100" s="1231"/>
      <c r="O100" s="1231"/>
      <c r="P100" s="1231"/>
      <c r="Q100" s="1239"/>
      <c r="R100" s="1444">
        <f>+F100-Inputs!$B$18+'Rates in detail'!$F$15</f>
        <v>0.41426999999999992</v>
      </c>
      <c r="S100" s="1444">
        <f>+R100-F100+'Rates in summary'!$F$15</f>
        <v>1.3877787807814457E-17</v>
      </c>
      <c r="T100" s="1448"/>
      <c r="U100" s="1445"/>
      <c r="V100" s="1445"/>
      <c r="W100" s="1445"/>
      <c r="X100" s="1445"/>
      <c r="Y100" s="1445"/>
      <c r="Z100" s="1445"/>
      <c r="AA100" s="1445"/>
      <c r="AB100" s="1445"/>
    </row>
    <row r="101" spans="1:28" x14ac:dyDescent="0.25">
      <c r="A101" s="1234"/>
      <c r="B101" s="1229"/>
      <c r="C101" s="1237" t="s">
        <v>129</v>
      </c>
      <c r="D101" s="1231"/>
      <c r="E101" s="1231"/>
      <c r="F101" s="1232">
        <f>+'Rates in detail'!V32+Inputs!$B$18</f>
        <v>0.39514000000000021</v>
      </c>
      <c r="G101" s="1232">
        <f>+F101-Inputs!$B$16-Inputs!$B$18-H101-I101</f>
        <v>6.5080000000000207E-2</v>
      </c>
      <c r="H101" s="1236">
        <f t="shared" si="0"/>
        <v>6.3799999999999968E-3</v>
      </c>
      <c r="I101" s="1232">
        <f>+Temporaries!AK32</f>
        <v>9.8700000000000003E-3</v>
      </c>
      <c r="J101" s="1231"/>
      <c r="K101" s="1231"/>
      <c r="L101" s="1231"/>
      <c r="M101" s="1231"/>
      <c r="N101" s="1231"/>
      <c r="O101" s="1231"/>
      <c r="P101" s="1231"/>
      <c r="Q101" s="1239"/>
      <c r="R101" s="1444">
        <f>+F101-Inputs!$B$18+'Rates in detail'!$F$15</f>
        <v>0.39554000000000022</v>
      </c>
      <c r="S101" s="1444">
        <f>+R101-F101+'Rates in summary'!$F$15</f>
        <v>1.3877787807814457E-17</v>
      </c>
      <c r="T101" s="1448"/>
      <c r="U101" s="1445"/>
      <c r="V101" s="1445"/>
      <c r="W101" s="1445"/>
      <c r="X101" s="1445"/>
      <c r="Y101" s="1445"/>
      <c r="Z101" s="1445"/>
      <c r="AA101" s="1445"/>
      <c r="AB101" s="1445"/>
    </row>
    <row r="102" spans="1:28" x14ac:dyDescent="0.25">
      <c r="A102" s="1234"/>
      <c r="B102" s="1229"/>
      <c r="C102" s="1237" t="s">
        <v>130</v>
      </c>
      <c r="D102" s="1231"/>
      <c r="E102" s="1231"/>
      <c r="F102" s="1232">
        <f>+'Rates in detail'!V33+Inputs!$B$18</f>
        <v>0.37013999999999991</v>
      </c>
      <c r="G102" s="1232">
        <f>+F102-Inputs!$B$16-Inputs!$B$18-H102-I102</f>
        <v>4.3379999999999912E-2</v>
      </c>
      <c r="H102" s="1236">
        <f t="shared" si="0"/>
        <v>6.3799999999999968E-3</v>
      </c>
      <c r="I102" s="1232">
        <f>+Temporaries!AK33</f>
        <v>6.5699999999999995E-3</v>
      </c>
      <c r="J102" s="1231"/>
      <c r="K102" s="1231"/>
      <c r="L102" s="1231"/>
      <c r="M102" s="1231"/>
      <c r="N102" s="1231"/>
      <c r="O102" s="1231"/>
      <c r="P102" s="1231"/>
      <c r="Q102" s="1239"/>
      <c r="R102" s="1444">
        <f>+F102-Inputs!$B$18+'Rates in detail'!$F$15</f>
        <v>0.37053999999999992</v>
      </c>
      <c r="S102" s="1444">
        <f>+R102-F102+'Rates in summary'!$F$15</f>
        <v>1.3877787807814457E-17</v>
      </c>
      <c r="T102" s="1448"/>
      <c r="U102" s="1445"/>
      <c r="V102" s="1445"/>
      <c r="W102" s="1445"/>
      <c r="X102" s="1445"/>
      <c r="Y102" s="1445"/>
      <c r="Z102" s="1445"/>
      <c r="AA102" s="1445"/>
      <c r="AB102" s="1445"/>
    </row>
    <row r="103" spans="1:28" x14ac:dyDescent="0.25">
      <c r="A103" s="1234"/>
      <c r="B103" s="1229"/>
      <c r="C103" s="1237" t="s">
        <v>131</v>
      </c>
      <c r="D103" s="1231"/>
      <c r="E103" s="1231"/>
      <c r="F103" s="1232">
        <f>+'Rates in detail'!V34+Inputs!$B$18</f>
        <v>0.33891000000000004</v>
      </c>
      <c r="G103" s="1232">
        <f>+F103-Inputs!$B$16-Inputs!$B$18-H103-I103</f>
        <v>1.6260000000000042E-2</v>
      </c>
      <c r="H103" s="1236">
        <f t="shared" si="0"/>
        <v>6.3799999999999968E-3</v>
      </c>
      <c r="I103" s="1232">
        <f>+Temporaries!AK34</f>
        <v>2.4600000000000004E-3</v>
      </c>
      <c r="J103" s="1231"/>
      <c r="K103" s="1231"/>
      <c r="L103" s="1231"/>
      <c r="M103" s="1231"/>
      <c r="N103" s="1231"/>
      <c r="O103" s="1231"/>
      <c r="P103" s="1231"/>
      <c r="Q103" s="1239"/>
      <c r="R103" s="1444">
        <f>+F103-Inputs!$B$18+'Rates in detail'!$F$15</f>
        <v>0.33931000000000006</v>
      </c>
      <c r="S103" s="1444">
        <f>+R103-F103+'Rates in summary'!$F$15</f>
        <v>1.3877787807814457E-17</v>
      </c>
      <c r="T103" s="1448"/>
      <c r="U103" s="1445"/>
      <c r="V103" s="1445"/>
      <c r="W103" s="1445"/>
      <c r="X103" s="1445"/>
      <c r="Y103" s="1445"/>
      <c r="Z103" s="1445"/>
      <c r="AA103" s="1445"/>
      <c r="AB103" s="1445"/>
    </row>
    <row r="104" spans="1:28" x14ac:dyDescent="0.25">
      <c r="A104" s="1234"/>
      <c r="B104" s="1229"/>
      <c r="C104" s="1235" t="s">
        <v>996</v>
      </c>
      <c r="D104" s="1231"/>
      <c r="E104" s="1231"/>
      <c r="F104" s="1232"/>
      <c r="G104" s="1232"/>
      <c r="H104" s="1232"/>
      <c r="I104" s="1232"/>
      <c r="J104" s="1231"/>
      <c r="K104" s="1231"/>
      <c r="L104" s="1231"/>
      <c r="M104" s="1231"/>
      <c r="N104" s="1231"/>
      <c r="O104" s="1231"/>
      <c r="P104" s="1231"/>
      <c r="Q104" s="1242"/>
      <c r="R104" s="1444"/>
      <c r="S104" s="1444"/>
      <c r="T104" s="1448"/>
      <c r="U104" s="1445"/>
      <c r="V104" s="1445"/>
      <c r="W104" s="1445"/>
      <c r="X104" s="1445"/>
      <c r="Y104" s="1445"/>
      <c r="Z104" s="1445"/>
      <c r="AA104" s="1445"/>
      <c r="AB104" s="1445"/>
    </row>
    <row r="105" spans="1:28" x14ac:dyDescent="0.25">
      <c r="A105" s="1234"/>
      <c r="B105" s="1229"/>
      <c r="C105" s="1235"/>
      <c r="D105" s="1231"/>
      <c r="E105" s="1231"/>
      <c r="F105" s="1232"/>
      <c r="G105" s="1232"/>
      <c r="H105" s="1232"/>
      <c r="I105" s="1232"/>
      <c r="J105" s="1231"/>
      <c r="K105" s="1231"/>
      <c r="L105" s="1231"/>
      <c r="M105" s="1231"/>
      <c r="N105" s="1231"/>
      <c r="O105" s="1231"/>
      <c r="P105" s="1231"/>
      <c r="Q105" s="1242"/>
      <c r="R105" s="1444"/>
      <c r="S105" s="1444"/>
      <c r="T105" s="1446"/>
      <c r="U105" s="1445"/>
      <c r="V105" s="1445"/>
      <c r="W105" s="1445"/>
      <c r="X105" s="1445"/>
      <c r="Y105" s="1445"/>
      <c r="Z105" s="1445"/>
      <c r="AA105" s="1445"/>
      <c r="AB105" s="1445"/>
    </row>
    <row r="106" spans="1:28" x14ac:dyDescent="0.25">
      <c r="A106" s="1234"/>
      <c r="B106" s="1229"/>
      <c r="C106" s="1230" t="s">
        <v>997</v>
      </c>
      <c r="D106" s="1231"/>
      <c r="E106" s="1231"/>
      <c r="F106" s="1232">
        <f>+'Rates in detail'!V17</f>
        <v>0.74225999999999948</v>
      </c>
      <c r="G106" s="1232">
        <f>+F106-Inputs!$B$16-Inputs!$B$18-H106-I106</f>
        <v>0.41786999999999946</v>
      </c>
      <c r="H106" s="1236">
        <f>+$H$85</f>
        <v>6.3799999999999968E-3</v>
      </c>
      <c r="I106" s="1232">
        <f>+Temporaries!AK17</f>
        <v>4.1999999999999997E-3</v>
      </c>
      <c r="J106" s="1231"/>
      <c r="K106" s="1231"/>
      <c r="L106" s="1231"/>
      <c r="M106" s="1231"/>
      <c r="N106" s="1231"/>
      <c r="O106" s="1231"/>
      <c r="P106" s="1231"/>
      <c r="Q106" s="1233">
        <v>2.591616637209378E-4</v>
      </c>
      <c r="R106" s="1444">
        <f>+F106-Inputs!$B$18+'Rates in detail'!$F$15</f>
        <v>0.74265999999999943</v>
      </c>
      <c r="S106" s="1444">
        <f>+R106-F106+'Rates in summary'!$F$15</f>
        <v>-4.163336342344337E-17</v>
      </c>
      <c r="T106" s="1448"/>
      <c r="U106" s="1445"/>
      <c r="V106" s="1445"/>
      <c r="W106" s="1445"/>
      <c r="X106" s="1445"/>
      <c r="Y106" s="1445"/>
      <c r="Z106" s="1445"/>
      <c r="AA106" s="1445"/>
      <c r="AB106" s="1445"/>
    </row>
    <row r="107" spans="1:28" x14ac:dyDescent="0.25">
      <c r="A107" s="1234"/>
      <c r="B107" s="1229"/>
      <c r="C107" s="1230"/>
      <c r="D107" s="1231"/>
      <c r="E107" s="1231"/>
      <c r="F107" s="1232"/>
      <c r="G107" s="1232"/>
      <c r="H107" s="1238"/>
      <c r="I107" s="1232"/>
      <c r="J107" s="1231"/>
      <c r="K107" s="1231"/>
      <c r="L107" s="1231"/>
      <c r="M107" s="1231"/>
      <c r="N107" s="1231"/>
      <c r="O107" s="1231"/>
      <c r="P107" s="1231"/>
      <c r="Q107" s="1242"/>
      <c r="R107" s="1444"/>
      <c r="S107" s="1444"/>
      <c r="T107" s="1448"/>
      <c r="U107" s="1445"/>
      <c r="V107" s="1445"/>
      <c r="W107" s="1445"/>
      <c r="X107" s="1445"/>
      <c r="Y107" s="1445"/>
      <c r="Z107" s="1445"/>
      <c r="AA107" s="1445"/>
      <c r="AB107" s="1445"/>
    </row>
    <row r="108" spans="1:28" x14ac:dyDescent="0.25">
      <c r="A108" s="1234"/>
      <c r="B108" s="1229"/>
      <c r="C108" s="1237" t="s">
        <v>998</v>
      </c>
      <c r="D108" s="1231"/>
      <c r="E108" s="1231"/>
      <c r="F108" s="1232"/>
      <c r="G108" s="1232"/>
      <c r="H108" s="1249"/>
      <c r="I108" s="1232"/>
      <c r="J108" s="1231"/>
      <c r="K108" s="1231"/>
      <c r="L108" s="1231"/>
      <c r="M108" s="1231"/>
      <c r="N108" s="1231"/>
      <c r="O108" s="1231"/>
      <c r="P108" s="1231"/>
      <c r="Q108" s="1239"/>
      <c r="R108" s="1444"/>
      <c r="S108" s="1449"/>
      <c r="T108" s="1448"/>
      <c r="U108" s="1445"/>
      <c r="V108" s="1445"/>
      <c r="W108" s="1445"/>
      <c r="X108" s="1445"/>
      <c r="Y108" s="1445"/>
      <c r="Z108" s="1445"/>
      <c r="AA108" s="1445"/>
      <c r="AB108" s="1445"/>
    </row>
    <row r="109" spans="1:28" x14ac:dyDescent="0.25">
      <c r="A109" s="1234"/>
      <c r="B109" s="1229"/>
      <c r="C109" s="1237" t="s">
        <v>999</v>
      </c>
      <c r="D109" s="1231"/>
      <c r="E109" s="1231"/>
      <c r="F109" s="1232"/>
      <c r="G109" s="1232"/>
      <c r="H109" s="1236"/>
      <c r="I109" s="1232"/>
      <c r="J109" s="1231"/>
      <c r="K109" s="1231"/>
      <c r="L109" s="1231"/>
      <c r="M109" s="1231"/>
      <c r="N109" s="1231"/>
      <c r="O109" s="1231"/>
      <c r="P109" s="1231"/>
      <c r="Q109" s="1239"/>
      <c r="R109" s="1444"/>
      <c r="S109" s="1449"/>
      <c r="T109" s="1448"/>
      <c r="U109" s="1445"/>
      <c r="V109" s="1445"/>
      <c r="W109" s="1445"/>
      <c r="X109" s="1445"/>
      <c r="Y109" s="1445"/>
      <c r="Z109" s="1445"/>
      <c r="AA109" s="1445"/>
      <c r="AB109" s="1445"/>
    </row>
    <row r="110" spans="1:28" x14ac:dyDescent="0.25">
      <c r="A110" s="1234"/>
      <c r="B110" s="1229"/>
      <c r="C110" s="1237" t="s">
        <v>1000</v>
      </c>
      <c r="D110" s="1231"/>
      <c r="E110" s="1231"/>
      <c r="F110" s="1232"/>
      <c r="G110" s="1232"/>
      <c r="H110" s="1236"/>
      <c r="I110" s="1232"/>
      <c r="J110" s="1231"/>
      <c r="K110" s="1231"/>
      <c r="L110" s="1231"/>
      <c r="M110" s="1231"/>
      <c r="N110" s="1231"/>
      <c r="O110" s="1231"/>
      <c r="P110" s="1231"/>
      <c r="Q110" s="1239"/>
      <c r="R110" s="1444"/>
      <c r="S110" s="1449"/>
      <c r="T110" s="1448"/>
      <c r="U110" s="1445"/>
      <c r="V110" s="1445"/>
      <c r="W110" s="1445"/>
      <c r="X110" s="1445"/>
      <c r="Y110" s="1445"/>
      <c r="Z110" s="1445"/>
      <c r="AA110" s="1445"/>
      <c r="AB110" s="1445"/>
    </row>
    <row r="111" spans="1:28" x14ac:dyDescent="0.25">
      <c r="A111" s="1234"/>
      <c r="B111" s="1229"/>
      <c r="C111" s="1237" t="s">
        <v>1001</v>
      </c>
      <c r="D111" s="1231"/>
      <c r="E111" s="1231"/>
      <c r="F111" s="1232"/>
      <c r="G111" s="1232"/>
      <c r="H111" s="1236"/>
      <c r="I111" s="1232"/>
      <c r="J111" s="1231"/>
      <c r="K111" s="1231"/>
      <c r="L111" s="1231"/>
      <c r="M111" s="1231"/>
      <c r="N111" s="1231"/>
      <c r="O111" s="1231"/>
      <c r="P111" s="1231"/>
      <c r="Q111" s="1239"/>
      <c r="R111" s="1444"/>
      <c r="S111" s="1449"/>
      <c r="T111" s="1448"/>
      <c r="U111" s="1445"/>
      <c r="V111" s="1445"/>
      <c r="W111" s="1445"/>
      <c r="X111" s="1445"/>
      <c r="Y111" s="1445"/>
      <c r="Z111" s="1445"/>
      <c r="AA111" s="1445"/>
      <c r="AB111" s="1445"/>
    </row>
    <row r="112" spans="1:28" x14ac:dyDescent="0.25">
      <c r="A112" s="1234"/>
      <c r="B112" s="1229"/>
      <c r="C112" s="1230" t="s">
        <v>1002</v>
      </c>
      <c r="D112" s="1231"/>
      <c r="E112" s="1231"/>
      <c r="F112" s="1232"/>
      <c r="G112" s="1232"/>
      <c r="H112" s="1238"/>
      <c r="I112" s="1232"/>
      <c r="J112" s="1231"/>
      <c r="K112" s="1231"/>
      <c r="L112" s="1231"/>
      <c r="M112" s="1231"/>
      <c r="N112" s="1231"/>
      <c r="O112" s="1231"/>
      <c r="P112" s="1231"/>
      <c r="Q112" s="1242"/>
      <c r="R112" s="1444"/>
      <c r="S112" s="1444"/>
      <c r="T112" s="1448"/>
      <c r="U112" s="1445"/>
      <c r="V112" s="1445"/>
      <c r="W112" s="1445"/>
      <c r="X112" s="1445"/>
      <c r="Y112" s="1445"/>
      <c r="Z112" s="1445"/>
      <c r="AA112" s="1445"/>
      <c r="AB112" s="1445"/>
    </row>
    <row r="113" spans="1:28" x14ac:dyDescent="0.25">
      <c r="A113" s="1234"/>
      <c r="B113" s="1229"/>
      <c r="C113" s="1230"/>
      <c r="D113" s="1231"/>
      <c r="E113" s="1231"/>
      <c r="F113" s="1232"/>
      <c r="G113" s="1232"/>
      <c r="H113" s="1238"/>
      <c r="I113" s="1232"/>
      <c r="J113" s="1231"/>
      <c r="K113" s="1231"/>
      <c r="L113" s="1231"/>
      <c r="M113" s="1231"/>
      <c r="N113" s="1231"/>
      <c r="O113" s="1231"/>
      <c r="P113" s="1231"/>
      <c r="Q113" s="1242"/>
      <c r="R113" s="1444"/>
      <c r="S113" s="1444"/>
      <c r="T113" s="1444"/>
      <c r="U113" s="1445"/>
      <c r="V113" s="1445"/>
      <c r="W113" s="1445"/>
      <c r="X113" s="1445"/>
      <c r="Y113" s="1445"/>
      <c r="Z113" s="1445"/>
      <c r="AA113" s="1445"/>
      <c r="AB113" s="1445"/>
    </row>
    <row r="114" spans="1:28" x14ac:dyDescent="0.25">
      <c r="A114" s="1234"/>
      <c r="B114" s="1229"/>
      <c r="C114" s="1237" t="s">
        <v>1003</v>
      </c>
      <c r="D114" s="1231"/>
      <c r="E114" s="1231"/>
      <c r="F114" s="1232">
        <f>+'Rates in summary'!Q25+Inputs!$B$18</f>
        <v>0.62495000000000023</v>
      </c>
      <c r="G114" s="1232">
        <f>+F114-Inputs!$B$16-Inputs!$B$18-H114-I114</f>
        <v>0.30119000000000018</v>
      </c>
      <c r="H114" s="1236">
        <f>+$H$85</f>
        <v>6.3799999999999968E-3</v>
      </c>
      <c r="I114" s="1232">
        <f>+Temporaries!AK25</f>
        <v>3.5699999999999998E-3</v>
      </c>
      <c r="J114" s="1231"/>
      <c r="K114" s="1231"/>
      <c r="L114" s="1231"/>
      <c r="M114" s="1231"/>
      <c r="N114" s="1231"/>
      <c r="O114" s="1231"/>
      <c r="P114" s="1231"/>
      <c r="Q114" s="1239"/>
      <c r="R114" s="1444">
        <f>+F114-Inputs!$B$18+'Rates in detail'!$F$15</f>
        <v>0.62535000000000018</v>
      </c>
      <c r="S114" s="1444">
        <f>+R114-F114+'Rates in summary'!$F$15</f>
        <v>-4.163336342344337E-17</v>
      </c>
      <c r="T114" s="1448"/>
      <c r="U114" s="1445"/>
      <c r="V114" s="1445"/>
      <c r="W114" s="1445"/>
      <c r="X114" s="1445"/>
      <c r="Y114" s="1445"/>
      <c r="Z114" s="1445"/>
      <c r="AA114" s="1445"/>
      <c r="AB114" s="1445"/>
    </row>
    <row r="115" spans="1:28" x14ac:dyDescent="0.25">
      <c r="A115" s="1234"/>
      <c r="B115" s="1229"/>
      <c r="C115" s="1237" t="s">
        <v>1004</v>
      </c>
      <c r="D115" s="1231"/>
      <c r="E115" s="1231"/>
      <c r="F115" s="1232">
        <f>+'Rates in summary'!Q26+Inputs!$B$18</f>
        <v>0.58872999999999986</v>
      </c>
      <c r="G115" s="1232">
        <f>+F115-Inputs!$B$16-Inputs!$B$18-H115-I115</f>
        <v>0.26538999999999985</v>
      </c>
      <c r="H115" s="1236">
        <f>+$H$85</f>
        <v>6.3799999999999968E-3</v>
      </c>
      <c r="I115" s="1232">
        <f>+Temporaries!AK26</f>
        <v>3.15E-3</v>
      </c>
      <c r="J115" s="1231"/>
      <c r="K115" s="1231"/>
      <c r="L115" s="1231"/>
      <c r="M115" s="1231"/>
      <c r="N115" s="1231"/>
      <c r="O115" s="1231"/>
      <c r="P115" s="1231"/>
      <c r="Q115" s="1239"/>
      <c r="R115" s="1444">
        <f>+F115-Inputs!$B$18+'Rates in detail'!$F$15</f>
        <v>0.58912999999999982</v>
      </c>
      <c r="S115" s="1444">
        <f>+R115-F115+'Rates in summary'!$F$15</f>
        <v>-4.163336342344337E-17</v>
      </c>
      <c r="T115" s="1448"/>
      <c r="U115" s="1445"/>
      <c r="V115" s="1445"/>
      <c r="W115" s="1445"/>
      <c r="X115" s="1445"/>
      <c r="Y115" s="1445"/>
      <c r="Z115" s="1445"/>
      <c r="AA115" s="1445"/>
      <c r="AB115" s="1445"/>
    </row>
    <row r="116" spans="1:28" x14ac:dyDescent="0.25">
      <c r="A116" s="1234"/>
      <c r="B116" s="1229"/>
      <c r="C116" s="1230" t="s">
        <v>1005</v>
      </c>
      <c r="D116" s="1231"/>
      <c r="E116" s="1231"/>
      <c r="F116" s="1232"/>
      <c r="G116" s="1232"/>
      <c r="H116" s="1238"/>
      <c r="I116" s="1232"/>
      <c r="J116" s="1231"/>
      <c r="K116" s="1231"/>
      <c r="L116" s="1231"/>
      <c r="M116" s="1231"/>
      <c r="N116" s="1231"/>
      <c r="O116" s="1231"/>
      <c r="P116" s="1231"/>
      <c r="Q116" s="1233">
        <v>7.9083333313654673E-5</v>
      </c>
      <c r="R116" s="1444"/>
      <c r="S116" s="1444"/>
      <c r="T116" s="1448"/>
      <c r="U116" s="1445"/>
      <c r="V116" s="1445"/>
      <c r="W116" s="1445"/>
      <c r="X116" s="1445"/>
      <c r="Y116" s="1445"/>
      <c r="Z116" s="1445"/>
      <c r="AA116" s="1445"/>
      <c r="AB116" s="1445"/>
    </row>
    <row r="117" spans="1:28" x14ac:dyDescent="0.25">
      <c r="A117" s="1234"/>
      <c r="B117" s="1229"/>
      <c r="C117" s="1230"/>
      <c r="D117" s="1231"/>
      <c r="E117" s="1231"/>
      <c r="F117" s="1232"/>
      <c r="G117" s="1232"/>
      <c r="H117" s="1238"/>
      <c r="I117" s="1232"/>
      <c r="J117" s="1231"/>
      <c r="K117" s="1231"/>
      <c r="L117" s="1231"/>
      <c r="M117" s="1231"/>
      <c r="N117" s="1231"/>
      <c r="O117" s="1231"/>
      <c r="P117" s="1231"/>
      <c r="Q117" s="1243"/>
      <c r="R117" s="1444"/>
      <c r="S117" s="1444"/>
      <c r="T117" s="1444"/>
      <c r="U117" s="1445"/>
      <c r="V117" s="1445"/>
      <c r="W117" s="1445"/>
      <c r="X117" s="1445"/>
      <c r="Y117" s="1445"/>
      <c r="Z117" s="1445"/>
      <c r="AA117" s="1445"/>
      <c r="AB117" s="1445"/>
    </row>
    <row r="118" spans="1:28" x14ac:dyDescent="0.25">
      <c r="A118" s="1234"/>
      <c r="B118" s="1229"/>
      <c r="C118" s="1237" t="s">
        <v>132</v>
      </c>
      <c r="D118" s="1231"/>
      <c r="E118" s="1231"/>
      <c r="F118" s="1232">
        <f>+'Rates in summary'!Q35+Inputs!$B$18</f>
        <v>0.44080999999999998</v>
      </c>
      <c r="G118" s="1232">
        <f>+F118-Inputs!$B$16-Inputs!$B$18-H118-I118</f>
        <v>0.11839999999999998</v>
      </c>
      <c r="H118" s="1236">
        <f t="shared" ref="H118:H123" si="1">+$H$85</f>
        <v>6.3799999999999968E-3</v>
      </c>
      <c r="I118" s="1232">
        <f>+Temporaries!AK35</f>
        <v>2.2199999999999998E-3</v>
      </c>
      <c r="J118" s="1231"/>
      <c r="K118" s="1231"/>
      <c r="L118" s="1231"/>
      <c r="M118" s="1231"/>
      <c r="N118" s="1231"/>
      <c r="O118" s="1231"/>
      <c r="P118" s="1231"/>
      <c r="Q118" s="1240"/>
      <c r="R118" s="1444">
        <f>+F118-Inputs!$B$18+'Rates in detail'!$F$15</f>
        <v>0.44120999999999999</v>
      </c>
      <c r="S118" s="1444">
        <f>+R118-F118+'Rates in summary'!$F$15</f>
        <v>1.3877787807814457E-17</v>
      </c>
      <c r="T118" s="1448"/>
      <c r="U118" s="1445"/>
      <c r="V118" s="1445"/>
      <c r="W118" s="1445"/>
      <c r="X118" s="1445"/>
      <c r="Y118" s="1445"/>
      <c r="Z118" s="1445"/>
      <c r="AA118" s="1445"/>
      <c r="AB118" s="1445"/>
    </row>
    <row r="119" spans="1:28" x14ac:dyDescent="0.25">
      <c r="A119" s="1234"/>
      <c r="B119" s="1229"/>
      <c r="C119" s="1237" t="s">
        <v>133</v>
      </c>
      <c r="D119" s="1231"/>
      <c r="E119" s="1231"/>
      <c r="F119" s="1232">
        <f>+'Rates in summary'!Q36+Inputs!$B$18</f>
        <v>0.42817000000000005</v>
      </c>
      <c r="G119" s="1232">
        <f>+F119-Inputs!$B$16-Inputs!$B$18-H119-I119</f>
        <v>0.10599000000000004</v>
      </c>
      <c r="H119" s="1236">
        <f t="shared" si="1"/>
        <v>6.3799999999999968E-3</v>
      </c>
      <c r="I119" s="1232">
        <f>+Temporaries!AK36</f>
        <v>1.99E-3</v>
      </c>
      <c r="J119" s="1231"/>
      <c r="K119" s="1231"/>
      <c r="L119" s="1231"/>
      <c r="M119" s="1231"/>
      <c r="N119" s="1231"/>
      <c r="O119" s="1231"/>
      <c r="P119" s="1231"/>
      <c r="Q119" s="1240"/>
      <c r="R119" s="1444">
        <f>+F119-Inputs!$B$18+'Rates in detail'!$F$15</f>
        <v>0.42857000000000006</v>
      </c>
      <c r="S119" s="1444">
        <f>+R119-F119+'Rates in summary'!$F$15</f>
        <v>1.3877787807814457E-17</v>
      </c>
      <c r="T119" s="1450" t="s">
        <v>1091</v>
      </c>
      <c r="U119" s="1445"/>
      <c r="V119" s="1451">
        <v>0.14038999999999999</v>
      </c>
      <c r="W119" s="1445"/>
      <c r="X119" s="1451"/>
      <c r="Y119" s="1445"/>
      <c r="Z119" s="1445"/>
      <c r="AA119" s="1445"/>
      <c r="AB119" s="1445"/>
    </row>
    <row r="120" spans="1:28" x14ac:dyDescent="0.25">
      <c r="A120" s="1234"/>
      <c r="B120" s="1229"/>
      <c r="C120" s="1237" t="s">
        <v>134</v>
      </c>
      <c r="D120" s="1231"/>
      <c r="E120" s="1231"/>
      <c r="F120" s="1232">
        <f>+'Rates in summary'!Q37+Inputs!$B$18</f>
        <v>0.4029899999999999</v>
      </c>
      <c r="G120" s="1232">
        <f>+F120-Inputs!$B$16-Inputs!$B$18-H120-I120</f>
        <v>8.1279999999999908E-2</v>
      </c>
      <c r="H120" s="1236">
        <f t="shared" si="1"/>
        <v>6.3799999999999968E-3</v>
      </c>
      <c r="I120" s="1232">
        <f>+Temporaries!AK37</f>
        <v>1.5200000000000001E-3</v>
      </c>
      <c r="J120" s="1231"/>
      <c r="K120" s="1231"/>
      <c r="L120" s="1231"/>
      <c r="M120" s="1231"/>
      <c r="N120" s="1231"/>
      <c r="O120" s="1231"/>
      <c r="P120" s="1231"/>
      <c r="Q120" s="1240"/>
      <c r="R120" s="1444">
        <f>+F120-Inputs!$B$18+'Rates in detail'!$F$15</f>
        <v>0.40338999999999992</v>
      </c>
      <c r="S120" s="1444">
        <f>+R120-F120+'Rates in summary'!$F$15</f>
        <v>1.3877787807814457E-17</v>
      </c>
      <c r="T120" s="1450" t="s">
        <v>1092</v>
      </c>
      <c r="U120" s="1445"/>
      <c r="V120" s="1451">
        <v>4.9029999999999997E-2</v>
      </c>
      <c r="W120" s="1451">
        <f>+V120-V124</f>
        <v>1.459999999999996E-3</v>
      </c>
      <c r="X120" s="1451"/>
      <c r="Y120" s="1445"/>
      <c r="Z120" s="1445"/>
      <c r="AA120" s="1445"/>
      <c r="AB120" s="1445"/>
    </row>
    <row r="121" spans="1:28" x14ac:dyDescent="0.25">
      <c r="A121" s="1234"/>
      <c r="B121" s="1229"/>
      <c r="C121" s="1237" t="s">
        <v>135</v>
      </c>
      <c r="D121" s="1231"/>
      <c r="E121" s="1231"/>
      <c r="F121" s="1232">
        <f>+'Rates in summary'!Q38+Inputs!$B$18</f>
        <v>0.38643000000000016</v>
      </c>
      <c r="G121" s="1232">
        <f>+F121-Inputs!$B$16-Inputs!$B$18-H121-I121</f>
        <v>6.5020000000000161E-2</v>
      </c>
      <c r="H121" s="1236">
        <f t="shared" si="1"/>
        <v>6.3799999999999968E-3</v>
      </c>
      <c r="I121" s="1232">
        <f>+Temporaries!AK38</f>
        <v>1.2199999999999999E-3</v>
      </c>
      <c r="J121" s="1231"/>
      <c r="K121" s="1231"/>
      <c r="L121" s="1231"/>
      <c r="M121" s="1231"/>
      <c r="N121" s="1231"/>
      <c r="O121" s="1231"/>
      <c r="P121" s="1231"/>
      <c r="Q121" s="1240"/>
      <c r="R121" s="1444">
        <f>+F121-Inputs!$B$18+'Rates in detail'!$F$15</f>
        <v>0.38683000000000017</v>
      </c>
      <c r="S121" s="1444">
        <f>+R121-F121+'Rates in summary'!$F$15</f>
        <v>1.3877787807814457E-17</v>
      </c>
      <c r="T121" s="1450" t="s">
        <v>1093</v>
      </c>
      <c r="U121" s="1445"/>
      <c r="V121" s="1452">
        <v>2.09</v>
      </c>
      <c r="W121" s="1445"/>
      <c r="X121" s="1452"/>
      <c r="Y121" s="1445"/>
      <c r="Z121" s="1445"/>
      <c r="AA121" s="1445"/>
      <c r="AB121" s="1445"/>
    </row>
    <row r="122" spans="1:28" x14ac:dyDescent="0.25">
      <c r="A122" s="1234"/>
      <c r="B122" s="1229"/>
      <c r="C122" s="1237" t="s">
        <v>136</v>
      </c>
      <c r="D122" s="1231"/>
      <c r="E122" s="1231"/>
      <c r="F122" s="1232">
        <f>+'Rates in summary'!Q39+Inputs!$B$18</f>
        <v>0.36436000000000018</v>
      </c>
      <c r="G122" s="1232">
        <f>+F122-Inputs!$B$16-Inputs!$B$18-H122-I122</f>
        <v>4.3360000000000183E-2</v>
      </c>
      <c r="H122" s="1236">
        <f t="shared" si="1"/>
        <v>6.3799999999999968E-3</v>
      </c>
      <c r="I122" s="1232">
        <f>+Temporaries!AK39</f>
        <v>8.1000000000000006E-4</v>
      </c>
      <c r="J122" s="1231"/>
      <c r="K122" s="1231"/>
      <c r="L122" s="1231"/>
      <c r="M122" s="1231"/>
      <c r="N122" s="1231"/>
      <c r="O122" s="1231"/>
      <c r="P122" s="1231"/>
      <c r="Q122" s="1240"/>
      <c r="R122" s="1444">
        <f>+F122-Inputs!$B$18+'Rates in detail'!$F$15</f>
        <v>0.3647600000000002</v>
      </c>
      <c r="S122" s="1444">
        <f>+R122-F122+'Rates in summary'!$F$15</f>
        <v>1.3877787807814457E-17</v>
      </c>
      <c r="T122" s="1450"/>
      <c r="U122" s="1445"/>
      <c r="V122" s="1445"/>
      <c r="W122" s="1445"/>
      <c r="X122" s="1445"/>
      <c r="Y122" s="1445"/>
      <c r="Z122" s="1445"/>
      <c r="AA122" s="1445"/>
      <c r="AB122" s="1445"/>
    </row>
    <row r="123" spans="1:28" x14ac:dyDescent="0.25">
      <c r="A123" s="1234"/>
      <c r="B123" s="1229"/>
      <c r="C123" s="1237" t="s">
        <v>137</v>
      </c>
      <c r="D123" s="1231"/>
      <c r="E123" s="1231"/>
      <c r="F123" s="1232">
        <f>+'Rates in summary'!Q40+Inputs!$B$18</f>
        <v>0.33673999999999993</v>
      </c>
      <c r="G123" s="1232">
        <f>+F123-Inputs!$B$16-Inputs!$B$18-H123-I123</f>
        <v>1.6249999999999924E-2</v>
      </c>
      <c r="H123" s="1236">
        <f t="shared" si="1"/>
        <v>6.3799999999999968E-3</v>
      </c>
      <c r="I123" s="1232">
        <f>+Temporaries!AK40</f>
        <v>3.0000000000000003E-4</v>
      </c>
      <c r="J123" s="1231"/>
      <c r="K123" s="1231"/>
      <c r="L123" s="1231"/>
      <c r="M123" s="1231"/>
      <c r="N123" s="1231"/>
      <c r="O123" s="1231"/>
      <c r="P123" s="1231"/>
      <c r="Q123" s="1240"/>
      <c r="R123" s="1444">
        <f>+F123-Inputs!$B$18+'Rates in detail'!$F$15</f>
        <v>0.33713999999999994</v>
      </c>
      <c r="S123" s="1444">
        <f>+R123-F123+'Rates in summary'!$F$15</f>
        <v>1.3877787807814457E-17</v>
      </c>
      <c r="T123" s="1450" t="s">
        <v>1094</v>
      </c>
      <c r="U123" s="1445"/>
      <c r="V123" s="1451">
        <v>0.13618</v>
      </c>
      <c r="W123" s="1445"/>
      <c r="X123" s="1451"/>
      <c r="Y123" s="1445"/>
      <c r="Z123" s="1445"/>
      <c r="AA123" s="1445"/>
      <c r="AB123" s="1445"/>
    </row>
    <row r="124" spans="1:28" x14ac:dyDescent="0.25">
      <c r="A124" s="1234"/>
      <c r="B124" s="1229"/>
      <c r="C124" s="1230" t="s">
        <v>1006</v>
      </c>
      <c r="D124" s="1231"/>
      <c r="E124" s="1231"/>
      <c r="F124" s="1232"/>
      <c r="G124" s="1232"/>
      <c r="H124" s="1238"/>
      <c r="I124" s="1232"/>
      <c r="J124" s="1231"/>
      <c r="K124" s="1231"/>
      <c r="L124" s="1231"/>
      <c r="M124" s="1231"/>
      <c r="N124" s="1231"/>
      <c r="O124" s="1231"/>
      <c r="P124" s="1231"/>
      <c r="Q124" s="1243"/>
      <c r="R124" s="1444"/>
      <c r="S124" s="1444"/>
      <c r="T124" s="1450" t="s">
        <v>1095</v>
      </c>
      <c r="U124" s="1445"/>
      <c r="V124" s="1451">
        <v>4.7570000000000001E-2</v>
      </c>
      <c r="W124" s="1445"/>
      <c r="X124" s="1451"/>
      <c r="Y124" s="1445"/>
      <c r="Z124" s="1445"/>
      <c r="AA124" s="1445"/>
      <c r="AB124" s="1445"/>
    </row>
    <row r="125" spans="1:28" x14ac:dyDescent="0.25">
      <c r="A125" s="1234"/>
      <c r="B125" s="1229"/>
      <c r="C125" s="1230"/>
      <c r="D125" s="1231"/>
      <c r="E125" s="1231"/>
      <c r="F125" s="1232"/>
      <c r="G125" s="1232"/>
      <c r="H125" s="1238"/>
      <c r="I125" s="1232"/>
      <c r="J125" s="1231"/>
      <c r="K125" s="1231"/>
      <c r="L125" s="1231"/>
      <c r="M125" s="1231"/>
      <c r="N125" s="1231"/>
      <c r="O125" s="1231"/>
      <c r="P125" s="1231"/>
      <c r="Q125" s="1243"/>
      <c r="R125" s="1444"/>
      <c r="S125" s="1444"/>
      <c r="T125" s="1453" t="s">
        <v>1096</v>
      </c>
      <c r="U125" s="1445"/>
      <c r="V125" s="1452">
        <v>2.0299999999999998</v>
      </c>
      <c r="W125" s="1452"/>
      <c r="X125" s="1452"/>
      <c r="Y125" s="1445"/>
      <c r="Z125" s="1445"/>
      <c r="AA125" s="1445"/>
      <c r="AB125" s="1445"/>
    </row>
    <row r="126" spans="1:28" x14ac:dyDescent="0.25">
      <c r="A126" s="1234"/>
      <c r="B126" s="1229"/>
      <c r="C126" s="1237" t="s">
        <v>1007</v>
      </c>
      <c r="D126" s="1231"/>
      <c r="E126" s="1231"/>
      <c r="F126" s="1232">
        <f>+'Rates in detail'!V27+Inputs!$B$20</f>
        <v>0.57142000000000004</v>
      </c>
      <c r="G126" s="1232">
        <f>+F126-Inputs!$B$16-Inputs!$B$20-H126-I126</f>
        <v>0.3009</v>
      </c>
      <c r="H126" s="1232">
        <f>+Temporaries!F27+Temporaries!H27</f>
        <v>2.5329999999999998E-2</v>
      </c>
      <c r="I126" s="1232">
        <f>+Temporaries!AK27</f>
        <v>3.5399999999999997E-3</v>
      </c>
      <c r="J126" s="1231"/>
      <c r="K126" s="1231"/>
      <c r="L126" s="1231"/>
      <c r="M126" s="1231"/>
      <c r="N126" s="1231"/>
      <c r="O126" s="1231"/>
      <c r="P126" s="1231"/>
      <c r="Q126" s="1243"/>
      <c r="R126" s="1444">
        <f>+F126-$V$120+$V$124</f>
        <v>0.56996000000000002</v>
      </c>
      <c r="S126" s="1444">
        <f>+R126-F126+$W$120</f>
        <v>-2.0816681711721685E-17</v>
      </c>
      <c r="T126" s="1448"/>
      <c r="U126" s="1445"/>
      <c r="V126" s="1445"/>
      <c r="W126" s="1445"/>
      <c r="X126" s="1445"/>
      <c r="Y126" s="1445"/>
      <c r="Z126" s="1445"/>
      <c r="AA126" s="1445"/>
      <c r="AB126" s="1445"/>
    </row>
    <row r="127" spans="1:28" x14ac:dyDescent="0.25">
      <c r="A127" s="1234"/>
      <c r="B127" s="1229"/>
      <c r="C127" s="1237" t="s">
        <v>1008</v>
      </c>
      <c r="D127" s="1231"/>
      <c r="E127" s="1231"/>
      <c r="F127" s="1232">
        <f>+'Rates in detail'!V28+Inputs!$B$20</f>
        <v>0.53520999999999996</v>
      </c>
      <c r="G127" s="1232">
        <f>+F127-Inputs!$B$16-Inputs!$B$20-H127-I127</f>
        <v>0.2651099999999999</v>
      </c>
      <c r="H127" s="1236">
        <f>+$H$126</f>
        <v>2.5329999999999998E-2</v>
      </c>
      <c r="I127" s="1232">
        <f>+Temporaries!AK28</f>
        <v>3.1199999999999999E-3</v>
      </c>
      <c r="J127" s="1231"/>
      <c r="K127" s="1231"/>
      <c r="L127" s="1231"/>
      <c r="M127" s="1231"/>
      <c r="N127" s="1231"/>
      <c r="O127" s="1231"/>
      <c r="P127" s="1231"/>
      <c r="Q127" s="1240"/>
      <c r="R127" s="1444">
        <f>+F127-$V$120+$V$124</f>
        <v>0.53374999999999995</v>
      </c>
      <c r="S127" s="1444">
        <f>+R127-F127+$W$120</f>
        <v>-2.0816681711721685E-17</v>
      </c>
      <c r="T127" s="1448"/>
      <c r="U127" s="1445"/>
      <c r="V127" s="1445"/>
      <c r="W127" s="1445"/>
      <c r="X127" s="1445"/>
      <c r="Y127" s="1445"/>
      <c r="Z127" s="1445"/>
      <c r="AA127" s="1445"/>
      <c r="AB127" s="1445"/>
    </row>
    <row r="128" spans="1:28" x14ac:dyDescent="0.25">
      <c r="A128" s="1234"/>
      <c r="B128" s="1229"/>
      <c r="C128" s="1230" t="s">
        <v>1009</v>
      </c>
      <c r="D128" s="1231"/>
      <c r="E128" s="1231"/>
      <c r="F128" s="1232"/>
      <c r="G128" s="1232"/>
      <c r="H128" s="1238"/>
      <c r="I128" s="1232"/>
      <c r="J128" s="1231"/>
      <c r="K128" s="1231"/>
      <c r="L128" s="1231"/>
      <c r="M128" s="1231"/>
      <c r="N128" s="1231"/>
      <c r="O128" s="1231"/>
      <c r="P128" s="1231"/>
      <c r="Q128" s="1243"/>
      <c r="R128" s="1444"/>
      <c r="S128" s="1444"/>
      <c r="T128" s="1448"/>
      <c r="U128" s="1445"/>
      <c r="V128" s="1445"/>
      <c r="W128" s="1445"/>
      <c r="X128" s="1445"/>
      <c r="Y128" s="1445"/>
      <c r="Z128" s="1445"/>
      <c r="AA128" s="1445"/>
      <c r="AB128" s="1445"/>
    </row>
    <row r="129" spans="1:28" x14ac:dyDescent="0.25">
      <c r="A129" s="1234"/>
      <c r="B129" s="1229"/>
      <c r="C129" s="1230"/>
      <c r="D129" s="1231"/>
      <c r="E129" s="1231"/>
      <c r="F129" s="1232"/>
      <c r="G129" s="1232"/>
      <c r="H129" s="1238"/>
      <c r="I129" s="1232"/>
      <c r="J129" s="1231"/>
      <c r="K129" s="1231"/>
      <c r="L129" s="1231"/>
      <c r="M129" s="1231"/>
      <c r="N129" s="1231"/>
      <c r="O129" s="1231"/>
      <c r="P129" s="1231"/>
      <c r="Q129" s="1243"/>
      <c r="R129" s="1444"/>
      <c r="S129" s="1444"/>
      <c r="T129" s="1444"/>
      <c r="U129" s="1445"/>
      <c r="V129" s="1445"/>
      <c r="W129" s="1445"/>
      <c r="X129" s="1445"/>
      <c r="Y129" s="1445"/>
      <c r="Z129" s="1445"/>
      <c r="AA129" s="1445"/>
      <c r="AB129" s="1445"/>
    </row>
    <row r="130" spans="1:28" x14ac:dyDescent="0.25">
      <c r="A130" s="1234"/>
      <c r="B130" s="1229"/>
      <c r="C130" s="1237" t="s">
        <v>1010</v>
      </c>
      <c r="D130" s="1231"/>
      <c r="E130" s="1231"/>
      <c r="F130" s="1232">
        <f>+'Rates in detail'!V53+Inputs!$B$20</f>
        <v>0.38801999999999992</v>
      </c>
      <c r="G130" s="1232">
        <f>+F130-Inputs!$B$16-Inputs!$B$20-H130-I130</f>
        <v>0.11832999999999992</v>
      </c>
      <c r="H130" s="1236">
        <f t="shared" ref="H130:H135" si="2">+$H$126</f>
        <v>2.5329999999999998E-2</v>
      </c>
      <c r="I130" s="1232">
        <f>+Temporaries!AK53</f>
        <v>2.7099999999999997E-3</v>
      </c>
      <c r="J130" s="1231"/>
      <c r="K130" s="1231"/>
      <c r="L130" s="1231"/>
      <c r="M130" s="1231"/>
      <c r="N130" s="1231"/>
      <c r="O130" s="1231"/>
      <c r="P130" s="1231"/>
      <c r="Q130" s="1240"/>
      <c r="R130" s="1444">
        <f t="shared" ref="R130:R135" si="3">+F130-$V$120+$V$124</f>
        <v>0.3865599999999999</v>
      </c>
      <c r="S130" s="1444">
        <f t="shared" ref="S130:S135" si="4">+R130-F130+$W$120</f>
        <v>-2.0816681711721685E-17</v>
      </c>
      <c r="T130" s="1448"/>
      <c r="U130" s="1445"/>
      <c r="V130" s="1445"/>
      <c r="W130" s="1445"/>
      <c r="X130" s="1445"/>
      <c r="Y130" s="1445"/>
      <c r="Z130" s="1445"/>
      <c r="AA130" s="1445"/>
      <c r="AB130" s="1445"/>
    </row>
    <row r="131" spans="1:28" x14ac:dyDescent="0.25">
      <c r="A131" s="1234"/>
      <c r="B131" s="1229"/>
      <c r="C131" s="1237" t="s">
        <v>1011</v>
      </c>
      <c r="D131" s="1231"/>
      <c r="E131" s="1231"/>
      <c r="F131" s="1232">
        <f>+'Rates in detail'!V54+Inputs!$B$20</f>
        <v>0.37532999999999989</v>
      </c>
      <c r="G131" s="1232">
        <f>+F131-Inputs!$B$16-Inputs!$B$20-H131-I131</f>
        <v>0.10591999999999989</v>
      </c>
      <c r="H131" s="1236">
        <f t="shared" si="2"/>
        <v>2.5329999999999998E-2</v>
      </c>
      <c r="I131" s="1232">
        <f>+Temporaries!AK54</f>
        <v>2.4299999999999999E-3</v>
      </c>
      <c r="J131" s="1231"/>
      <c r="K131" s="1231"/>
      <c r="L131" s="1231"/>
      <c r="M131" s="1231"/>
      <c r="N131" s="1231"/>
      <c r="O131" s="1231"/>
      <c r="P131" s="1231"/>
      <c r="Q131" s="1240"/>
      <c r="R131" s="1444">
        <f t="shared" si="3"/>
        <v>0.37386999999999987</v>
      </c>
      <c r="S131" s="1444">
        <f t="shared" si="4"/>
        <v>-2.0816681711721685E-17</v>
      </c>
      <c r="T131" s="1448"/>
      <c r="U131" s="1445"/>
      <c r="V131" s="1445"/>
      <c r="W131" s="1445"/>
      <c r="X131" s="1445"/>
      <c r="Y131" s="1445"/>
      <c r="Z131" s="1445"/>
      <c r="AA131" s="1445"/>
      <c r="AB131" s="1445"/>
    </row>
    <row r="132" spans="1:28" x14ac:dyDescent="0.25">
      <c r="A132" s="1234"/>
      <c r="B132" s="1229"/>
      <c r="C132" s="1237" t="s">
        <v>1012</v>
      </c>
      <c r="D132" s="1231"/>
      <c r="E132" s="1231"/>
      <c r="F132" s="1232">
        <f>+'Rates in detail'!V55+Inputs!$B$20</f>
        <v>0.35007000000000016</v>
      </c>
      <c r="G132" s="1232">
        <f>+F132-Inputs!$B$16-Inputs!$B$20-H132-I132</f>
        <v>8.1220000000000167E-2</v>
      </c>
      <c r="H132" s="1236">
        <f t="shared" si="2"/>
        <v>2.5329999999999998E-2</v>
      </c>
      <c r="I132" s="1232">
        <f>+Temporaries!AK55</f>
        <v>1.8700000000000001E-3</v>
      </c>
      <c r="J132" s="1231"/>
      <c r="K132" s="1231"/>
      <c r="L132" s="1231"/>
      <c r="M132" s="1231"/>
      <c r="N132" s="1231"/>
      <c r="O132" s="1231"/>
      <c r="P132" s="1231"/>
      <c r="Q132" s="1240"/>
      <c r="R132" s="1444">
        <f t="shared" si="3"/>
        <v>0.34861000000000014</v>
      </c>
      <c r="S132" s="1444">
        <f t="shared" si="4"/>
        <v>-2.0816681711721685E-17</v>
      </c>
      <c r="T132" s="1448"/>
      <c r="U132" s="1445"/>
      <c r="V132" s="1445"/>
      <c r="W132" s="1445"/>
      <c r="X132" s="1445"/>
      <c r="Y132" s="1445"/>
      <c r="Z132" s="1445"/>
      <c r="AA132" s="1445"/>
      <c r="AB132" s="1445"/>
    </row>
    <row r="133" spans="1:28" x14ac:dyDescent="0.25">
      <c r="A133" s="1234"/>
      <c r="B133" s="1229"/>
      <c r="C133" s="1237" t="s">
        <v>1013</v>
      </c>
      <c r="D133" s="1231"/>
      <c r="E133" s="1231"/>
      <c r="F133" s="1232">
        <f>+'Rates in detail'!V56+Inputs!$B$20</f>
        <v>0.33343999999999985</v>
      </c>
      <c r="G133" s="1232">
        <f>+F133-Inputs!$B$16-Inputs!$B$20-H133-I133</f>
        <v>6.4979999999999857E-2</v>
      </c>
      <c r="H133" s="1236">
        <f t="shared" si="2"/>
        <v>2.5329999999999998E-2</v>
      </c>
      <c r="I133" s="1232">
        <f>+Temporaries!AK56</f>
        <v>1.48E-3</v>
      </c>
      <c r="J133" s="1231"/>
      <c r="K133" s="1231"/>
      <c r="L133" s="1231"/>
      <c r="M133" s="1231"/>
      <c r="N133" s="1231"/>
      <c r="O133" s="1231"/>
      <c r="P133" s="1231"/>
      <c r="Q133" s="1240"/>
      <c r="R133" s="1444">
        <f t="shared" si="3"/>
        <v>0.33197999999999983</v>
      </c>
      <c r="S133" s="1444">
        <f t="shared" si="4"/>
        <v>-2.0816681711721685E-17</v>
      </c>
      <c r="T133" s="1448"/>
      <c r="U133" s="1445"/>
      <c r="V133" s="1445"/>
      <c r="W133" s="1445"/>
      <c r="X133" s="1445"/>
      <c r="Y133" s="1445"/>
      <c r="Z133" s="1445"/>
      <c r="AA133" s="1445"/>
      <c r="AB133" s="1445"/>
    </row>
    <row r="134" spans="1:28" x14ac:dyDescent="0.25">
      <c r="A134" s="1234"/>
      <c r="B134" s="1229"/>
      <c r="C134" s="1237" t="s">
        <v>1014</v>
      </c>
      <c r="D134" s="1231"/>
      <c r="E134" s="1231"/>
      <c r="F134" s="1232">
        <f>+'Rates in detail'!V57+Inputs!$B$20</f>
        <v>0.31128</v>
      </c>
      <c r="G134" s="1232">
        <f>+F134-Inputs!$B$16-Inputs!$B$20-H134-I134</f>
        <v>4.3310000000000001E-2</v>
      </c>
      <c r="H134" s="1236">
        <f t="shared" si="2"/>
        <v>2.5329999999999998E-2</v>
      </c>
      <c r="I134" s="1232">
        <f>+Temporaries!AK57</f>
        <v>9.8999999999999999E-4</v>
      </c>
      <c r="J134" s="1231"/>
      <c r="K134" s="1231"/>
      <c r="L134" s="1231"/>
      <c r="M134" s="1231"/>
      <c r="N134" s="1231"/>
      <c r="O134" s="1231"/>
      <c r="P134" s="1231"/>
      <c r="Q134" s="1240"/>
      <c r="R134" s="1444">
        <f t="shared" si="3"/>
        <v>0.30981999999999998</v>
      </c>
      <c r="S134" s="1444">
        <f t="shared" si="4"/>
        <v>-2.0816681711721685E-17</v>
      </c>
      <c r="T134" s="1448"/>
      <c r="U134" s="1445"/>
      <c r="V134" s="1445"/>
      <c r="W134" s="1445"/>
      <c r="X134" s="1445"/>
      <c r="Y134" s="1445"/>
      <c r="Z134" s="1445"/>
      <c r="AA134" s="1445"/>
      <c r="AB134" s="1445"/>
    </row>
    <row r="135" spans="1:28" x14ac:dyDescent="0.25">
      <c r="A135" s="1234"/>
      <c r="B135" s="1229"/>
      <c r="C135" s="1237" t="s">
        <v>1015</v>
      </c>
      <c r="D135" s="1231"/>
      <c r="E135" s="1231"/>
      <c r="F135" s="1232">
        <f>+'Rates in detail'!V58+Inputs!$B$20</f>
        <v>0.28359999999999991</v>
      </c>
      <c r="G135" s="1232">
        <f>+F135-Inputs!$B$16-Inputs!$B$20-H135-I135</f>
        <v>1.6249999999999907E-2</v>
      </c>
      <c r="H135" s="1236">
        <f t="shared" si="2"/>
        <v>2.5329999999999998E-2</v>
      </c>
      <c r="I135" s="1232">
        <f>+Temporaries!AK58</f>
        <v>3.6999999999999999E-4</v>
      </c>
      <c r="J135" s="1231"/>
      <c r="K135" s="1231"/>
      <c r="L135" s="1231"/>
      <c r="M135" s="1231"/>
      <c r="N135" s="1231"/>
      <c r="O135" s="1231"/>
      <c r="P135" s="1231"/>
      <c r="Q135" s="1240"/>
      <c r="R135" s="1444">
        <f t="shared" si="3"/>
        <v>0.28213999999999995</v>
      </c>
      <c r="S135" s="1444">
        <f t="shared" si="4"/>
        <v>3.4694469519536142E-17</v>
      </c>
      <c r="T135" s="1448"/>
      <c r="U135" s="1445"/>
      <c r="V135" s="1445"/>
      <c r="W135" s="1445"/>
      <c r="X135" s="1445"/>
      <c r="Y135" s="1445"/>
      <c r="Z135" s="1445"/>
      <c r="AA135" s="1445"/>
      <c r="AB135" s="1445"/>
    </row>
    <row r="136" spans="1:28" x14ac:dyDescent="0.25">
      <c r="A136" s="1234"/>
      <c r="B136" s="1229"/>
      <c r="C136" s="1230" t="s">
        <v>1016</v>
      </c>
      <c r="D136" s="1231"/>
      <c r="E136" s="1231"/>
      <c r="F136" s="1232"/>
      <c r="G136" s="1232"/>
      <c r="H136" s="1238"/>
      <c r="I136" s="1232"/>
      <c r="J136" s="1231"/>
      <c r="K136" s="1231"/>
      <c r="L136" s="1231"/>
      <c r="M136" s="1231"/>
      <c r="N136" s="1231"/>
      <c r="O136" s="1231"/>
      <c r="P136" s="1231"/>
      <c r="Q136" s="1243"/>
      <c r="R136" s="1444"/>
      <c r="S136" s="1444"/>
      <c r="T136" s="1448"/>
      <c r="U136" s="1445"/>
      <c r="V136" s="1445"/>
      <c r="W136" s="1445"/>
      <c r="X136" s="1445"/>
      <c r="Y136" s="1445"/>
      <c r="Z136" s="1445"/>
      <c r="AA136" s="1445"/>
      <c r="AB136" s="1445"/>
    </row>
    <row r="137" spans="1:28" x14ac:dyDescent="0.25">
      <c r="A137" s="1234"/>
      <c r="B137" s="1229"/>
      <c r="C137" s="1230"/>
      <c r="D137" s="1231"/>
      <c r="E137" s="1231"/>
      <c r="F137" s="1232"/>
      <c r="G137" s="1232"/>
      <c r="H137" s="1238"/>
      <c r="I137" s="1232"/>
      <c r="J137" s="1231"/>
      <c r="K137" s="1231"/>
      <c r="L137" s="1231"/>
      <c r="M137" s="1231"/>
      <c r="N137" s="1231"/>
      <c r="O137" s="1231"/>
      <c r="P137" s="1231"/>
      <c r="Q137" s="1243"/>
      <c r="R137" s="1444"/>
      <c r="S137" s="1444"/>
      <c r="T137" s="1444"/>
      <c r="U137" s="1445"/>
      <c r="V137" s="1445"/>
      <c r="W137" s="1445"/>
      <c r="X137" s="1445"/>
      <c r="Y137" s="1445"/>
      <c r="Z137" s="1445"/>
      <c r="AA137" s="1445"/>
      <c r="AB137" s="1445"/>
    </row>
    <row r="138" spans="1:28" x14ac:dyDescent="0.25">
      <c r="A138" s="1234"/>
      <c r="B138" s="1244"/>
      <c r="C138" s="1235"/>
      <c r="D138" s="1231"/>
      <c r="E138" s="1231"/>
      <c r="F138" s="1232"/>
      <c r="G138" s="1232"/>
      <c r="H138" s="1232"/>
      <c r="I138" s="1232"/>
      <c r="J138" s="1231"/>
      <c r="K138" s="1231"/>
      <c r="L138" s="1231"/>
      <c r="M138" s="1231"/>
      <c r="N138" s="1231"/>
      <c r="O138" s="1231"/>
      <c r="P138" s="1231"/>
      <c r="Q138" s="1245"/>
      <c r="R138" s="1446"/>
      <c r="S138" s="1446"/>
      <c r="T138" s="1446"/>
      <c r="U138" s="1445"/>
      <c r="V138" s="1445"/>
      <c r="W138" s="1445"/>
      <c r="X138" s="1445"/>
      <c r="Y138" s="1445"/>
      <c r="Z138" s="1445"/>
      <c r="AA138" s="1445"/>
      <c r="AB138" s="1445"/>
    </row>
    <row r="139" spans="1:28" x14ac:dyDescent="0.25">
      <c r="A139" s="1234"/>
      <c r="B139" s="1246" t="s">
        <v>963</v>
      </c>
      <c r="C139" s="1237" t="s">
        <v>1017</v>
      </c>
      <c r="D139" s="1231"/>
      <c r="E139" s="1231"/>
      <c r="F139" s="1232">
        <f>+'Rates in detail'!V23</f>
        <v>0.30027999999999999</v>
      </c>
      <c r="G139" s="1232">
        <f>+F139-H139-I139</f>
        <v>0.30027999999999999</v>
      </c>
      <c r="H139" s="1236"/>
      <c r="I139" s="1232">
        <f>+Temporaries!AK23</f>
        <v>0</v>
      </c>
      <c r="J139" s="1231"/>
      <c r="K139" s="1231"/>
      <c r="L139" s="1231"/>
      <c r="M139" s="1231"/>
      <c r="N139" s="1231"/>
      <c r="O139" s="1231"/>
      <c r="P139" s="1231"/>
      <c r="Q139" s="1245"/>
      <c r="R139" s="1444">
        <f>+F139</f>
        <v>0.30027999999999999</v>
      </c>
      <c r="S139" s="1446"/>
      <c r="T139" s="1448"/>
      <c r="U139" s="1445"/>
      <c r="V139" s="1445"/>
      <c r="W139" s="1445"/>
      <c r="X139" s="1445"/>
      <c r="Y139" s="1445"/>
      <c r="Z139" s="1445"/>
      <c r="AA139" s="1445"/>
      <c r="AB139" s="1445"/>
    </row>
    <row r="140" spans="1:28" x14ac:dyDescent="0.25">
      <c r="A140" s="1234"/>
      <c r="B140" s="1244"/>
      <c r="C140" s="1237" t="s">
        <v>1018</v>
      </c>
      <c r="D140" s="1231"/>
      <c r="E140" s="1231"/>
      <c r="F140" s="1232">
        <f>+'Rates in detail'!V24</f>
        <v>0.26457000000000003</v>
      </c>
      <c r="G140" s="1232">
        <f>+F140-H140-I140</f>
        <v>0.26457000000000003</v>
      </c>
      <c r="H140" s="1236"/>
      <c r="I140" s="1232">
        <f>+Temporaries!AK24</f>
        <v>0</v>
      </c>
      <c r="J140" s="1231"/>
      <c r="K140" s="1231"/>
      <c r="L140" s="1231"/>
      <c r="M140" s="1231"/>
      <c r="N140" s="1231"/>
      <c r="O140" s="1231"/>
      <c r="P140" s="1231"/>
      <c r="Q140" s="1245"/>
      <c r="R140" s="1444">
        <f>+F140</f>
        <v>0.26457000000000003</v>
      </c>
      <c r="S140" s="1446"/>
      <c r="T140" s="1448"/>
      <c r="U140" s="1445"/>
      <c r="V140" s="1445"/>
      <c r="W140" s="1445"/>
      <c r="X140" s="1445"/>
      <c r="Y140" s="1445"/>
      <c r="Z140" s="1445"/>
      <c r="AA140" s="1445"/>
      <c r="AB140" s="1445"/>
    </row>
    <row r="141" spans="1:28" x14ac:dyDescent="0.25">
      <c r="A141" s="1234"/>
      <c r="B141" s="1246"/>
      <c r="C141" s="1230" t="s">
        <v>1005</v>
      </c>
      <c r="D141" s="1231"/>
      <c r="E141" s="1231"/>
      <c r="F141" s="1232"/>
      <c r="G141" s="1232"/>
      <c r="H141" s="1238"/>
      <c r="I141" s="1232"/>
      <c r="J141" s="1231"/>
      <c r="K141" s="1231"/>
      <c r="L141" s="1231"/>
      <c r="M141" s="1231"/>
      <c r="N141" s="1231"/>
      <c r="O141" s="1231"/>
      <c r="P141" s="1231"/>
      <c r="Q141" s="1243"/>
      <c r="R141" s="1444"/>
      <c r="S141" s="1444"/>
      <c r="T141" s="1448"/>
      <c r="U141" s="1445"/>
      <c r="V141" s="1445"/>
      <c r="W141" s="1445"/>
      <c r="X141" s="1445"/>
      <c r="Y141" s="1445"/>
      <c r="Z141" s="1445"/>
      <c r="AA141" s="1445"/>
      <c r="AB141" s="1445"/>
    </row>
    <row r="142" spans="1:28" x14ac:dyDescent="0.25">
      <c r="A142" s="1234"/>
      <c r="B142" s="1246"/>
      <c r="C142" s="1230"/>
      <c r="D142" s="1231"/>
      <c r="E142" s="1231"/>
      <c r="F142" s="1232"/>
      <c r="G142" s="1232"/>
      <c r="H142" s="1238"/>
      <c r="I142" s="1232"/>
      <c r="J142" s="1231"/>
      <c r="K142" s="1231"/>
      <c r="L142" s="1231"/>
      <c r="M142" s="1231"/>
      <c r="N142" s="1231"/>
      <c r="O142" s="1231"/>
      <c r="P142" s="1231"/>
      <c r="Q142" s="1243"/>
      <c r="R142" s="1444"/>
      <c r="S142" s="1444"/>
      <c r="T142" s="1444"/>
      <c r="U142" s="1445"/>
      <c r="V142" s="1445"/>
      <c r="W142" s="1445"/>
      <c r="X142" s="1445"/>
      <c r="Y142" s="1445"/>
      <c r="Z142" s="1445"/>
      <c r="AA142" s="1445"/>
      <c r="AB142" s="1445"/>
    </row>
    <row r="143" spans="1:28" x14ac:dyDescent="0.25">
      <c r="A143" s="1234"/>
      <c r="B143" s="1246"/>
      <c r="C143" s="1237" t="s">
        <v>1019</v>
      </c>
      <c r="D143" s="1231"/>
      <c r="E143" s="1231"/>
      <c r="F143" s="1232">
        <f>+'Rates in detail'!V41</f>
        <v>0.11796</v>
      </c>
      <c r="G143" s="1232">
        <f t="shared" ref="G143:G148" si="5">+F143-H143-I143</f>
        <v>0.11796</v>
      </c>
      <c r="H143" s="1232"/>
      <c r="I143" s="1232">
        <f>+Temporaries!AK41</f>
        <v>0</v>
      </c>
      <c r="J143" s="1231"/>
      <c r="K143" s="1231"/>
      <c r="L143" s="1231"/>
      <c r="M143" s="1231"/>
      <c r="N143" s="1231"/>
      <c r="O143" s="1231"/>
      <c r="P143" s="1231"/>
      <c r="Q143" s="1245"/>
      <c r="R143" s="1444">
        <f t="shared" ref="R143:R148" si="6">+F143</f>
        <v>0.11796</v>
      </c>
      <c r="S143" s="1446"/>
      <c r="T143" s="1448"/>
      <c r="U143" s="1445"/>
      <c r="V143" s="1445"/>
      <c r="W143" s="1445"/>
      <c r="X143" s="1445"/>
      <c r="Y143" s="1445"/>
      <c r="Z143" s="1445"/>
      <c r="AA143" s="1445"/>
      <c r="AB143" s="1445"/>
    </row>
    <row r="144" spans="1:28" x14ac:dyDescent="0.25">
      <c r="A144" s="1234"/>
      <c r="B144" s="1246"/>
      <c r="C144" s="1237" t="s">
        <v>1020</v>
      </c>
      <c r="D144" s="1231"/>
      <c r="E144" s="1231"/>
      <c r="F144" s="1232">
        <f>+'Rates in detail'!V42</f>
        <v>0.10558999999999999</v>
      </c>
      <c r="G144" s="1232">
        <f t="shared" si="5"/>
        <v>0.10558999999999999</v>
      </c>
      <c r="H144" s="1232"/>
      <c r="I144" s="1232">
        <f>+Temporaries!AK42</f>
        <v>0</v>
      </c>
      <c r="J144" s="1231"/>
      <c r="K144" s="1231"/>
      <c r="L144" s="1231"/>
      <c r="M144" s="1231"/>
      <c r="N144" s="1231"/>
      <c r="O144" s="1231"/>
      <c r="P144" s="1231"/>
      <c r="Q144" s="1245"/>
      <c r="R144" s="1444">
        <f t="shared" si="6"/>
        <v>0.10558999999999999</v>
      </c>
      <c r="S144" s="1446"/>
      <c r="T144" s="1448"/>
      <c r="U144" s="1445"/>
      <c r="V144" s="1445"/>
      <c r="W144" s="1445"/>
      <c r="X144" s="1445"/>
      <c r="Y144" s="1445"/>
      <c r="Z144" s="1445"/>
      <c r="AA144" s="1445"/>
      <c r="AB144" s="1445"/>
    </row>
    <row r="145" spans="1:28" x14ac:dyDescent="0.25">
      <c r="A145" s="1234"/>
      <c r="B145" s="1246"/>
      <c r="C145" s="1237" t="s">
        <v>1021</v>
      </c>
      <c r="D145" s="1231"/>
      <c r="E145" s="1231"/>
      <c r="F145" s="1232">
        <f>+'Rates in detail'!V43</f>
        <v>8.097E-2</v>
      </c>
      <c r="G145" s="1232">
        <f t="shared" si="5"/>
        <v>8.097E-2</v>
      </c>
      <c r="H145" s="1232"/>
      <c r="I145" s="1232">
        <f>+Temporaries!AK43</f>
        <v>0</v>
      </c>
      <c r="J145" s="1231"/>
      <c r="K145" s="1231"/>
      <c r="L145" s="1231"/>
      <c r="M145" s="1231"/>
      <c r="N145" s="1231"/>
      <c r="O145" s="1231"/>
      <c r="P145" s="1231"/>
      <c r="Q145" s="1245"/>
      <c r="R145" s="1444">
        <f t="shared" si="6"/>
        <v>8.097E-2</v>
      </c>
      <c r="S145" s="1446"/>
      <c r="T145" s="1448"/>
      <c r="U145" s="1445"/>
      <c r="V145" s="1445"/>
      <c r="W145" s="1445"/>
      <c r="X145" s="1445"/>
      <c r="Y145" s="1445"/>
      <c r="Z145" s="1445"/>
      <c r="AA145" s="1445"/>
      <c r="AB145" s="1445"/>
    </row>
    <row r="146" spans="1:28" x14ac:dyDescent="0.25">
      <c r="A146" s="1234"/>
      <c r="B146" s="1246"/>
      <c r="C146" s="1237" t="s">
        <v>1022</v>
      </c>
      <c r="D146" s="1231"/>
      <c r="E146" s="1231"/>
      <c r="F146" s="1232">
        <f>+'Rates in detail'!V44</f>
        <v>6.4780000000000004E-2</v>
      </c>
      <c r="G146" s="1232">
        <f t="shared" si="5"/>
        <v>6.4780000000000004E-2</v>
      </c>
      <c r="H146" s="1232"/>
      <c r="I146" s="1232">
        <f>+Temporaries!AK44</f>
        <v>0</v>
      </c>
      <c r="J146" s="1231"/>
      <c r="K146" s="1231"/>
      <c r="L146" s="1231"/>
      <c r="M146" s="1231"/>
      <c r="N146" s="1231"/>
      <c r="O146" s="1231"/>
      <c r="P146" s="1231"/>
      <c r="Q146" s="1245"/>
      <c r="R146" s="1444">
        <f t="shared" si="6"/>
        <v>6.4780000000000004E-2</v>
      </c>
      <c r="S146" s="1446"/>
      <c r="T146" s="1448"/>
      <c r="U146" s="1445"/>
      <c r="V146" s="1445"/>
      <c r="W146" s="1445"/>
      <c r="X146" s="1445"/>
      <c r="Y146" s="1445"/>
      <c r="Z146" s="1445"/>
      <c r="AA146" s="1445"/>
      <c r="AB146" s="1445"/>
    </row>
    <row r="147" spans="1:28" x14ac:dyDescent="0.25">
      <c r="A147" s="1234"/>
      <c r="B147" s="1246"/>
      <c r="C147" s="1237" t="s">
        <v>1023</v>
      </c>
      <c r="D147" s="1231"/>
      <c r="E147" s="1231"/>
      <c r="F147" s="1232">
        <f>+'Rates in detail'!V45</f>
        <v>4.3190000000000006E-2</v>
      </c>
      <c r="G147" s="1232">
        <f t="shared" si="5"/>
        <v>4.3190000000000006E-2</v>
      </c>
      <c r="H147" s="1232"/>
      <c r="I147" s="1232">
        <f>+Temporaries!AK45</f>
        <v>0</v>
      </c>
      <c r="J147" s="1231"/>
      <c r="K147" s="1231"/>
      <c r="L147" s="1231"/>
      <c r="M147" s="1231"/>
      <c r="N147" s="1231"/>
      <c r="O147" s="1231"/>
      <c r="P147" s="1231"/>
      <c r="Q147" s="1245"/>
      <c r="R147" s="1444">
        <f t="shared" si="6"/>
        <v>4.3190000000000006E-2</v>
      </c>
      <c r="S147" s="1446"/>
      <c r="T147" s="1448"/>
      <c r="U147" s="1445"/>
      <c r="V147" s="1445"/>
      <c r="W147" s="1445"/>
      <c r="X147" s="1445"/>
      <c r="Y147" s="1445"/>
      <c r="Z147" s="1445"/>
      <c r="AA147" s="1445"/>
      <c r="AB147" s="1445"/>
    </row>
    <row r="148" spans="1:28" x14ac:dyDescent="0.25">
      <c r="A148" s="1234"/>
      <c r="B148" s="1246"/>
      <c r="C148" s="1237" t="s">
        <v>1024</v>
      </c>
      <c r="D148" s="1231"/>
      <c r="E148" s="1231"/>
      <c r="F148" s="1232">
        <f>+'Rates in detail'!V46</f>
        <v>1.619E-2</v>
      </c>
      <c r="G148" s="1232">
        <f t="shared" si="5"/>
        <v>1.619E-2</v>
      </c>
      <c r="H148" s="1232"/>
      <c r="I148" s="1232">
        <f>+Temporaries!AK46</f>
        <v>0</v>
      </c>
      <c r="J148" s="1231"/>
      <c r="K148" s="1231"/>
      <c r="L148" s="1231"/>
      <c r="M148" s="1231"/>
      <c r="N148" s="1231"/>
      <c r="O148" s="1231"/>
      <c r="P148" s="1231"/>
      <c r="Q148" s="1245"/>
      <c r="R148" s="1444">
        <f t="shared" si="6"/>
        <v>1.619E-2</v>
      </c>
      <c r="S148" s="1446"/>
      <c r="T148" s="1448"/>
      <c r="U148" s="1445"/>
      <c r="V148" s="1445"/>
      <c r="W148" s="1445"/>
      <c r="X148" s="1445"/>
      <c r="Y148" s="1445"/>
      <c r="Z148" s="1445"/>
      <c r="AA148" s="1445"/>
      <c r="AB148" s="1445"/>
    </row>
    <row r="149" spans="1:28" x14ac:dyDescent="0.25">
      <c r="A149" s="1234"/>
      <c r="B149" s="1246"/>
      <c r="C149" s="1230" t="s">
        <v>1006</v>
      </c>
      <c r="D149" s="1231"/>
      <c r="E149" s="1231"/>
      <c r="F149" s="1232"/>
      <c r="G149" s="1232"/>
      <c r="H149" s="1238"/>
      <c r="I149" s="1232"/>
      <c r="J149" s="1231"/>
      <c r="K149" s="1231"/>
      <c r="L149" s="1231"/>
      <c r="M149" s="1231"/>
      <c r="N149" s="1231"/>
      <c r="O149" s="1231"/>
      <c r="P149" s="1231"/>
      <c r="Q149" s="1243"/>
      <c r="R149" s="1444"/>
      <c r="S149" s="1444"/>
      <c r="T149" s="1448"/>
      <c r="U149" s="1445"/>
      <c r="V149" s="1445"/>
      <c r="W149" s="1445"/>
      <c r="X149" s="1445"/>
      <c r="Y149" s="1445"/>
      <c r="Z149" s="1445"/>
      <c r="AA149" s="1445"/>
      <c r="AB149" s="1445"/>
    </row>
    <row r="150" spans="1:28" x14ac:dyDescent="0.25">
      <c r="A150" s="1234"/>
      <c r="B150" s="1246"/>
      <c r="C150" s="1230"/>
      <c r="D150" s="1231"/>
      <c r="E150" s="1231"/>
      <c r="F150" s="1232"/>
      <c r="G150" s="1232"/>
      <c r="H150" s="1238"/>
      <c r="I150" s="1232"/>
      <c r="J150" s="1231"/>
      <c r="K150" s="1231"/>
      <c r="L150" s="1231"/>
      <c r="M150" s="1231"/>
      <c r="N150" s="1231"/>
      <c r="O150" s="1231"/>
      <c r="P150" s="1231"/>
      <c r="Q150" s="1243"/>
      <c r="R150" s="1444"/>
      <c r="S150" s="1444"/>
      <c r="T150" s="1444"/>
      <c r="U150" s="1445"/>
      <c r="V150" s="1445"/>
      <c r="W150" s="1445"/>
      <c r="X150" s="1445"/>
      <c r="Y150" s="1445"/>
      <c r="Z150" s="1445"/>
      <c r="AA150" s="1445"/>
      <c r="AB150" s="1445"/>
    </row>
    <row r="151" spans="1:28" x14ac:dyDescent="0.25">
      <c r="A151" s="1234"/>
      <c r="B151" s="1246"/>
      <c r="C151" s="1237" t="s">
        <v>1025</v>
      </c>
      <c r="D151" s="1231"/>
      <c r="E151" s="1231"/>
      <c r="F151" s="1232">
        <f>+'Rates in detail'!V59</f>
        <v>0.11797999999999999</v>
      </c>
      <c r="G151" s="1232">
        <f t="shared" ref="G151:G156" si="7">+F151-H151-I151</f>
        <v>0.11797999999999999</v>
      </c>
      <c r="H151" s="1232"/>
      <c r="I151" s="1232">
        <f>+Temporaries!AK59</f>
        <v>0</v>
      </c>
      <c r="J151" s="1231"/>
      <c r="K151" s="1231"/>
      <c r="L151" s="1231"/>
      <c r="M151" s="1231"/>
      <c r="N151" s="1231"/>
      <c r="O151" s="1231"/>
      <c r="P151" s="1231"/>
      <c r="Q151" s="1245"/>
      <c r="R151" s="1444">
        <f t="shared" ref="R151:R156" si="8">+F151</f>
        <v>0.11797999999999999</v>
      </c>
      <c r="S151" s="1446"/>
      <c r="T151" s="1448"/>
      <c r="U151" s="1445"/>
      <c r="V151" s="1445"/>
      <c r="W151" s="1445"/>
      <c r="X151" s="1445"/>
      <c r="Y151" s="1445"/>
      <c r="Z151" s="1445"/>
      <c r="AA151" s="1445"/>
      <c r="AB151" s="1445"/>
    </row>
    <row r="152" spans="1:28" x14ac:dyDescent="0.25">
      <c r="A152" s="1234"/>
      <c r="B152" s="1246"/>
      <c r="C152" s="1237" t="s">
        <v>1026</v>
      </c>
      <c r="D152" s="1231"/>
      <c r="E152" s="1231"/>
      <c r="F152" s="1232">
        <f>+'Rates in detail'!V60</f>
        <v>0.10561</v>
      </c>
      <c r="G152" s="1232">
        <f t="shared" si="7"/>
        <v>0.10561</v>
      </c>
      <c r="H152" s="1232"/>
      <c r="I152" s="1232">
        <f>+Temporaries!AK60</f>
        <v>0</v>
      </c>
      <c r="J152" s="1231"/>
      <c r="K152" s="1231"/>
      <c r="L152" s="1231"/>
      <c r="M152" s="1231"/>
      <c r="N152" s="1231"/>
      <c r="O152" s="1231"/>
      <c r="P152" s="1231"/>
      <c r="Q152" s="1245"/>
      <c r="R152" s="1444">
        <f t="shared" si="8"/>
        <v>0.10561</v>
      </c>
      <c r="S152" s="1446"/>
      <c r="T152" s="1448"/>
      <c r="U152" s="1445"/>
      <c r="V152" s="1445"/>
      <c r="W152" s="1445"/>
      <c r="X152" s="1445"/>
      <c r="Y152" s="1445"/>
      <c r="Z152" s="1445"/>
      <c r="AA152" s="1445"/>
      <c r="AB152" s="1445"/>
    </row>
    <row r="153" spans="1:28" x14ac:dyDescent="0.25">
      <c r="A153" s="1234"/>
      <c r="B153" s="1246"/>
      <c r="C153" s="1237" t="s">
        <v>1027</v>
      </c>
      <c r="D153" s="1231"/>
      <c r="E153" s="1231"/>
      <c r="F153" s="1232">
        <f>+'Rates in detail'!V61</f>
        <v>8.0979999999999996E-2</v>
      </c>
      <c r="G153" s="1232">
        <f t="shared" si="7"/>
        <v>8.0979999999999996E-2</v>
      </c>
      <c r="H153" s="1232"/>
      <c r="I153" s="1232">
        <f>+Temporaries!AK61</f>
        <v>0</v>
      </c>
      <c r="J153" s="1231"/>
      <c r="K153" s="1231"/>
      <c r="L153" s="1231"/>
      <c r="M153" s="1231"/>
      <c r="N153" s="1231"/>
      <c r="O153" s="1231"/>
      <c r="P153" s="1231"/>
      <c r="Q153" s="1245"/>
      <c r="R153" s="1444">
        <f t="shared" si="8"/>
        <v>8.0979999999999996E-2</v>
      </c>
      <c r="S153" s="1446"/>
      <c r="T153" s="1448"/>
      <c r="U153" s="1445"/>
      <c r="V153" s="1445"/>
      <c r="W153" s="1445"/>
      <c r="X153" s="1445"/>
      <c r="Y153" s="1445"/>
      <c r="Z153" s="1445"/>
      <c r="AA153" s="1445"/>
      <c r="AB153" s="1445"/>
    </row>
    <row r="154" spans="1:28" x14ac:dyDescent="0.25">
      <c r="A154" s="1234"/>
      <c r="B154" s="1246"/>
      <c r="C154" s="1237" t="s">
        <v>1028</v>
      </c>
      <c r="D154" s="1231"/>
      <c r="E154" s="1231"/>
      <c r="F154" s="1232">
        <f>+'Rates in detail'!V62</f>
        <v>6.479E-2</v>
      </c>
      <c r="G154" s="1232">
        <f t="shared" si="7"/>
        <v>6.479E-2</v>
      </c>
      <c r="H154" s="1232"/>
      <c r="I154" s="1232">
        <f>+Temporaries!AK62</f>
        <v>0</v>
      </c>
      <c r="J154" s="1231"/>
      <c r="K154" s="1231"/>
      <c r="L154" s="1231"/>
      <c r="M154" s="1231"/>
      <c r="N154" s="1231"/>
      <c r="O154" s="1231"/>
      <c r="P154" s="1231"/>
      <c r="Q154" s="1245"/>
      <c r="R154" s="1444">
        <f t="shared" si="8"/>
        <v>6.479E-2</v>
      </c>
      <c r="S154" s="1446"/>
      <c r="T154" s="1448"/>
      <c r="U154" s="1445"/>
      <c r="V154" s="1445"/>
      <c r="W154" s="1445"/>
      <c r="X154" s="1445"/>
      <c r="Y154" s="1445"/>
      <c r="Z154" s="1445"/>
      <c r="AA154" s="1445"/>
      <c r="AB154" s="1445"/>
    </row>
    <row r="155" spans="1:28" x14ac:dyDescent="0.25">
      <c r="A155" s="1234"/>
      <c r="B155" s="1246"/>
      <c r="C155" s="1237" t="s">
        <v>1029</v>
      </c>
      <c r="D155" s="1231"/>
      <c r="E155" s="1231"/>
      <c r="F155" s="1232">
        <f>+'Rates in detail'!V63</f>
        <v>4.3200000000000002E-2</v>
      </c>
      <c r="G155" s="1232">
        <f t="shared" si="7"/>
        <v>4.3200000000000002E-2</v>
      </c>
      <c r="H155" s="1232"/>
      <c r="I155" s="1232">
        <f>+Temporaries!AK63</f>
        <v>0</v>
      </c>
      <c r="J155" s="1231"/>
      <c r="K155" s="1231"/>
      <c r="L155" s="1231"/>
      <c r="M155" s="1231"/>
      <c r="N155" s="1231"/>
      <c r="O155" s="1231"/>
      <c r="P155" s="1231"/>
      <c r="Q155" s="1245"/>
      <c r="R155" s="1444">
        <f t="shared" si="8"/>
        <v>4.3200000000000002E-2</v>
      </c>
      <c r="S155" s="1446"/>
      <c r="T155" s="1448"/>
      <c r="U155" s="1445"/>
      <c r="V155" s="1445"/>
      <c r="W155" s="1445"/>
      <c r="X155" s="1445"/>
      <c r="Y155" s="1445"/>
      <c r="Z155" s="1445"/>
      <c r="AA155" s="1445"/>
      <c r="AB155" s="1445"/>
    </row>
    <row r="156" spans="1:28" x14ac:dyDescent="0.25">
      <c r="A156" s="1234"/>
      <c r="B156" s="1246"/>
      <c r="C156" s="1237" t="s">
        <v>1030</v>
      </c>
      <c r="D156" s="1231"/>
      <c r="E156" s="1231"/>
      <c r="F156" s="1232">
        <f>+'Rates in detail'!V64</f>
        <v>1.619E-2</v>
      </c>
      <c r="G156" s="1232">
        <f t="shared" si="7"/>
        <v>1.619E-2</v>
      </c>
      <c r="H156" s="1232"/>
      <c r="I156" s="1232">
        <f>+Temporaries!AK64</f>
        <v>0</v>
      </c>
      <c r="J156" s="1231"/>
      <c r="K156" s="1231"/>
      <c r="L156" s="1231"/>
      <c r="M156" s="1231"/>
      <c r="N156" s="1231"/>
      <c r="O156" s="1231"/>
      <c r="P156" s="1231"/>
      <c r="Q156" s="1245"/>
      <c r="R156" s="1444">
        <f t="shared" si="8"/>
        <v>1.619E-2</v>
      </c>
      <c r="S156" s="1446"/>
      <c r="T156" s="1448"/>
      <c r="U156" s="1445"/>
      <c r="V156" s="1445"/>
      <c r="W156" s="1445"/>
      <c r="X156" s="1445"/>
      <c r="Y156" s="1445"/>
      <c r="Z156" s="1445"/>
      <c r="AA156" s="1445"/>
      <c r="AB156" s="1445"/>
    </row>
    <row r="157" spans="1:28" x14ac:dyDescent="0.25">
      <c r="A157" s="1234"/>
      <c r="B157" s="1246"/>
      <c r="C157" s="1230" t="s">
        <v>1016</v>
      </c>
      <c r="D157" s="1231"/>
      <c r="E157" s="1231"/>
      <c r="F157" s="1232"/>
      <c r="G157" s="1232"/>
      <c r="H157" s="1250"/>
      <c r="I157" s="1250"/>
      <c r="J157" s="1231"/>
      <c r="K157" s="1231"/>
      <c r="L157" s="1231"/>
      <c r="M157" s="1231"/>
      <c r="N157" s="1231"/>
      <c r="O157" s="1231"/>
      <c r="P157" s="1231"/>
      <c r="Q157" s="1251"/>
      <c r="R157" s="1444"/>
      <c r="S157" s="1454"/>
      <c r="T157" s="1448"/>
      <c r="U157" s="1445"/>
      <c r="V157" s="1445"/>
      <c r="W157" s="1445"/>
      <c r="X157" s="1445"/>
      <c r="Y157" s="1445"/>
      <c r="Z157" s="1445"/>
      <c r="AA157" s="1445"/>
      <c r="AB157" s="1445"/>
    </row>
    <row r="158" spans="1:28" x14ac:dyDescent="0.25">
      <c r="A158" s="1234"/>
      <c r="B158" s="1246"/>
      <c r="C158" s="1230"/>
      <c r="D158" s="1231"/>
      <c r="E158" s="1231"/>
      <c r="F158" s="1232"/>
      <c r="G158" s="1232"/>
      <c r="H158" s="1250"/>
      <c r="I158" s="1250"/>
      <c r="J158" s="1231"/>
      <c r="K158" s="1231"/>
      <c r="L158" s="1231"/>
      <c r="M158" s="1231"/>
      <c r="N158" s="1231"/>
      <c r="O158" s="1231"/>
      <c r="P158" s="1231"/>
      <c r="Q158" s="1251"/>
      <c r="R158" s="1444"/>
      <c r="S158" s="1454"/>
      <c r="T158" s="1454"/>
      <c r="U158" s="1445"/>
      <c r="V158" s="1445"/>
      <c r="W158" s="1445"/>
      <c r="X158" s="1445"/>
      <c r="Y158" s="1445"/>
      <c r="Z158" s="1445"/>
      <c r="AA158" s="1445"/>
      <c r="AB158" s="1445"/>
    </row>
    <row r="159" spans="1:28" x14ac:dyDescent="0.25">
      <c r="A159" s="1234"/>
      <c r="B159" s="1246"/>
      <c r="C159" s="1230" t="s">
        <v>986</v>
      </c>
      <c r="D159" s="1231"/>
      <c r="E159" s="1231"/>
      <c r="F159" s="1232"/>
      <c r="G159" s="1232"/>
      <c r="H159" s="1250"/>
      <c r="I159" s="1250"/>
      <c r="J159" s="1231"/>
      <c r="K159" s="1231"/>
      <c r="L159" s="1231"/>
      <c r="M159" s="1231"/>
      <c r="N159" s="1231"/>
      <c r="O159" s="1231"/>
      <c r="P159" s="1231"/>
      <c r="Q159" s="1251"/>
      <c r="R159" s="1444"/>
      <c r="S159" s="1454"/>
      <c r="T159" s="1448"/>
      <c r="U159" s="1445"/>
      <c r="V159" s="1445"/>
      <c r="W159" s="1445"/>
      <c r="X159" s="1445"/>
      <c r="Y159" s="1445"/>
      <c r="Z159" s="1445"/>
      <c r="AA159" s="1445"/>
      <c r="AB159" s="1445"/>
    </row>
    <row r="160" spans="1:28" x14ac:dyDescent="0.25">
      <c r="A160" s="1234"/>
      <c r="B160" s="1246"/>
      <c r="C160" s="1230" t="s">
        <v>987</v>
      </c>
      <c r="D160" s="1231"/>
      <c r="E160" s="1231"/>
      <c r="F160" s="1245"/>
      <c r="G160" s="1251"/>
      <c r="H160" s="1251"/>
      <c r="I160" s="1251"/>
      <c r="J160" s="1231"/>
      <c r="K160" s="1231"/>
      <c r="L160" s="1231"/>
      <c r="M160" s="1231"/>
      <c r="N160" s="1231"/>
      <c r="O160" s="1231"/>
      <c r="P160" s="1231"/>
      <c r="Q160" s="1251"/>
      <c r="R160" s="1444"/>
      <c r="S160" s="1454"/>
      <c r="T160" s="1448"/>
      <c r="U160" s="1445"/>
      <c r="V160" s="1445"/>
      <c r="W160" s="1445"/>
      <c r="X160" s="1445"/>
      <c r="Y160" s="1445"/>
      <c r="Z160" s="1445"/>
      <c r="AA160" s="1445"/>
      <c r="AB160" s="1445"/>
    </row>
    <row r="161" spans="1:28" x14ac:dyDescent="0.25">
      <c r="A161" s="1234"/>
      <c r="B161" s="1246"/>
      <c r="C161" s="1230"/>
      <c r="D161" s="1231"/>
      <c r="E161" s="1231"/>
      <c r="F161" s="1252"/>
      <c r="G161" s="1252"/>
      <c r="H161" s="1252"/>
      <c r="I161" s="1252"/>
      <c r="J161" s="1231"/>
      <c r="K161" s="1231"/>
      <c r="L161" s="1231"/>
      <c r="M161" s="1231"/>
      <c r="N161" s="1231"/>
      <c r="O161" s="1231"/>
      <c r="P161" s="1231"/>
      <c r="Q161" s="1252"/>
      <c r="R161" s="1455"/>
      <c r="S161" s="1455"/>
      <c r="T161" s="1455"/>
      <c r="U161" s="1445"/>
      <c r="V161" s="1445"/>
      <c r="W161" s="1445"/>
      <c r="X161" s="1445"/>
      <c r="Y161" s="1445"/>
      <c r="Z161" s="1445"/>
      <c r="AA161" s="1445"/>
      <c r="AB161" s="1445"/>
    </row>
    <row r="162" spans="1:28" x14ac:dyDescent="0.25">
      <c r="A162" s="1253" t="s">
        <v>1031</v>
      </c>
      <c r="B162" s="1254"/>
      <c r="C162" s="1255"/>
      <c r="D162" s="1256"/>
      <c r="E162" s="1256"/>
      <c r="F162" s="1257"/>
      <c r="G162" s="1257"/>
      <c r="H162" s="1257"/>
      <c r="I162" s="1257"/>
      <c r="J162" s="1256"/>
      <c r="K162" s="1256"/>
      <c r="L162" s="1256"/>
      <c r="M162" s="1256"/>
      <c r="N162" s="1256"/>
      <c r="O162" s="1256"/>
      <c r="P162" s="1256"/>
      <c r="Q162" s="1257"/>
      <c r="R162" s="1257"/>
      <c r="S162" s="1257"/>
      <c r="T162" s="1257"/>
      <c r="U162" s="1216"/>
      <c r="V162" s="1216"/>
    </row>
    <row r="163" spans="1:28" x14ac:dyDescent="0.25">
      <c r="A163" s="1234" t="s">
        <v>1032</v>
      </c>
      <c r="B163" s="1229" t="s">
        <v>688</v>
      </c>
      <c r="C163" s="1235" t="s">
        <v>46</v>
      </c>
      <c r="D163" s="1231"/>
      <c r="E163" s="1231"/>
      <c r="F163" s="1258"/>
      <c r="G163" s="1258"/>
      <c r="H163" s="1258"/>
      <c r="I163" s="1258"/>
      <c r="J163" s="1231"/>
      <c r="K163" s="1231"/>
      <c r="L163" s="1231"/>
      <c r="M163" s="1231"/>
      <c r="N163" s="1231"/>
      <c r="O163" s="1231"/>
      <c r="P163" s="1231"/>
      <c r="Q163" s="1258"/>
      <c r="R163" s="1258"/>
      <c r="S163" s="1258"/>
      <c r="T163" s="1258"/>
      <c r="U163" s="1216"/>
      <c r="V163" s="1216"/>
    </row>
    <row r="164" spans="1:28" x14ac:dyDescent="0.25">
      <c r="A164" s="1234"/>
      <c r="B164" s="1229"/>
      <c r="C164" s="1235" t="s">
        <v>931</v>
      </c>
      <c r="D164" s="1231"/>
      <c r="E164" s="1231"/>
      <c r="F164" s="1258"/>
      <c r="G164" s="1258"/>
      <c r="H164" s="1258"/>
      <c r="I164" s="1258"/>
      <c r="J164" s="1231"/>
      <c r="K164" s="1231"/>
      <c r="L164" s="1231"/>
      <c r="M164" s="1231"/>
      <c r="N164" s="1231"/>
      <c r="O164" s="1231"/>
      <c r="P164" s="1231"/>
      <c r="Q164" s="1258"/>
      <c r="R164" s="1258"/>
      <c r="S164" s="1258"/>
      <c r="T164" s="1258"/>
      <c r="U164" s="1216"/>
      <c r="V164" s="1216"/>
    </row>
    <row r="165" spans="1:28" x14ac:dyDescent="0.25">
      <c r="A165" s="1234"/>
      <c r="B165" s="1229"/>
      <c r="C165" s="1235" t="s">
        <v>992</v>
      </c>
      <c r="D165" s="1231"/>
      <c r="E165" s="1231"/>
      <c r="F165" s="1258"/>
      <c r="G165" s="1258"/>
      <c r="H165" s="1258"/>
      <c r="I165" s="1258"/>
      <c r="J165" s="1231"/>
      <c r="K165" s="1231"/>
      <c r="L165" s="1231"/>
      <c r="M165" s="1231"/>
      <c r="N165" s="1231"/>
      <c r="O165" s="1231"/>
      <c r="P165" s="1231"/>
      <c r="Q165" s="1258"/>
      <c r="R165" s="1258"/>
      <c r="S165" s="1258"/>
      <c r="T165" s="1258"/>
      <c r="U165" s="1216"/>
      <c r="V165" s="1216"/>
    </row>
    <row r="166" spans="1:28" x14ac:dyDescent="0.25">
      <c r="A166" s="1234"/>
      <c r="B166" s="1229"/>
      <c r="C166" s="1235" t="s">
        <v>1033</v>
      </c>
      <c r="D166" s="1231"/>
      <c r="E166" s="1231"/>
      <c r="F166" s="1258"/>
      <c r="G166" s="1258"/>
      <c r="H166" s="1258"/>
      <c r="I166" s="1258"/>
      <c r="J166" s="1231"/>
      <c r="K166" s="1231"/>
      <c r="L166" s="1231"/>
      <c r="M166" s="1231"/>
      <c r="N166" s="1231"/>
      <c r="O166" s="1231"/>
      <c r="P166" s="1231"/>
      <c r="Q166" s="1258"/>
      <c r="R166" s="1258"/>
      <c r="S166" s="1258"/>
      <c r="T166" s="1258"/>
      <c r="U166" s="1216"/>
      <c r="V166" s="1216"/>
    </row>
    <row r="167" spans="1:28" x14ac:dyDescent="0.25">
      <c r="A167" s="1234"/>
      <c r="B167" s="1229"/>
      <c r="C167" s="1235" t="s">
        <v>1034</v>
      </c>
      <c r="D167" s="1231"/>
      <c r="E167" s="1231"/>
      <c r="F167" s="1258"/>
      <c r="G167" s="1258"/>
      <c r="H167" s="1258"/>
      <c r="I167" s="1258"/>
      <c r="J167" s="1231"/>
      <c r="K167" s="1231"/>
      <c r="L167" s="1231"/>
      <c r="M167" s="1231"/>
      <c r="N167" s="1231"/>
      <c r="O167" s="1231"/>
      <c r="P167" s="1231"/>
      <c r="Q167" s="1258"/>
      <c r="R167" s="1258"/>
      <c r="S167" s="1258"/>
      <c r="T167" s="1258"/>
      <c r="U167" s="1216"/>
      <c r="V167" s="1216"/>
    </row>
    <row r="168" spans="1:28" x14ac:dyDescent="0.25">
      <c r="A168" s="1234"/>
      <c r="B168" s="1229"/>
      <c r="C168" s="1230" t="s">
        <v>997</v>
      </c>
      <c r="D168" s="1231"/>
      <c r="E168" s="1231"/>
      <c r="F168" s="1252"/>
      <c r="G168" s="1252"/>
      <c r="H168" s="1252"/>
      <c r="I168" s="1252"/>
      <c r="J168" s="1231"/>
      <c r="K168" s="1231"/>
      <c r="L168" s="1231"/>
      <c r="M168" s="1231"/>
      <c r="N168" s="1231"/>
      <c r="O168" s="1231"/>
      <c r="P168" s="1231"/>
      <c r="Q168" s="1252"/>
      <c r="R168" s="1252"/>
      <c r="S168" s="1252"/>
      <c r="T168" s="1252"/>
      <c r="U168" s="1216"/>
      <c r="V168" s="1216"/>
    </row>
    <row r="169" spans="1:28" x14ac:dyDescent="0.25">
      <c r="A169" s="1234"/>
      <c r="B169" s="1229"/>
      <c r="C169" s="1230" t="s">
        <v>1002</v>
      </c>
      <c r="D169" s="1231"/>
      <c r="E169" s="1231"/>
      <c r="F169" s="1252"/>
      <c r="G169" s="1252"/>
      <c r="H169" s="1252"/>
      <c r="I169" s="1252"/>
      <c r="J169" s="1231"/>
      <c r="K169" s="1231"/>
      <c r="L169" s="1231"/>
      <c r="M169" s="1231"/>
      <c r="N169" s="1231"/>
      <c r="O169" s="1231"/>
      <c r="P169" s="1231"/>
      <c r="Q169" s="1252"/>
      <c r="R169" s="1252"/>
      <c r="S169" s="1252"/>
      <c r="T169" s="1252"/>
      <c r="U169" s="1216"/>
      <c r="V169" s="1216"/>
    </row>
    <row r="170" spans="1:28" x14ac:dyDescent="0.25">
      <c r="A170" s="1234"/>
      <c r="B170" s="1229"/>
      <c r="C170" s="1230" t="s">
        <v>1035</v>
      </c>
      <c r="D170" s="1231"/>
      <c r="E170" s="1231"/>
      <c r="F170" s="1252"/>
      <c r="G170" s="1252"/>
      <c r="H170" s="1252"/>
      <c r="I170" s="1252"/>
      <c r="J170" s="1231"/>
      <c r="K170" s="1231"/>
      <c r="L170" s="1231"/>
      <c r="M170" s="1231"/>
      <c r="N170" s="1231"/>
      <c r="O170" s="1231"/>
      <c r="P170" s="1231"/>
      <c r="Q170" s="1252"/>
      <c r="R170" s="1252"/>
      <c r="S170" s="1252"/>
      <c r="T170" s="1252"/>
      <c r="U170" s="1216"/>
      <c r="V170" s="1216"/>
    </row>
    <row r="171" spans="1:28" x14ac:dyDescent="0.25">
      <c r="A171" s="1234"/>
      <c r="B171" s="1229"/>
      <c r="C171" s="1230" t="s">
        <v>1036</v>
      </c>
      <c r="D171" s="1231"/>
      <c r="E171" s="1231"/>
      <c r="F171" s="1252"/>
      <c r="G171" s="1252"/>
      <c r="H171" s="1252"/>
      <c r="I171" s="1252"/>
      <c r="J171" s="1231"/>
      <c r="K171" s="1231"/>
      <c r="L171" s="1231"/>
      <c r="M171" s="1231"/>
      <c r="N171" s="1231"/>
      <c r="O171" s="1231"/>
      <c r="P171" s="1231"/>
      <c r="Q171" s="1252"/>
      <c r="R171" s="1252"/>
      <c r="S171" s="1252"/>
      <c r="T171" s="1252"/>
      <c r="U171" s="1216"/>
      <c r="V171" s="1216"/>
    </row>
    <row r="172" spans="1:28" x14ac:dyDescent="0.25">
      <c r="A172" s="1234"/>
      <c r="B172" s="1229"/>
      <c r="C172" s="1230" t="s">
        <v>1037</v>
      </c>
      <c r="D172" s="1231"/>
      <c r="E172" s="1231"/>
      <c r="F172" s="1252"/>
      <c r="G172" s="1252"/>
      <c r="H172" s="1252"/>
      <c r="I172" s="1252"/>
      <c r="J172" s="1231"/>
      <c r="K172" s="1231"/>
      <c r="L172" s="1231"/>
      <c r="M172" s="1231"/>
      <c r="N172" s="1231"/>
      <c r="O172" s="1231"/>
      <c r="P172" s="1231"/>
      <c r="Q172" s="1252"/>
      <c r="R172" s="1252"/>
      <c r="S172" s="1252"/>
      <c r="T172" s="1252"/>
      <c r="U172" s="1216"/>
      <c r="V172" s="1216"/>
    </row>
    <row r="173" spans="1:28" x14ac:dyDescent="0.25">
      <c r="A173" s="1234"/>
      <c r="B173" s="1229"/>
      <c r="C173" s="1230" t="s">
        <v>1038</v>
      </c>
      <c r="D173" s="1231"/>
      <c r="E173" s="1231"/>
      <c r="F173" s="1252"/>
      <c r="G173" s="1252"/>
      <c r="H173" s="1252"/>
      <c r="I173" s="1252"/>
      <c r="J173" s="1231"/>
      <c r="K173" s="1231"/>
      <c r="L173" s="1231"/>
      <c r="M173" s="1231"/>
      <c r="N173" s="1231"/>
      <c r="O173" s="1231"/>
      <c r="P173" s="1231"/>
      <c r="Q173" s="1252"/>
      <c r="R173" s="1252"/>
      <c r="S173" s="1252"/>
      <c r="T173" s="1252"/>
      <c r="U173" s="1216"/>
      <c r="V173" s="1216"/>
    </row>
    <row r="174" spans="1:28" x14ac:dyDescent="0.25">
      <c r="A174" s="1234"/>
      <c r="B174" s="1229"/>
      <c r="C174" s="1230"/>
      <c r="D174" s="1231"/>
      <c r="E174" s="1231"/>
      <c r="F174" s="1252"/>
      <c r="G174" s="1252"/>
      <c r="H174" s="1252"/>
      <c r="I174" s="1252"/>
      <c r="J174" s="1231"/>
      <c r="K174" s="1231"/>
      <c r="L174" s="1231"/>
      <c r="M174" s="1231"/>
      <c r="N174" s="1231"/>
      <c r="O174" s="1231"/>
      <c r="P174" s="1231"/>
      <c r="Q174" s="1252"/>
      <c r="R174" s="1252"/>
      <c r="S174" s="1252"/>
      <c r="T174" s="1252"/>
      <c r="U174" s="1216"/>
      <c r="V174" s="1216"/>
    </row>
    <row r="175" spans="1:28" x14ac:dyDescent="0.25">
      <c r="A175" s="1234"/>
      <c r="B175" s="1229"/>
      <c r="C175" s="1235"/>
      <c r="D175" s="1231"/>
      <c r="E175" s="1231"/>
      <c r="F175" s="1258"/>
      <c r="G175" s="1258"/>
      <c r="H175" s="1258"/>
      <c r="I175" s="1258"/>
      <c r="J175" s="1231"/>
      <c r="K175" s="1231"/>
      <c r="L175" s="1231"/>
      <c r="M175" s="1231"/>
      <c r="N175" s="1231"/>
      <c r="O175" s="1231"/>
      <c r="P175" s="1231"/>
      <c r="Q175" s="1258"/>
      <c r="R175" s="1258"/>
      <c r="S175" s="1258"/>
      <c r="T175" s="1258"/>
      <c r="U175" s="1216"/>
      <c r="V175" s="1216"/>
    </row>
    <row r="176" spans="1:28" x14ac:dyDescent="0.25">
      <c r="A176" s="1234"/>
      <c r="B176" s="1246" t="s">
        <v>963</v>
      </c>
      <c r="C176" s="1230" t="s">
        <v>941</v>
      </c>
      <c r="D176" s="1231"/>
      <c r="E176" s="1231"/>
      <c r="F176" s="1252"/>
      <c r="G176" s="1252"/>
      <c r="H176" s="1252"/>
      <c r="I176" s="1252"/>
      <c r="J176" s="1231"/>
      <c r="K176" s="1231"/>
      <c r="L176" s="1231"/>
      <c r="M176" s="1231"/>
      <c r="N176" s="1231"/>
      <c r="O176" s="1231"/>
      <c r="P176" s="1231"/>
      <c r="Q176" s="1252"/>
      <c r="R176" s="1252"/>
      <c r="S176" s="1252"/>
      <c r="T176" s="1252"/>
      <c r="U176" s="1216"/>
      <c r="V176" s="1216"/>
    </row>
    <row r="177" spans="1:22" x14ac:dyDescent="0.25">
      <c r="A177" s="1234"/>
      <c r="B177" s="1246"/>
      <c r="C177" s="1230" t="s">
        <v>1035</v>
      </c>
      <c r="D177" s="1231"/>
      <c r="E177" s="1231"/>
      <c r="F177" s="1252"/>
      <c r="G177" s="1252"/>
      <c r="H177" s="1252"/>
      <c r="I177" s="1252"/>
      <c r="J177" s="1231"/>
      <c r="K177" s="1231"/>
      <c r="L177" s="1231"/>
      <c r="M177" s="1231"/>
      <c r="N177" s="1231"/>
      <c r="O177" s="1231"/>
      <c r="P177" s="1231"/>
      <c r="Q177" s="1252"/>
      <c r="R177" s="1252"/>
      <c r="S177" s="1252"/>
      <c r="T177" s="1252"/>
      <c r="U177" s="1216"/>
      <c r="V177" s="1216"/>
    </row>
    <row r="178" spans="1:22" x14ac:dyDescent="0.25">
      <c r="A178" s="1234"/>
      <c r="B178" s="1246"/>
      <c r="C178" s="1230" t="s">
        <v>1036</v>
      </c>
      <c r="D178" s="1231"/>
      <c r="E178" s="1231"/>
      <c r="F178" s="1252"/>
      <c r="G178" s="1252"/>
      <c r="H178" s="1252"/>
      <c r="I178" s="1252"/>
      <c r="J178" s="1231"/>
      <c r="K178" s="1231"/>
      <c r="L178" s="1231"/>
      <c r="M178" s="1231"/>
      <c r="N178" s="1231"/>
      <c r="O178" s="1231"/>
      <c r="P178" s="1231"/>
      <c r="Q178" s="1252"/>
      <c r="R178" s="1252"/>
      <c r="S178" s="1252"/>
      <c r="T178" s="1252"/>
      <c r="U178" s="1216"/>
      <c r="V178" s="1216"/>
    </row>
    <row r="179" spans="1:22" x14ac:dyDescent="0.25">
      <c r="A179" s="1234"/>
      <c r="B179" s="1246"/>
      <c r="C179" s="1230" t="s">
        <v>1038</v>
      </c>
      <c r="D179" s="1231"/>
      <c r="E179" s="1231"/>
      <c r="F179" s="1252"/>
      <c r="G179" s="1252"/>
      <c r="H179" s="1252"/>
      <c r="I179" s="1252"/>
      <c r="J179" s="1231"/>
      <c r="K179" s="1231"/>
      <c r="L179" s="1231"/>
      <c r="M179" s="1231"/>
      <c r="N179" s="1231"/>
      <c r="O179" s="1231"/>
      <c r="P179" s="1231"/>
      <c r="Q179" s="1252"/>
      <c r="R179" s="1252"/>
      <c r="S179" s="1252"/>
      <c r="T179" s="1252"/>
      <c r="U179" s="1216"/>
      <c r="V179" s="1216"/>
    </row>
    <row r="180" spans="1:22" x14ac:dyDescent="0.25">
      <c r="A180" s="1234"/>
      <c r="B180" s="1246"/>
      <c r="C180" s="1230" t="s">
        <v>986</v>
      </c>
      <c r="D180" s="1231"/>
      <c r="E180" s="1231"/>
      <c r="F180" s="1252"/>
      <c r="G180" s="1252"/>
      <c r="H180" s="1252"/>
      <c r="I180" s="1252"/>
      <c r="J180" s="1231"/>
      <c r="K180" s="1231"/>
      <c r="L180" s="1231"/>
      <c r="M180" s="1231"/>
      <c r="N180" s="1231"/>
      <c r="O180" s="1231"/>
      <c r="P180" s="1231"/>
      <c r="Q180" s="1252"/>
      <c r="R180" s="1252"/>
      <c r="S180" s="1252"/>
      <c r="T180" s="1252"/>
      <c r="U180" s="1216"/>
      <c r="V180" s="1216"/>
    </row>
    <row r="181" spans="1:22" x14ac:dyDescent="0.25">
      <c r="A181" s="1234"/>
      <c r="B181" s="1229"/>
      <c r="C181" s="1230" t="s">
        <v>987</v>
      </c>
      <c r="D181" s="1231"/>
      <c r="E181" s="1231"/>
      <c r="F181" s="1252"/>
      <c r="G181" s="1252"/>
      <c r="H181" s="1252"/>
      <c r="I181" s="1252"/>
      <c r="J181" s="1231"/>
      <c r="K181" s="1231"/>
      <c r="L181" s="1231"/>
      <c r="M181" s="1231"/>
      <c r="N181" s="1231"/>
      <c r="O181" s="1231"/>
      <c r="P181" s="1231"/>
      <c r="Q181" s="1252"/>
      <c r="R181" s="1252"/>
      <c r="S181" s="1252"/>
      <c r="T181" s="1252"/>
      <c r="U181" s="1216"/>
      <c r="V181" s="1216"/>
    </row>
    <row r="182" spans="1:22" x14ac:dyDescent="0.25">
      <c r="A182" s="1234"/>
      <c r="B182" s="1229"/>
      <c r="C182" s="1230"/>
      <c r="D182" s="1231"/>
      <c r="E182" s="1231"/>
      <c r="F182" s="1252"/>
      <c r="G182" s="1252"/>
      <c r="H182" s="1252"/>
      <c r="I182" s="1252"/>
      <c r="J182" s="1231"/>
      <c r="K182" s="1231"/>
      <c r="L182" s="1231"/>
      <c r="M182" s="1231"/>
      <c r="N182" s="1231"/>
      <c r="O182" s="1231"/>
      <c r="P182" s="1231"/>
      <c r="Q182" s="1252"/>
      <c r="R182" s="1252"/>
      <c r="S182" s="1252"/>
      <c r="T182" s="1252"/>
      <c r="U182" s="1216"/>
      <c r="V182" s="1216"/>
    </row>
    <row r="183" spans="1:22" x14ac:dyDescent="0.25">
      <c r="A183" s="1234"/>
      <c r="B183" s="1229"/>
      <c r="C183" s="1230"/>
      <c r="D183" s="1231"/>
      <c r="E183" s="1231"/>
      <c r="F183" s="1252"/>
      <c r="G183" s="1252"/>
      <c r="H183" s="1252"/>
      <c r="I183" s="1252"/>
      <c r="J183" s="1231"/>
      <c r="K183" s="1231"/>
      <c r="L183" s="1231"/>
      <c r="M183" s="1231"/>
      <c r="N183" s="1231"/>
      <c r="O183" s="1231"/>
      <c r="P183" s="1231"/>
      <c r="Q183" s="1252"/>
      <c r="R183" s="1252"/>
      <c r="S183" s="1252"/>
      <c r="T183" s="1252"/>
      <c r="U183" s="1216"/>
      <c r="V183" s="1216"/>
    </row>
    <row r="184" spans="1:22" x14ac:dyDescent="0.25">
      <c r="A184" s="1234"/>
      <c r="B184" s="1229"/>
      <c r="C184" s="1235"/>
      <c r="D184" s="1231"/>
      <c r="E184" s="1231"/>
      <c r="F184" s="1258"/>
      <c r="G184" s="1258"/>
      <c r="H184" s="1258"/>
      <c r="I184" s="1258"/>
      <c r="J184" s="1231"/>
      <c r="K184" s="1231"/>
      <c r="L184" s="1231"/>
      <c r="M184" s="1231"/>
      <c r="N184" s="1231"/>
      <c r="O184" s="1231"/>
      <c r="P184" s="1231"/>
      <c r="Q184" s="1258"/>
      <c r="R184" s="1258"/>
      <c r="S184" s="1258"/>
      <c r="T184" s="1258"/>
      <c r="U184" s="1216"/>
      <c r="V184" s="1216"/>
    </row>
    <row r="185" spans="1:22" ht="15" x14ac:dyDescent="0.25">
      <c r="A185" s="1259" t="s">
        <v>1039</v>
      </c>
      <c r="B185" s="1260"/>
      <c r="C185" s="1261"/>
      <c r="D185" s="1262"/>
      <c r="E185" s="1262"/>
      <c r="F185" s="1263"/>
      <c r="G185" s="1263"/>
      <c r="H185" s="1263"/>
      <c r="I185" s="1263"/>
      <c r="J185" s="1262"/>
      <c r="K185" s="1262"/>
      <c r="L185" s="1262"/>
      <c r="M185" s="1262"/>
      <c r="N185" s="1262"/>
      <c r="O185" s="1262"/>
      <c r="P185" s="1262"/>
      <c r="Q185" s="1263"/>
      <c r="R185" s="1263"/>
      <c r="S185" s="1263"/>
      <c r="T185" s="1263"/>
      <c r="U185" s="1216"/>
      <c r="V185" s="1216"/>
    </row>
    <row r="186" spans="1:22" x14ac:dyDescent="0.25">
      <c r="A186" s="1234"/>
      <c r="B186" s="1244"/>
      <c r="C186" s="1235"/>
      <c r="D186" s="1231"/>
      <c r="E186" s="1231"/>
      <c r="F186" s="1258"/>
      <c r="G186" s="1258"/>
      <c r="H186" s="1258"/>
      <c r="I186" s="1258"/>
      <c r="J186" s="1231"/>
      <c r="K186" s="1231"/>
      <c r="L186" s="1231"/>
      <c r="M186" s="1231"/>
      <c r="N186" s="1231"/>
      <c r="O186" s="1231"/>
      <c r="P186" s="1231"/>
      <c r="Q186" s="1258"/>
      <c r="R186" s="1258"/>
      <c r="S186" s="1258"/>
      <c r="T186" s="1258"/>
      <c r="U186" s="1216"/>
      <c r="V186" s="1216"/>
    </row>
    <row r="187" spans="1:22" x14ac:dyDescent="0.25">
      <c r="A187" s="1228" t="s">
        <v>772</v>
      </c>
      <c r="B187" s="1229" t="s">
        <v>688</v>
      </c>
      <c r="C187" s="1235" t="s">
        <v>46</v>
      </c>
      <c r="D187" s="1231"/>
      <c r="E187" s="1231"/>
      <c r="F187" s="1258"/>
      <c r="G187" s="1258"/>
      <c r="H187" s="1258"/>
      <c r="I187" s="1258"/>
      <c r="J187" s="1231"/>
      <c r="K187" s="1231"/>
      <c r="L187" s="1231"/>
      <c r="M187" s="1231"/>
      <c r="N187" s="1231"/>
      <c r="O187" s="1231"/>
      <c r="P187" s="1231"/>
      <c r="Q187" s="1258"/>
      <c r="R187" s="1258"/>
      <c r="S187" s="1258"/>
      <c r="T187" s="1258"/>
      <c r="U187" s="1216"/>
      <c r="V187" s="1216"/>
    </row>
    <row r="188" spans="1:22" x14ac:dyDescent="0.25">
      <c r="A188" s="1234"/>
      <c r="B188" s="1244"/>
      <c r="C188" s="1235" t="s">
        <v>47</v>
      </c>
      <c r="D188" s="1231"/>
      <c r="E188" s="1231"/>
      <c r="F188" s="1258"/>
      <c r="G188" s="1258"/>
      <c r="H188" s="1258"/>
      <c r="I188" s="1258"/>
      <c r="J188" s="1231"/>
      <c r="K188" s="1231"/>
      <c r="L188" s="1231"/>
      <c r="M188" s="1231"/>
      <c r="N188" s="1231"/>
      <c r="O188" s="1231"/>
      <c r="P188" s="1231"/>
      <c r="Q188" s="1258"/>
      <c r="R188" s="1258"/>
      <c r="S188" s="1258"/>
      <c r="T188" s="1258"/>
      <c r="U188" s="1216"/>
      <c r="V188" s="1216"/>
    </row>
    <row r="189" spans="1:22" x14ac:dyDescent="0.25">
      <c r="A189" s="1234"/>
      <c r="B189" s="1244"/>
      <c r="C189" s="1235" t="s">
        <v>318</v>
      </c>
      <c r="D189" s="1231"/>
      <c r="E189" s="1231"/>
      <c r="F189" s="1258"/>
      <c r="G189" s="1258"/>
      <c r="H189" s="1258"/>
      <c r="I189" s="1258"/>
      <c r="J189" s="1231"/>
      <c r="K189" s="1231"/>
      <c r="L189" s="1231"/>
      <c r="M189" s="1231"/>
      <c r="N189" s="1231"/>
      <c r="O189" s="1231"/>
      <c r="P189" s="1231"/>
      <c r="Q189" s="1258"/>
      <c r="R189" s="1258"/>
      <c r="S189" s="1258"/>
      <c r="T189" s="1258"/>
      <c r="U189" s="1216"/>
      <c r="V189" s="1216"/>
    </row>
    <row r="190" spans="1:22" x14ac:dyDescent="0.25">
      <c r="A190" s="1234"/>
      <c r="B190" s="1229"/>
      <c r="C190" s="1235" t="s">
        <v>316</v>
      </c>
      <c r="D190" s="1231"/>
      <c r="E190" s="1231"/>
      <c r="F190" s="1258"/>
      <c r="G190" s="1258"/>
      <c r="H190" s="1258"/>
      <c r="I190" s="1258"/>
      <c r="J190" s="1231"/>
      <c r="K190" s="1231"/>
      <c r="L190" s="1231"/>
      <c r="M190" s="1231"/>
      <c r="N190" s="1231"/>
      <c r="O190" s="1231"/>
      <c r="P190" s="1231"/>
      <c r="Q190" s="1258"/>
      <c r="R190" s="1258"/>
      <c r="S190" s="1258"/>
      <c r="T190" s="1258"/>
      <c r="U190" s="1216"/>
      <c r="V190" s="1216"/>
    </row>
    <row r="191" spans="1:22" x14ac:dyDescent="0.25">
      <c r="A191" s="1234"/>
      <c r="B191" s="1229"/>
      <c r="C191" s="1235"/>
      <c r="D191" s="1231"/>
      <c r="E191" s="1231"/>
      <c r="F191" s="1258"/>
      <c r="G191" s="1258"/>
      <c r="H191" s="1258"/>
      <c r="I191" s="1258"/>
      <c r="J191" s="1231"/>
      <c r="K191" s="1231"/>
      <c r="L191" s="1231"/>
      <c r="M191" s="1231"/>
      <c r="N191" s="1231"/>
      <c r="O191" s="1231"/>
      <c r="P191" s="1231"/>
      <c r="Q191" s="1258"/>
      <c r="R191" s="1258"/>
      <c r="S191" s="1258"/>
      <c r="T191" s="1258"/>
      <c r="U191" s="1216"/>
      <c r="V191" s="1216"/>
    </row>
    <row r="192" spans="1:22" x14ac:dyDescent="0.25">
      <c r="A192" s="1234"/>
      <c r="B192" s="1229"/>
      <c r="C192" s="1235"/>
      <c r="D192" s="1231"/>
      <c r="E192" s="1231"/>
      <c r="F192" s="1258"/>
      <c r="G192" s="1258"/>
      <c r="H192" s="1258"/>
      <c r="I192" s="1258"/>
      <c r="J192" s="1231"/>
      <c r="K192" s="1231"/>
      <c r="L192" s="1231"/>
      <c r="M192" s="1231"/>
      <c r="N192" s="1231"/>
      <c r="O192" s="1231"/>
      <c r="P192" s="1231"/>
      <c r="Q192" s="1258"/>
      <c r="R192" s="1258"/>
      <c r="S192" s="1258"/>
      <c r="T192" s="1258"/>
      <c r="U192" s="1216"/>
      <c r="V192" s="1216"/>
    </row>
    <row r="193" spans="1:22" x14ac:dyDescent="0.25">
      <c r="A193" s="1234"/>
      <c r="B193" s="1246" t="s">
        <v>963</v>
      </c>
      <c r="C193" s="1235" t="s">
        <v>47</v>
      </c>
      <c r="D193" s="1231"/>
      <c r="E193" s="1231"/>
      <c r="F193" s="1258"/>
      <c r="G193" s="1258"/>
      <c r="H193" s="1258"/>
      <c r="I193" s="1258"/>
      <c r="J193" s="1231"/>
      <c r="K193" s="1231"/>
      <c r="L193" s="1231"/>
      <c r="M193" s="1231"/>
      <c r="N193" s="1231"/>
      <c r="O193" s="1231"/>
      <c r="P193" s="1231"/>
      <c r="Q193" s="1258"/>
      <c r="R193" s="1258"/>
      <c r="S193" s="1258"/>
      <c r="T193" s="1258"/>
      <c r="U193" s="1216"/>
      <c r="V193" s="1216"/>
    </row>
    <row r="194" spans="1:22" x14ac:dyDescent="0.25">
      <c r="A194" s="1234"/>
      <c r="B194" s="1246"/>
      <c r="C194" s="1235" t="s">
        <v>318</v>
      </c>
      <c r="D194" s="1231"/>
      <c r="E194" s="1231"/>
      <c r="F194" s="1258"/>
      <c r="G194" s="1258"/>
      <c r="H194" s="1258"/>
      <c r="I194" s="1258"/>
      <c r="J194" s="1231"/>
      <c r="K194" s="1231"/>
      <c r="L194" s="1231"/>
      <c r="M194" s="1231"/>
      <c r="N194" s="1231"/>
      <c r="O194" s="1231"/>
      <c r="P194" s="1231"/>
      <c r="Q194" s="1258"/>
      <c r="R194" s="1258"/>
      <c r="S194" s="1258"/>
      <c r="T194" s="1258"/>
      <c r="U194" s="1216"/>
      <c r="V194" s="1216"/>
    </row>
    <row r="195" spans="1:22" x14ac:dyDescent="0.25">
      <c r="A195" s="1234"/>
      <c r="B195" s="1246"/>
      <c r="C195" s="1235" t="s">
        <v>316</v>
      </c>
      <c r="D195" s="1231"/>
      <c r="E195" s="1231"/>
      <c r="F195" s="1258"/>
      <c r="G195" s="1216"/>
      <c r="H195" s="1216"/>
      <c r="I195" s="1216"/>
      <c r="J195" s="1231"/>
      <c r="K195" s="1231"/>
      <c r="L195" s="1231"/>
      <c r="M195" s="1231"/>
      <c r="N195" s="1231"/>
      <c r="O195" s="1231"/>
      <c r="P195" s="1231"/>
      <c r="Q195" s="1258"/>
      <c r="R195" s="1258"/>
      <c r="S195" s="1258"/>
      <c r="T195" s="1258"/>
      <c r="U195" s="1216"/>
      <c r="V195" s="1216"/>
    </row>
    <row r="196" spans="1:22" x14ac:dyDescent="0.25">
      <c r="A196" s="1234"/>
      <c r="B196" s="1246"/>
      <c r="C196" s="1230" t="s">
        <v>986</v>
      </c>
      <c r="D196" s="1231"/>
      <c r="E196" s="1231"/>
      <c r="F196" s="1252"/>
      <c r="G196" s="1216"/>
      <c r="H196" s="1216"/>
      <c r="I196" s="1216"/>
      <c r="J196" s="1231"/>
      <c r="K196" s="1231"/>
      <c r="L196" s="1231"/>
      <c r="M196" s="1231"/>
      <c r="N196" s="1231"/>
      <c r="O196" s="1231"/>
      <c r="P196" s="1231"/>
      <c r="Q196" s="1252"/>
      <c r="R196" s="1252"/>
      <c r="S196" s="1252"/>
      <c r="T196" s="1252"/>
      <c r="U196" s="1216"/>
      <c r="V196" s="1216"/>
    </row>
    <row r="197" spans="1:22" x14ac:dyDescent="0.25">
      <c r="A197" s="1234"/>
      <c r="B197" s="1246"/>
      <c r="C197" s="1230" t="s">
        <v>987</v>
      </c>
      <c r="D197" s="1231"/>
      <c r="E197" s="1231"/>
      <c r="F197" s="1252"/>
      <c r="G197" s="1216"/>
      <c r="H197" s="1216"/>
      <c r="I197" s="1216"/>
      <c r="J197" s="1231"/>
      <c r="K197" s="1231"/>
      <c r="L197" s="1231"/>
      <c r="M197" s="1231"/>
      <c r="N197" s="1231"/>
      <c r="O197" s="1231"/>
      <c r="P197" s="1231"/>
      <c r="Q197" s="1252"/>
      <c r="R197" s="1252"/>
      <c r="S197" s="1252"/>
      <c r="T197" s="1252"/>
      <c r="U197" s="1216"/>
      <c r="V197" s="1216"/>
    </row>
    <row r="198" spans="1:22" x14ac:dyDescent="0.25">
      <c r="A198" s="1234"/>
      <c r="B198" s="1246"/>
      <c r="C198" s="1235"/>
      <c r="D198" s="1231"/>
      <c r="E198" s="1231"/>
      <c r="F198" s="1258"/>
      <c r="G198" s="1216"/>
      <c r="H198" s="1216"/>
      <c r="I198" s="1216"/>
      <c r="J198" s="1231"/>
      <c r="K198" s="1231"/>
      <c r="L198" s="1231"/>
      <c r="M198" s="1231"/>
      <c r="N198" s="1231"/>
      <c r="O198" s="1231"/>
      <c r="P198" s="1231"/>
      <c r="Q198" s="1258"/>
      <c r="R198" s="1258"/>
      <c r="S198" s="1258"/>
      <c r="T198" s="1258"/>
      <c r="U198" s="1216"/>
      <c r="V198" s="1216"/>
    </row>
    <row r="199" spans="1:22" x14ac:dyDescent="0.25">
      <c r="A199" s="1234"/>
      <c r="B199" s="1246"/>
      <c r="C199" s="1235"/>
      <c r="D199" s="1231"/>
      <c r="E199" s="1231"/>
      <c r="F199" s="1258"/>
      <c r="G199" s="1216"/>
      <c r="H199" s="1216"/>
      <c r="I199" s="1216"/>
      <c r="J199" s="1231"/>
      <c r="K199" s="1231"/>
      <c r="L199" s="1231"/>
      <c r="M199" s="1231"/>
      <c r="N199" s="1231"/>
      <c r="O199" s="1231"/>
      <c r="P199" s="1231"/>
      <c r="Q199" s="1258"/>
      <c r="R199" s="1258"/>
      <c r="S199" s="1258"/>
      <c r="T199" s="1258"/>
      <c r="U199" s="1216"/>
      <c r="V199" s="1216"/>
    </row>
    <row r="200" spans="1:22" x14ac:dyDescent="0.25">
      <c r="A200" s="1234"/>
      <c r="B200" s="1246"/>
      <c r="C200" s="1246" t="s">
        <v>1040</v>
      </c>
      <c r="D200" s="1231"/>
      <c r="E200" s="1231"/>
      <c r="F200" s="1264"/>
      <c r="G200" s="1216"/>
      <c r="H200" s="1216"/>
      <c r="I200" s="1216"/>
      <c r="J200" s="1231"/>
      <c r="K200" s="1231"/>
      <c r="L200" s="1231"/>
      <c r="M200" s="1231"/>
      <c r="N200" s="1231"/>
      <c r="O200" s="1231"/>
      <c r="P200" s="1231"/>
      <c r="Q200" s="1264"/>
      <c r="R200" s="1264"/>
      <c r="S200" s="1264"/>
      <c r="T200" s="1264"/>
      <c r="U200" s="1216"/>
      <c r="V200" s="1216"/>
    </row>
    <row r="201" spans="1:22" x14ac:dyDescent="0.25">
      <c r="A201" s="1234"/>
      <c r="B201" s="1246"/>
      <c r="C201" s="1235"/>
      <c r="D201" s="1231"/>
      <c r="E201" s="1231"/>
      <c r="F201" s="1258"/>
      <c r="G201" s="1216"/>
      <c r="H201" s="1216"/>
      <c r="I201" s="1216"/>
      <c r="J201" s="1231"/>
      <c r="K201" s="1231"/>
      <c r="L201" s="1231"/>
      <c r="M201" s="1231"/>
      <c r="N201" s="1231"/>
      <c r="O201" s="1231"/>
      <c r="P201" s="1231"/>
      <c r="Q201" s="1258"/>
      <c r="R201" s="1258"/>
      <c r="S201" s="1258"/>
      <c r="T201" s="1258"/>
      <c r="U201" s="1216"/>
      <c r="V201" s="1216"/>
    </row>
    <row r="202" spans="1:22" x14ac:dyDescent="0.25">
      <c r="A202" s="1228" t="s">
        <v>181</v>
      </c>
      <c r="B202" s="1229" t="s">
        <v>688</v>
      </c>
      <c r="C202" s="1235" t="s">
        <v>46</v>
      </c>
      <c r="D202" s="1231"/>
      <c r="E202" s="1231"/>
      <c r="F202" s="1258"/>
      <c r="G202" s="1216"/>
      <c r="H202" s="1216"/>
      <c r="I202" s="1216"/>
      <c r="J202" s="1231"/>
      <c r="K202" s="1231"/>
      <c r="L202" s="1231"/>
      <c r="M202" s="1231"/>
      <c r="N202" s="1231"/>
      <c r="O202" s="1231"/>
      <c r="P202" s="1231"/>
      <c r="Q202" s="1258"/>
      <c r="R202" s="1258"/>
      <c r="S202" s="1258"/>
      <c r="T202" s="1258"/>
      <c r="U202" s="1216"/>
      <c r="V202" s="1216"/>
    </row>
    <row r="203" spans="1:22" x14ac:dyDescent="0.25">
      <c r="A203" s="1234"/>
      <c r="B203" s="1244"/>
      <c r="C203" s="1235" t="s">
        <v>47</v>
      </c>
      <c r="D203" s="1231"/>
      <c r="E203" s="1231"/>
      <c r="F203" s="1258"/>
      <c r="G203" s="1216"/>
      <c r="H203" s="1216"/>
      <c r="I203" s="1216"/>
      <c r="J203" s="1231"/>
      <c r="K203" s="1231"/>
      <c r="L203" s="1231"/>
      <c r="M203" s="1231"/>
      <c r="N203" s="1231"/>
      <c r="O203" s="1231"/>
      <c r="P203" s="1231"/>
      <c r="Q203" s="1258"/>
      <c r="R203" s="1258"/>
      <c r="S203" s="1258"/>
      <c r="T203" s="1258"/>
      <c r="U203" s="1216"/>
      <c r="V203" s="1216"/>
    </row>
    <row r="204" spans="1:22" x14ac:dyDescent="0.25">
      <c r="A204" s="1234"/>
      <c r="B204" s="1244"/>
      <c r="C204" s="1235" t="s">
        <v>318</v>
      </c>
      <c r="D204" s="1231"/>
      <c r="E204" s="1231"/>
      <c r="F204" s="1258"/>
      <c r="G204" s="1216"/>
      <c r="H204" s="1216"/>
      <c r="I204" s="1216"/>
      <c r="J204" s="1231"/>
      <c r="K204" s="1231"/>
      <c r="L204" s="1231"/>
      <c r="M204" s="1231"/>
      <c r="N204" s="1231"/>
      <c r="O204" s="1231"/>
      <c r="P204" s="1231"/>
      <c r="Q204" s="1258"/>
      <c r="R204" s="1258"/>
      <c r="S204" s="1258"/>
      <c r="T204" s="1258"/>
      <c r="U204" s="1216"/>
      <c r="V204" s="1216"/>
    </row>
    <row r="205" spans="1:22" x14ac:dyDescent="0.25">
      <c r="A205" s="1234"/>
      <c r="B205" s="1229"/>
      <c r="C205" s="1235" t="s">
        <v>316</v>
      </c>
      <c r="D205" s="1231"/>
      <c r="E205" s="1231"/>
      <c r="F205" s="1258"/>
      <c r="G205" s="1216"/>
      <c r="H205" s="1216"/>
      <c r="I205" s="1216"/>
      <c r="J205" s="1231"/>
      <c r="K205" s="1231"/>
      <c r="L205" s="1231"/>
      <c r="M205" s="1231"/>
      <c r="N205" s="1231"/>
      <c r="O205" s="1231"/>
      <c r="P205" s="1231"/>
      <c r="Q205" s="1258"/>
      <c r="R205" s="1258"/>
      <c r="S205" s="1258"/>
      <c r="T205" s="1258"/>
      <c r="U205" s="1216"/>
      <c r="V205" s="1216"/>
    </row>
    <row r="206" spans="1:22" x14ac:dyDescent="0.25">
      <c r="A206" s="1234"/>
      <c r="B206" s="1229"/>
      <c r="C206" s="1235"/>
      <c r="D206" s="1231"/>
      <c r="E206" s="1231"/>
      <c r="F206" s="1258"/>
      <c r="G206" s="1216"/>
      <c r="H206" s="1216"/>
      <c r="I206" s="1216"/>
      <c r="J206" s="1231"/>
      <c r="K206" s="1231"/>
      <c r="L206" s="1231"/>
      <c r="M206" s="1231"/>
      <c r="N206" s="1231"/>
      <c r="O206" s="1231"/>
      <c r="P206" s="1231"/>
      <c r="Q206" s="1258"/>
      <c r="R206" s="1258"/>
      <c r="S206" s="1258"/>
      <c r="T206" s="1258"/>
      <c r="U206" s="1216"/>
      <c r="V206" s="1216"/>
    </row>
    <row r="207" spans="1:22" x14ac:dyDescent="0.25">
      <c r="A207" s="1234"/>
      <c r="B207" s="1229"/>
      <c r="C207" s="1235"/>
      <c r="D207" s="1231"/>
      <c r="E207" s="1231"/>
      <c r="F207" s="1258"/>
      <c r="G207" s="1216"/>
      <c r="H207" s="1216"/>
      <c r="I207" s="1216"/>
      <c r="J207" s="1231"/>
      <c r="K207" s="1231"/>
      <c r="L207" s="1231"/>
      <c r="M207" s="1231"/>
      <c r="N207" s="1231"/>
      <c r="O207" s="1231"/>
      <c r="P207" s="1231"/>
      <c r="Q207" s="1258"/>
      <c r="R207" s="1258"/>
      <c r="S207" s="1258"/>
      <c r="T207" s="1258"/>
      <c r="U207" s="1216"/>
      <c r="V207" s="1216"/>
    </row>
    <row r="208" spans="1:22" x14ac:dyDescent="0.25">
      <c r="A208" s="1234"/>
      <c r="B208" s="1246" t="s">
        <v>963</v>
      </c>
      <c r="C208" s="1235" t="s">
        <v>318</v>
      </c>
      <c r="D208" s="1231"/>
      <c r="E208" s="1231"/>
      <c r="F208" s="1258"/>
      <c r="G208" s="1216"/>
      <c r="H208" s="1216"/>
      <c r="I208" s="1216"/>
      <c r="J208" s="1231"/>
      <c r="K208" s="1231"/>
      <c r="L208" s="1231"/>
      <c r="M208" s="1231"/>
      <c r="N208" s="1231"/>
      <c r="O208" s="1231"/>
      <c r="P208" s="1231"/>
      <c r="Q208" s="1258"/>
      <c r="R208" s="1258"/>
      <c r="S208" s="1258"/>
      <c r="T208" s="1258"/>
      <c r="U208" s="1216"/>
      <c r="V208" s="1216"/>
    </row>
    <row r="209" spans="1:22" x14ac:dyDescent="0.25">
      <c r="A209" s="1234"/>
      <c r="B209" s="1246"/>
      <c r="C209" s="1235" t="s">
        <v>316</v>
      </c>
      <c r="D209" s="1231"/>
      <c r="E209" s="1231"/>
      <c r="F209" s="1258"/>
      <c r="G209" s="1216"/>
      <c r="H209" s="1216"/>
      <c r="I209" s="1216"/>
      <c r="J209" s="1231"/>
      <c r="K209" s="1231"/>
      <c r="L209" s="1231"/>
      <c r="M209" s="1231"/>
      <c r="N209" s="1231"/>
      <c r="O209" s="1231"/>
      <c r="P209" s="1231"/>
      <c r="Q209" s="1258"/>
      <c r="R209" s="1258"/>
      <c r="S209" s="1258"/>
      <c r="T209" s="1258"/>
      <c r="U209" s="1216"/>
      <c r="V209" s="1216"/>
    </row>
    <row r="210" spans="1:22" x14ac:dyDescent="0.25">
      <c r="A210" s="1234"/>
      <c r="B210" s="1246"/>
      <c r="C210" s="1230" t="s">
        <v>986</v>
      </c>
      <c r="D210" s="1231"/>
      <c r="E210" s="1231"/>
      <c r="F210" s="1252"/>
      <c r="G210" s="1216"/>
      <c r="H210" s="1216"/>
      <c r="I210" s="1216"/>
      <c r="J210" s="1231"/>
      <c r="K210" s="1231"/>
      <c r="L210" s="1231"/>
      <c r="M210" s="1231"/>
      <c r="N210" s="1231"/>
      <c r="O210" s="1231"/>
      <c r="P210" s="1231"/>
      <c r="Q210" s="1252"/>
      <c r="R210" s="1252"/>
      <c r="S210" s="1252"/>
      <c r="T210" s="1252"/>
      <c r="U210" s="1216"/>
      <c r="V210" s="1216"/>
    </row>
    <row r="211" spans="1:22" x14ac:dyDescent="0.25">
      <c r="A211" s="1234"/>
      <c r="B211" s="1246"/>
      <c r="C211" s="1230" t="s">
        <v>987</v>
      </c>
      <c r="D211" s="1231"/>
      <c r="E211" s="1231"/>
      <c r="F211" s="1252"/>
      <c r="G211" s="1216"/>
      <c r="H211" s="1216"/>
      <c r="I211" s="1216"/>
      <c r="J211" s="1231"/>
      <c r="K211" s="1231"/>
      <c r="L211" s="1231"/>
      <c r="M211" s="1231"/>
      <c r="N211" s="1231"/>
      <c r="O211" s="1231"/>
      <c r="P211" s="1231"/>
      <c r="Q211" s="1252"/>
      <c r="R211" s="1252"/>
      <c r="S211" s="1252"/>
      <c r="T211" s="1252"/>
      <c r="U211" s="1216"/>
      <c r="V211" s="1216"/>
    </row>
    <row r="212" spans="1:22" x14ac:dyDescent="0.25">
      <c r="A212" s="1234"/>
      <c r="B212" s="1246"/>
      <c r="C212" s="1230"/>
      <c r="D212" s="1231"/>
      <c r="E212" s="1231"/>
      <c r="F212" s="1252"/>
      <c r="G212" s="1216"/>
      <c r="H212" s="1216"/>
      <c r="I212" s="1216"/>
      <c r="J212" s="1231"/>
      <c r="K212" s="1231"/>
      <c r="L212" s="1231"/>
      <c r="M212" s="1231"/>
      <c r="N212" s="1231"/>
      <c r="O212" s="1231"/>
      <c r="P212" s="1231"/>
      <c r="Q212" s="1252"/>
      <c r="R212" s="1252"/>
      <c r="S212" s="1252"/>
      <c r="T212" s="1252"/>
      <c r="U212" s="1216"/>
      <c r="V212" s="1216"/>
    </row>
    <row r="213" spans="1:22" x14ac:dyDescent="0.25">
      <c r="A213" s="1234"/>
      <c r="B213" s="1246"/>
      <c r="C213" s="1235"/>
      <c r="D213" s="1231"/>
      <c r="E213" s="1231"/>
      <c r="F213" s="1258"/>
      <c r="G213" s="1216"/>
      <c r="H213" s="1216"/>
      <c r="I213" s="1216"/>
      <c r="J213" s="1231"/>
      <c r="K213" s="1231"/>
      <c r="L213" s="1231"/>
      <c r="M213" s="1231"/>
      <c r="N213" s="1231"/>
      <c r="O213" s="1231"/>
      <c r="P213" s="1231"/>
      <c r="Q213" s="1258"/>
      <c r="R213" s="1258"/>
      <c r="S213" s="1258"/>
      <c r="T213" s="1258"/>
      <c r="U213" s="1216"/>
      <c r="V213" s="1216"/>
    </row>
    <row r="214" spans="1:22" x14ac:dyDescent="0.25">
      <c r="A214" s="1234"/>
      <c r="B214" s="1246"/>
      <c r="C214" s="1246" t="s">
        <v>1040</v>
      </c>
      <c r="D214" s="1231"/>
      <c r="E214" s="1231"/>
      <c r="F214" s="1264"/>
      <c r="G214" s="1216"/>
      <c r="H214" s="1216"/>
      <c r="I214" s="1216"/>
      <c r="J214" s="1231"/>
      <c r="K214" s="1231"/>
      <c r="L214" s="1231"/>
      <c r="M214" s="1231"/>
      <c r="N214" s="1231"/>
      <c r="O214" s="1231"/>
      <c r="P214" s="1231"/>
      <c r="Q214" s="1264"/>
      <c r="R214" s="1264"/>
      <c r="S214" s="1264"/>
      <c r="T214" s="1264"/>
      <c r="U214" s="1216"/>
      <c r="V214" s="1216"/>
    </row>
    <row r="215" spans="1:22" x14ac:dyDescent="0.25">
      <c r="A215" s="1234"/>
      <c r="B215" s="1246"/>
      <c r="C215" s="1235"/>
      <c r="D215" s="1231"/>
      <c r="E215" s="1231"/>
      <c r="F215" s="1258"/>
      <c r="G215" s="1216"/>
      <c r="H215" s="1216"/>
      <c r="I215" s="1216"/>
      <c r="J215" s="1231"/>
      <c r="K215" s="1231"/>
      <c r="L215" s="1231"/>
      <c r="M215" s="1231"/>
      <c r="N215" s="1231"/>
      <c r="O215" s="1231"/>
      <c r="P215" s="1231"/>
      <c r="Q215" s="1258"/>
      <c r="R215" s="1258"/>
      <c r="S215" s="1258"/>
      <c r="T215" s="1258"/>
      <c r="U215" s="1216"/>
      <c r="V215" s="1216"/>
    </row>
    <row r="216" spans="1:22" x14ac:dyDescent="0.25">
      <c r="A216" s="1228" t="s">
        <v>1032</v>
      </c>
      <c r="B216" s="1229" t="s">
        <v>688</v>
      </c>
      <c r="C216" s="1235" t="s">
        <v>46</v>
      </c>
      <c r="D216" s="1231"/>
      <c r="E216" s="1231"/>
      <c r="F216" s="1258"/>
      <c r="G216" s="1216"/>
      <c r="H216" s="1216"/>
      <c r="I216" s="1216"/>
      <c r="J216" s="1231"/>
      <c r="K216" s="1231"/>
      <c r="L216" s="1231"/>
      <c r="M216" s="1231"/>
      <c r="N216" s="1231"/>
      <c r="O216" s="1231"/>
      <c r="P216" s="1231"/>
      <c r="Q216" s="1258"/>
      <c r="R216" s="1258"/>
      <c r="S216" s="1258"/>
      <c r="T216" s="1258"/>
      <c r="U216" s="1216"/>
      <c r="V216" s="1216"/>
    </row>
    <row r="217" spans="1:22" x14ac:dyDescent="0.25">
      <c r="A217" s="1234"/>
      <c r="B217" s="1244"/>
      <c r="C217" s="1235" t="s">
        <v>47</v>
      </c>
      <c r="D217" s="1231"/>
      <c r="E217" s="1231"/>
      <c r="F217" s="1258"/>
      <c r="G217" s="1216"/>
      <c r="H217" s="1216"/>
      <c r="I217" s="1216"/>
      <c r="J217" s="1231"/>
      <c r="K217" s="1231"/>
      <c r="L217" s="1231"/>
      <c r="M217" s="1231"/>
      <c r="N217" s="1231"/>
      <c r="O217" s="1231"/>
      <c r="P217" s="1231"/>
      <c r="Q217" s="1258"/>
      <c r="R217" s="1258"/>
      <c r="S217" s="1258"/>
      <c r="T217" s="1258"/>
      <c r="U217" s="1216"/>
      <c r="V217" s="1216"/>
    </row>
    <row r="218" spans="1:22" x14ac:dyDescent="0.25">
      <c r="A218" s="1234"/>
      <c r="B218" s="1244"/>
      <c r="C218" s="1235" t="s">
        <v>318</v>
      </c>
      <c r="D218" s="1231"/>
      <c r="E218" s="1231"/>
      <c r="F218" s="1258"/>
      <c r="G218" s="1216"/>
      <c r="H218" s="1216"/>
      <c r="I218" s="1216"/>
      <c r="J218" s="1231"/>
      <c r="K218" s="1231"/>
      <c r="L218" s="1231"/>
      <c r="M218" s="1231"/>
      <c r="N218" s="1231"/>
      <c r="O218" s="1231"/>
      <c r="P218" s="1231"/>
      <c r="Q218" s="1258"/>
      <c r="R218" s="1258"/>
      <c r="S218" s="1258"/>
      <c r="T218" s="1258"/>
      <c r="U218" s="1216"/>
      <c r="V218" s="1216"/>
    </row>
    <row r="219" spans="1:22" x14ac:dyDescent="0.25">
      <c r="A219" s="1234"/>
      <c r="B219" s="1229"/>
      <c r="C219" s="1235" t="s">
        <v>316</v>
      </c>
      <c r="D219" s="1231"/>
      <c r="E219" s="1231"/>
      <c r="F219" s="1258"/>
      <c r="G219" s="1216"/>
      <c r="H219" s="1216"/>
      <c r="I219" s="1216"/>
      <c r="J219" s="1231"/>
      <c r="K219" s="1231"/>
      <c r="L219" s="1231"/>
      <c r="M219" s="1231"/>
      <c r="N219" s="1231"/>
      <c r="O219" s="1231"/>
      <c r="P219" s="1231"/>
      <c r="Q219" s="1258"/>
      <c r="R219" s="1258"/>
      <c r="S219" s="1258"/>
      <c r="T219" s="1258"/>
      <c r="U219" s="1216"/>
      <c r="V219" s="1216"/>
    </row>
    <row r="220" spans="1:22" x14ac:dyDescent="0.25">
      <c r="A220" s="1234"/>
      <c r="B220" s="1229"/>
      <c r="C220" s="1235"/>
      <c r="D220" s="1231"/>
      <c r="E220" s="1231"/>
      <c r="F220" s="1258"/>
      <c r="G220" s="1216"/>
      <c r="H220" s="1216"/>
      <c r="I220" s="1216"/>
      <c r="J220" s="1231"/>
      <c r="K220" s="1231"/>
      <c r="L220" s="1231"/>
      <c r="M220" s="1231"/>
      <c r="N220" s="1231"/>
      <c r="O220" s="1231"/>
      <c r="P220" s="1231"/>
      <c r="Q220" s="1258"/>
      <c r="R220" s="1258"/>
      <c r="S220" s="1258"/>
      <c r="T220" s="1258"/>
      <c r="U220" s="1216"/>
      <c r="V220" s="1216"/>
    </row>
    <row r="221" spans="1:22" x14ac:dyDescent="0.25">
      <c r="A221" s="1234"/>
      <c r="B221" s="1229"/>
      <c r="C221" s="1235"/>
      <c r="D221" s="1231"/>
      <c r="E221" s="1231"/>
      <c r="F221" s="1258"/>
      <c r="G221" s="1216"/>
      <c r="H221" s="1216"/>
      <c r="I221" s="1216"/>
      <c r="J221" s="1231"/>
      <c r="K221" s="1231"/>
      <c r="L221" s="1231"/>
      <c r="M221" s="1231"/>
      <c r="N221" s="1231"/>
      <c r="O221" s="1231"/>
      <c r="P221" s="1231"/>
      <c r="Q221" s="1258"/>
      <c r="R221" s="1258"/>
      <c r="S221" s="1258"/>
      <c r="T221" s="1258"/>
      <c r="U221" s="1216"/>
      <c r="V221" s="1216"/>
    </row>
    <row r="222" spans="1:22" x14ac:dyDescent="0.25">
      <c r="A222" s="1234"/>
      <c r="B222" s="1246" t="s">
        <v>963</v>
      </c>
      <c r="C222" s="1235" t="s">
        <v>47</v>
      </c>
      <c r="D222" s="1231"/>
      <c r="E222" s="1231"/>
      <c r="F222" s="1258"/>
      <c r="G222" s="1216"/>
      <c r="H222" s="1216"/>
      <c r="I222" s="1216"/>
      <c r="J222" s="1231"/>
      <c r="K222" s="1231"/>
      <c r="L222" s="1231"/>
      <c r="M222" s="1231"/>
      <c r="N222" s="1231"/>
      <c r="O222" s="1231"/>
      <c r="P222" s="1231"/>
      <c r="Q222" s="1258"/>
      <c r="R222" s="1258"/>
      <c r="S222" s="1258"/>
      <c r="T222" s="1258"/>
      <c r="U222" s="1216"/>
      <c r="V222" s="1216"/>
    </row>
    <row r="223" spans="1:22" x14ac:dyDescent="0.25">
      <c r="A223" s="1234"/>
      <c r="B223" s="1246"/>
      <c r="C223" s="1235" t="s">
        <v>318</v>
      </c>
      <c r="D223" s="1231"/>
      <c r="E223" s="1231"/>
      <c r="F223" s="1258"/>
      <c r="G223" s="1216"/>
      <c r="H223" s="1216"/>
      <c r="I223" s="1216"/>
      <c r="J223" s="1231"/>
      <c r="K223" s="1231"/>
      <c r="L223" s="1231"/>
      <c r="M223" s="1231"/>
      <c r="N223" s="1231"/>
      <c r="O223" s="1231"/>
      <c r="P223" s="1231"/>
      <c r="Q223" s="1258"/>
      <c r="R223" s="1258"/>
      <c r="S223" s="1258"/>
      <c r="T223" s="1258"/>
      <c r="U223" s="1216"/>
      <c r="V223" s="1216"/>
    </row>
    <row r="224" spans="1:22" x14ac:dyDescent="0.25">
      <c r="A224" s="1234"/>
      <c r="B224" s="1246"/>
      <c r="C224" s="1235" t="s">
        <v>316</v>
      </c>
      <c r="D224" s="1231"/>
      <c r="E224" s="1231"/>
      <c r="F224" s="1258"/>
      <c r="G224" s="1216"/>
      <c r="H224" s="1216"/>
      <c r="I224" s="1216"/>
      <c r="J224" s="1231"/>
      <c r="K224" s="1231"/>
      <c r="L224" s="1231"/>
      <c r="M224" s="1231"/>
      <c r="N224" s="1231"/>
      <c r="O224" s="1231"/>
      <c r="P224" s="1231"/>
      <c r="Q224" s="1258"/>
      <c r="R224" s="1258"/>
      <c r="S224" s="1258"/>
      <c r="T224" s="1258"/>
      <c r="U224" s="1216"/>
      <c r="V224" s="1216"/>
    </row>
    <row r="225" spans="1:22" x14ac:dyDescent="0.25">
      <c r="A225" s="1234"/>
      <c r="B225" s="1246"/>
      <c r="C225" s="1230" t="s">
        <v>986</v>
      </c>
      <c r="D225" s="1231"/>
      <c r="E225" s="1231"/>
      <c r="F225" s="1252"/>
      <c r="G225" s="1216"/>
      <c r="H225" s="1216"/>
      <c r="I225" s="1216"/>
      <c r="J225" s="1231"/>
      <c r="K225" s="1231"/>
      <c r="L225" s="1231"/>
      <c r="M225" s="1231"/>
      <c r="N225" s="1231"/>
      <c r="O225" s="1231"/>
      <c r="P225" s="1231"/>
      <c r="Q225" s="1252"/>
      <c r="R225" s="1252"/>
      <c r="S225" s="1252"/>
      <c r="T225" s="1252"/>
      <c r="U225" s="1216"/>
      <c r="V225" s="1216"/>
    </row>
    <row r="226" spans="1:22" x14ac:dyDescent="0.25">
      <c r="A226" s="1234"/>
      <c r="B226" s="1246"/>
      <c r="C226" s="1230" t="s">
        <v>987</v>
      </c>
      <c r="D226" s="1231"/>
      <c r="E226" s="1231"/>
      <c r="F226" s="1252"/>
      <c r="G226" s="1216"/>
      <c r="H226" s="1216"/>
      <c r="I226" s="1216"/>
      <c r="J226" s="1231"/>
      <c r="K226" s="1231"/>
      <c r="L226" s="1231"/>
      <c r="M226" s="1231"/>
      <c r="N226" s="1231"/>
      <c r="O226" s="1231"/>
      <c r="P226" s="1231"/>
      <c r="Q226" s="1252"/>
      <c r="R226" s="1252"/>
      <c r="S226" s="1252"/>
      <c r="T226" s="1252"/>
      <c r="U226" s="1216"/>
      <c r="V226" s="1216"/>
    </row>
    <row r="227" spans="1:22" x14ac:dyDescent="0.25">
      <c r="A227" s="1234"/>
      <c r="B227" s="1246"/>
      <c r="C227" s="1230"/>
      <c r="D227" s="1231"/>
      <c r="E227" s="1231"/>
      <c r="F227" s="1252"/>
      <c r="G227" s="1216"/>
      <c r="H227" s="1216"/>
      <c r="I227" s="1216"/>
      <c r="J227" s="1231"/>
      <c r="K227" s="1231"/>
      <c r="L227" s="1231"/>
      <c r="M227" s="1231"/>
      <c r="N227" s="1231"/>
      <c r="O227" s="1231"/>
      <c r="P227" s="1231"/>
      <c r="Q227" s="1252"/>
      <c r="R227" s="1252"/>
      <c r="S227" s="1252"/>
      <c r="T227" s="1252"/>
      <c r="U227" s="1216"/>
      <c r="V227" s="1216"/>
    </row>
    <row r="228" spans="1:22" x14ac:dyDescent="0.25">
      <c r="A228" s="1265"/>
      <c r="B228" s="1266"/>
      <c r="C228" s="1267"/>
      <c r="D228" s="1231"/>
      <c r="E228" s="1231"/>
      <c r="F228" s="1258"/>
      <c r="G228" s="1216"/>
      <c r="H228" s="1216"/>
      <c r="I228" s="1216"/>
      <c r="J228" s="1231"/>
      <c r="K228" s="1231"/>
      <c r="L228" s="1231"/>
      <c r="M228" s="1231"/>
      <c r="N228" s="1231"/>
      <c r="O228" s="1231"/>
      <c r="P228" s="1231"/>
      <c r="Q228" s="1258"/>
      <c r="R228" s="1258"/>
      <c r="S228" s="1258"/>
      <c r="T228" s="1258"/>
      <c r="U228" s="1216"/>
      <c r="V228" s="1216"/>
    </row>
    <row r="229" spans="1:22" x14ac:dyDescent="0.25">
      <c r="A229" s="1268" t="s">
        <v>1032</v>
      </c>
      <c r="B229" s="1269" t="s">
        <v>205</v>
      </c>
      <c r="C229" s="1270"/>
      <c r="D229" s="1231"/>
      <c r="E229" s="1231"/>
      <c r="F229" s="1258"/>
      <c r="G229" s="1216"/>
      <c r="H229" s="1216"/>
      <c r="I229" s="1216"/>
      <c r="J229" s="1231"/>
      <c r="K229" s="1231"/>
      <c r="L229" s="1231"/>
      <c r="M229" s="1231"/>
      <c r="N229" s="1231"/>
      <c r="O229" s="1231"/>
      <c r="P229" s="1231"/>
      <c r="Q229" s="1258"/>
      <c r="R229" s="1258"/>
      <c r="S229" s="1258"/>
      <c r="T229" s="1258"/>
      <c r="U229" s="1216"/>
      <c r="V229" s="1216"/>
    </row>
    <row r="230" spans="1:22" x14ac:dyDescent="0.25">
      <c r="A230" s="1271"/>
      <c r="B230" s="1269"/>
      <c r="C230" s="1270"/>
      <c r="D230" s="1231"/>
      <c r="E230" s="1231"/>
      <c r="F230" s="1258"/>
      <c r="G230" s="1216"/>
      <c r="H230" s="1216"/>
      <c r="I230" s="1216"/>
      <c r="J230" s="1231"/>
      <c r="K230" s="1231"/>
      <c r="L230" s="1231"/>
      <c r="M230" s="1231"/>
      <c r="N230" s="1231"/>
      <c r="O230" s="1231"/>
      <c r="P230" s="1231"/>
      <c r="Q230" s="1258"/>
      <c r="R230" s="1258"/>
      <c r="S230" s="1258"/>
      <c r="T230" s="1258"/>
      <c r="U230" s="1216"/>
      <c r="V230" s="1216"/>
    </row>
    <row r="231" spans="1:22" x14ac:dyDescent="0.25">
      <c r="A231" s="1268" t="s">
        <v>1032</v>
      </c>
      <c r="B231" s="1269" t="s">
        <v>1041</v>
      </c>
      <c r="C231" s="1270"/>
      <c r="D231" s="1231"/>
      <c r="E231" s="1231"/>
      <c r="F231" s="1258"/>
      <c r="G231" s="1216"/>
      <c r="H231" s="1216"/>
      <c r="I231" s="1216"/>
      <c r="J231" s="1231"/>
      <c r="K231" s="1231"/>
      <c r="L231" s="1231"/>
      <c r="M231" s="1231"/>
      <c r="N231" s="1231"/>
      <c r="O231" s="1231"/>
      <c r="P231" s="1231"/>
      <c r="Q231" s="1272"/>
      <c r="R231" s="1272"/>
      <c r="S231" s="1272"/>
      <c r="T231" s="1258"/>
      <c r="U231" s="1216"/>
      <c r="V231" s="1216"/>
    </row>
    <row r="232" spans="1:22" x14ac:dyDescent="0.25">
      <c r="A232" s="1268" t="s">
        <v>1032</v>
      </c>
      <c r="B232" s="1269" t="s">
        <v>1042</v>
      </c>
      <c r="C232" s="1270"/>
      <c r="D232" s="1231"/>
      <c r="E232" s="1231"/>
      <c r="F232" s="1258"/>
      <c r="G232" s="1216"/>
      <c r="H232" s="1216"/>
      <c r="I232" s="1216"/>
      <c r="J232" s="1231"/>
      <c r="K232" s="1231"/>
      <c r="L232" s="1231"/>
      <c r="M232" s="1231"/>
      <c r="N232" s="1231"/>
      <c r="O232" s="1231"/>
      <c r="P232" s="1231"/>
      <c r="Q232" s="1272"/>
      <c r="R232" s="1272"/>
      <c r="S232" s="1272"/>
      <c r="T232" s="1258"/>
      <c r="U232" s="1216"/>
      <c r="V232" s="1216"/>
    </row>
    <row r="233" spans="1:22" x14ac:dyDescent="0.25">
      <c r="A233" s="1268"/>
      <c r="B233" s="1269"/>
      <c r="C233" s="1270"/>
      <c r="D233" s="1231"/>
      <c r="E233" s="1231"/>
      <c r="F233" s="1258"/>
      <c r="G233" s="1216"/>
      <c r="H233" s="1216"/>
      <c r="I233" s="1216"/>
      <c r="J233" s="1231"/>
      <c r="K233" s="1231"/>
      <c r="L233" s="1231"/>
      <c r="M233" s="1231"/>
      <c r="N233" s="1231"/>
      <c r="O233" s="1231"/>
      <c r="P233" s="1231"/>
      <c r="Q233" s="1258"/>
      <c r="R233" s="1258"/>
      <c r="S233" s="1258"/>
      <c r="T233" s="1258"/>
      <c r="U233" s="1216"/>
      <c r="V233" s="1216"/>
    </row>
    <row r="234" spans="1:22" x14ac:dyDescent="0.25">
      <c r="A234" s="1268" t="s">
        <v>1032</v>
      </c>
      <c r="B234" s="1269" t="s">
        <v>1040</v>
      </c>
      <c r="C234" s="1270"/>
      <c r="D234" s="1231"/>
      <c r="E234" s="1231"/>
      <c r="F234" s="1258"/>
      <c r="G234" s="1216"/>
      <c r="H234" s="1216"/>
      <c r="I234" s="1216"/>
      <c r="J234" s="1231"/>
      <c r="K234" s="1231"/>
      <c r="L234" s="1231"/>
      <c r="M234" s="1231"/>
      <c r="N234" s="1231"/>
      <c r="O234" s="1231"/>
      <c r="P234" s="1231"/>
      <c r="Q234" s="1258"/>
      <c r="R234" s="1258"/>
      <c r="S234" s="1258"/>
      <c r="T234" s="1258"/>
      <c r="U234" s="1216"/>
      <c r="V234" s="1216"/>
    </row>
    <row r="235" spans="1:22" ht="14.4" thickBot="1" x14ac:dyDescent="0.3">
      <c r="A235" s="1273"/>
      <c r="B235" s="1274"/>
      <c r="C235" s="1275"/>
      <c r="D235" s="1276"/>
      <c r="E235" s="1276"/>
      <c r="F235" s="1277"/>
      <c r="G235" s="1278"/>
      <c r="H235" s="1278"/>
      <c r="I235" s="1278"/>
      <c r="J235" s="1276"/>
      <c r="K235" s="1276"/>
      <c r="L235" s="1276"/>
      <c r="M235" s="1276"/>
      <c r="N235" s="1276"/>
      <c r="O235" s="1276"/>
      <c r="P235" s="1276"/>
      <c r="Q235" s="1277"/>
      <c r="R235" s="1277"/>
      <c r="S235" s="1277"/>
      <c r="T235" s="1277"/>
      <c r="U235" s="1278"/>
      <c r="V235" s="1278"/>
    </row>
    <row r="236" spans="1:22" x14ac:dyDescent="0.25">
      <c r="A236" s="1279"/>
      <c r="B236" s="1280"/>
      <c r="C236" s="1281"/>
      <c r="F236" s="1282"/>
      <c r="Q236" s="1282"/>
      <c r="R236" s="1282"/>
      <c r="S236" s="1282"/>
      <c r="T236" s="1282"/>
    </row>
    <row r="237" spans="1:22" x14ac:dyDescent="0.25">
      <c r="A237" s="1279"/>
      <c r="B237" s="1280"/>
      <c r="C237" s="1281"/>
      <c r="F237" s="1282"/>
      <c r="Q237" s="1282"/>
      <c r="R237" s="1282"/>
      <c r="S237" s="1282"/>
      <c r="T237" s="1282"/>
    </row>
    <row r="238" spans="1:22" x14ac:dyDescent="0.25">
      <c r="A238" s="1279"/>
      <c r="B238" s="1280"/>
      <c r="C238" s="1281"/>
      <c r="F238" s="1282"/>
      <c r="Q238" s="1282"/>
      <c r="R238" s="1282"/>
      <c r="S238" s="1282"/>
      <c r="T238" s="1282"/>
    </row>
    <row r="239" spans="1:22" x14ac:dyDescent="0.25">
      <c r="A239" s="1279"/>
      <c r="B239" s="1280"/>
      <c r="C239" s="1281"/>
      <c r="F239" s="1282"/>
      <c r="Q239" s="1282"/>
      <c r="R239" s="1282"/>
      <c r="S239" s="1282"/>
      <c r="T239" s="1282"/>
    </row>
    <row r="240" spans="1:22" x14ac:dyDescent="0.25">
      <c r="A240" s="1279"/>
      <c r="B240" s="1280"/>
      <c r="C240" s="1281"/>
      <c r="F240" s="1282"/>
      <c r="Q240" s="1282"/>
      <c r="R240" s="1282"/>
      <c r="S240" s="1282"/>
      <c r="T240" s="1282"/>
    </row>
    <row r="241" spans="1:20" x14ac:dyDescent="0.25">
      <c r="A241" s="1279"/>
      <c r="B241" s="1280"/>
      <c r="C241" s="1281"/>
      <c r="F241" s="1282"/>
      <c r="Q241" s="1282"/>
      <c r="R241" s="1282"/>
      <c r="S241" s="1282"/>
      <c r="T241" s="1282"/>
    </row>
    <row r="242" spans="1:20" x14ac:dyDescent="0.25">
      <c r="A242" s="1279"/>
      <c r="B242" s="1280"/>
      <c r="C242" s="1281"/>
      <c r="F242" s="1282"/>
      <c r="Q242" s="1282"/>
      <c r="R242" s="1282"/>
      <c r="S242" s="1282"/>
      <c r="T242" s="1282"/>
    </row>
    <row r="243" spans="1:20" x14ac:dyDescent="0.25">
      <c r="A243" s="1279"/>
      <c r="B243" s="1280"/>
      <c r="C243" s="1281"/>
      <c r="F243" s="1282"/>
      <c r="Q243" s="1282"/>
      <c r="R243" s="1282"/>
      <c r="S243" s="1282"/>
      <c r="T243" s="1282"/>
    </row>
    <row r="244" spans="1:20" x14ac:dyDescent="0.25">
      <c r="A244" s="1279"/>
      <c r="B244" s="1280"/>
      <c r="C244" s="1281"/>
      <c r="F244" s="1282"/>
      <c r="Q244" s="1282"/>
      <c r="R244" s="1282"/>
      <c r="S244" s="1282"/>
      <c r="T244" s="1282"/>
    </row>
    <row r="245" spans="1:20" x14ac:dyDescent="0.25">
      <c r="A245" s="1279"/>
      <c r="B245" s="1280"/>
      <c r="C245" s="1281"/>
      <c r="F245" s="1282"/>
      <c r="Q245" s="1282"/>
      <c r="R245" s="1282"/>
      <c r="S245" s="1282"/>
      <c r="T245" s="1282"/>
    </row>
    <row r="246" spans="1:20" x14ac:dyDescent="0.25">
      <c r="A246" s="1279"/>
      <c r="B246" s="1280"/>
      <c r="C246" s="1281"/>
      <c r="F246" s="1282"/>
      <c r="Q246" s="1282"/>
      <c r="R246" s="1282"/>
      <c r="S246" s="1282"/>
      <c r="T246" s="1282"/>
    </row>
    <row r="247" spans="1:20" x14ac:dyDescent="0.25">
      <c r="A247" s="1279"/>
      <c r="B247" s="1280"/>
      <c r="C247" s="1281"/>
      <c r="F247" s="1282"/>
      <c r="Q247" s="1282"/>
      <c r="R247" s="1282"/>
      <c r="S247" s="1282"/>
      <c r="T247" s="1282"/>
    </row>
    <row r="248" spans="1:20" x14ac:dyDescent="0.25">
      <c r="A248" s="1279"/>
      <c r="B248" s="1280"/>
      <c r="C248" s="1281"/>
      <c r="F248" s="1282"/>
      <c r="Q248" s="1282"/>
      <c r="R248" s="1282"/>
      <c r="S248" s="1282"/>
      <c r="T248" s="1282"/>
    </row>
    <row r="249" spans="1:20" x14ac:dyDescent="0.25">
      <c r="A249" s="1279"/>
      <c r="B249" s="1280"/>
      <c r="C249" s="1281"/>
      <c r="F249" s="1282"/>
      <c r="Q249" s="1282"/>
      <c r="R249" s="1282"/>
      <c r="S249" s="1282"/>
      <c r="T249" s="1282"/>
    </row>
    <row r="250" spans="1:20" x14ac:dyDescent="0.25">
      <c r="F250" s="1283"/>
      <c r="Q250" s="1282"/>
      <c r="R250" s="1282"/>
      <c r="S250" s="1282"/>
      <c r="T250" s="1283"/>
    </row>
    <row r="251" spans="1:20" x14ac:dyDescent="0.25">
      <c r="Q251" s="1282"/>
      <c r="R251" s="1282"/>
      <c r="S251" s="1282"/>
    </row>
    <row r="252" spans="1:20" x14ac:dyDescent="0.25">
      <c r="Q252" s="1284"/>
      <c r="R252" s="1284"/>
      <c r="S252" s="1284"/>
    </row>
    <row r="253" spans="1:20" x14ac:dyDescent="0.25">
      <c r="Q253" s="1284"/>
      <c r="R253" s="1284"/>
      <c r="S253" s="1284"/>
    </row>
    <row r="254" spans="1:20" x14ac:dyDescent="0.25">
      <c r="Q254" s="1283"/>
      <c r="R254" s="1283"/>
      <c r="S254" s="1283"/>
    </row>
    <row r="255" spans="1:20" x14ac:dyDescent="0.25">
      <c r="Q255" s="1283"/>
      <c r="R255" s="1283"/>
      <c r="S255" s="1283"/>
    </row>
    <row r="256" spans="1:20" x14ac:dyDescent="0.25">
      <c r="Q256" s="1283"/>
      <c r="R256" s="1283"/>
      <c r="S256" s="1283"/>
    </row>
    <row r="257" spans="17:19" x14ac:dyDescent="0.25">
      <c r="Q257" s="1283"/>
      <c r="R257" s="1283"/>
      <c r="S257" s="1283"/>
    </row>
    <row r="258" spans="17:19" x14ac:dyDescent="0.25">
      <c r="Q258" s="1283"/>
      <c r="R258" s="1283"/>
      <c r="S258" s="1283"/>
    </row>
    <row r="259" spans="17:19" x14ac:dyDescent="0.25">
      <c r="Q259" s="1283"/>
      <c r="R259" s="1283"/>
      <c r="S259" s="1283"/>
    </row>
    <row r="260" spans="17:19" x14ac:dyDescent="0.25">
      <c r="Q260" s="1283"/>
      <c r="R260" s="1283"/>
      <c r="S260" s="1283"/>
    </row>
    <row r="261" spans="17:19" x14ac:dyDescent="0.25">
      <c r="Q261" s="1283"/>
      <c r="R261" s="1283"/>
      <c r="S261" s="1283"/>
    </row>
    <row r="262" spans="17:19" x14ac:dyDescent="0.25">
      <c r="Q262" s="1283"/>
      <c r="R262" s="1283"/>
      <c r="S262" s="1283"/>
    </row>
    <row r="263" spans="17:19" x14ac:dyDescent="0.25">
      <c r="Q263" s="1283"/>
      <c r="R263" s="1283"/>
      <c r="S263" s="1283"/>
    </row>
    <row r="264" spans="17:19" x14ac:dyDescent="0.25">
      <c r="Q264" s="1283"/>
      <c r="R264" s="1283"/>
      <c r="S264" s="1283"/>
    </row>
    <row r="265" spans="17:19" x14ac:dyDescent="0.25">
      <c r="Q265" s="1283"/>
      <c r="R265" s="1283"/>
      <c r="S265" s="1283"/>
    </row>
    <row r="266" spans="17:19" x14ac:dyDescent="0.25">
      <c r="Q266" s="1283"/>
      <c r="R266" s="1283"/>
      <c r="S266" s="1283"/>
    </row>
    <row r="267" spans="17:19" x14ac:dyDescent="0.25">
      <c r="Q267" s="1283"/>
      <c r="R267" s="1283"/>
      <c r="S267" s="1283"/>
    </row>
    <row r="268" spans="17:19" x14ac:dyDescent="0.25">
      <c r="Q268" s="1283"/>
      <c r="R268" s="1283"/>
      <c r="S268" s="1283"/>
    </row>
    <row r="269" spans="17:19" x14ac:dyDescent="0.25">
      <c r="Q269" s="1283"/>
      <c r="R269" s="1283"/>
      <c r="S269" s="1283"/>
    </row>
    <row r="270" spans="17:19" x14ac:dyDescent="0.25">
      <c r="Q270" s="1285"/>
      <c r="R270" s="1285"/>
      <c r="S270" s="1285"/>
    </row>
    <row r="271" spans="17:19" x14ac:dyDescent="0.25">
      <c r="Q271" s="1285"/>
      <c r="R271" s="1285"/>
      <c r="S271" s="1285"/>
    </row>
    <row r="272" spans="17:19" x14ac:dyDescent="0.25">
      <c r="Q272" s="1285"/>
      <c r="R272" s="1285"/>
      <c r="S272" s="1285"/>
    </row>
    <row r="273" spans="17:19" x14ac:dyDescent="0.25">
      <c r="Q273" s="1285"/>
      <c r="R273" s="1285"/>
      <c r="S273" s="1285"/>
    </row>
    <row r="274" spans="17:19" x14ac:dyDescent="0.25">
      <c r="Q274" s="1285"/>
      <c r="R274" s="1285"/>
      <c r="S274" s="1285"/>
    </row>
    <row r="275" spans="17:19" x14ac:dyDescent="0.25">
      <c r="Q275" s="1285"/>
      <c r="R275" s="1285"/>
      <c r="S275" s="1285"/>
    </row>
    <row r="276" spans="17:19" x14ac:dyDescent="0.25">
      <c r="Q276" s="1285"/>
      <c r="R276" s="1285"/>
      <c r="S276" s="1285"/>
    </row>
    <row r="277" spans="17:19" x14ac:dyDescent="0.25">
      <c r="Q277" s="1285"/>
      <c r="R277" s="1285"/>
      <c r="S277" s="1285"/>
    </row>
    <row r="278" spans="17:19" x14ac:dyDescent="0.25">
      <c r="Q278" s="1285"/>
      <c r="R278" s="1285"/>
      <c r="S278" s="1285"/>
    </row>
    <row r="279" spans="17:19" x14ac:dyDescent="0.25">
      <c r="Q279" s="1285"/>
      <c r="R279" s="1285"/>
      <c r="S279" s="1285"/>
    </row>
    <row r="280" spans="17:19" x14ac:dyDescent="0.25">
      <c r="Q280" s="1285"/>
      <c r="R280" s="1285"/>
      <c r="S280" s="1285"/>
    </row>
    <row r="281" spans="17:19" x14ac:dyDescent="0.25">
      <c r="Q281" s="1285"/>
      <c r="R281" s="1285"/>
      <c r="S281" s="1285"/>
    </row>
    <row r="282" spans="17:19" x14ac:dyDescent="0.25">
      <c r="Q282" s="1285"/>
      <c r="R282" s="1285"/>
      <c r="S282" s="1285"/>
    </row>
    <row r="283" spans="17:19" x14ac:dyDescent="0.25">
      <c r="Q283" s="1285"/>
      <c r="R283" s="1285"/>
      <c r="S283" s="1285"/>
    </row>
  </sheetData>
  <printOptions horizontalCentered="1"/>
  <pageMargins left="0.25" right="0.25" top="0.25" bottom="0.25" header="0.125" footer="0.125"/>
  <pageSetup scale="40" orientation="landscape" r:id="rId1"/>
  <headerFooter alignWithMargins="0"/>
  <colBreaks count="1" manualBreakCount="1">
    <brk id="20" max="8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131"/>
  <sheetViews>
    <sheetView zoomScaleNormal="100" zoomScaleSheetLayoutView="100" workbookViewId="0">
      <pane xSplit="3" ySplit="12" topLeftCell="D13" activePane="bottomRight" state="frozen"/>
      <selection activeCell="U42" sqref="U42"/>
      <selection pane="topRight" activeCell="U42" sqref="U42"/>
      <selection pane="bottomLeft" activeCell="U42" sqref="U42"/>
      <selection pane="bottomRight" activeCell="G27" sqref="G27"/>
    </sheetView>
  </sheetViews>
  <sheetFormatPr defaultColWidth="9.33203125" defaultRowHeight="13.2" x14ac:dyDescent="0.25"/>
  <cols>
    <col min="1" max="1" width="4.88671875" style="437" customWidth="1"/>
    <col min="2" max="2" width="15.33203125" style="436" customWidth="1"/>
    <col min="3" max="3" width="9.33203125" style="436"/>
    <col min="4" max="9" width="16.88671875" style="436" customWidth="1"/>
    <col min="10" max="14" width="15.88671875" style="436" hidden="1" customWidth="1"/>
    <col min="15" max="15" width="18.88671875" style="436" customWidth="1"/>
    <col min="16" max="16" width="3.88671875" style="437" customWidth="1"/>
    <col min="17" max="17" width="18.88671875" style="437" customWidth="1"/>
    <col min="18" max="22" width="15.88671875" style="437" customWidth="1"/>
    <col min="23" max="16384" width="9.33203125" style="437"/>
  </cols>
  <sheetData>
    <row r="1" spans="1:17" ht="13.8" x14ac:dyDescent="0.25">
      <c r="A1" s="435" t="str">
        <f>+'Washington volumes'!A1</f>
        <v>NW Natural</v>
      </c>
    </row>
    <row r="2" spans="1:17" ht="13.8" x14ac:dyDescent="0.25">
      <c r="A2" s="435" t="str">
        <f>+'Washington volumes'!A2</f>
        <v>Rates &amp; Regulatory Affairs</v>
      </c>
    </row>
    <row r="3" spans="1:17" ht="13.8" x14ac:dyDescent="0.25">
      <c r="A3" s="435" t="str">
        <f>+'Washington volumes'!A3</f>
        <v>2019-2020 PGA Filing - Washington: September Filing</v>
      </c>
    </row>
    <row r="4" spans="1:17" ht="13.8" x14ac:dyDescent="0.25">
      <c r="A4" s="435" t="s">
        <v>662</v>
      </c>
    </row>
    <row r="5" spans="1:17" x14ac:dyDescent="0.25">
      <c r="A5" s="437" t="s">
        <v>663</v>
      </c>
    </row>
    <row r="7" spans="1:17" x14ac:dyDescent="0.25">
      <c r="A7" s="438">
        <v>1</v>
      </c>
      <c r="B7" s="595" t="str">
        <f>CONCATENATE("Amortization Rates are calculated by taking the Temporary Adjustment Rate and multiplying by 1 minus the revenue sensitive rate of "&amp;TEXT(revsens,"##.###%"))</f>
        <v>Amortization Rates are calculated by taking the Temporary Adjustment Rate and multiplying by 1 minus the revenue sensitive rate of 4.158%</v>
      </c>
      <c r="G7" s="439"/>
      <c r="H7" s="439"/>
      <c r="I7" s="439"/>
      <c r="J7" s="439"/>
      <c r="K7" s="439"/>
      <c r="L7" s="439"/>
      <c r="M7" s="439"/>
      <c r="N7" s="439"/>
    </row>
    <row r="8" spans="1:17" x14ac:dyDescent="0.25">
      <c r="A8" s="438">
        <f t="shared" ref="A8:A71" si="0">+A7+1</f>
        <v>2</v>
      </c>
      <c r="B8" s="471" t="s">
        <v>676</v>
      </c>
      <c r="D8" s="440"/>
      <c r="E8" s="440"/>
      <c r="F8" s="440"/>
      <c r="G8" s="440"/>
      <c r="H8" s="440"/>
      <c r="I8" s="440"/>
      <c r="J8" s="440"/>
      <c r="K8" s="440"/>
      <c r="L8" s="440"/>
      <c r="M8" s="440"/>
      <c r="N8" s="439"/>
    </row>
    <row r="9" spans="1:17" x14ac:dyDescent="0.25">
      <c r="A9" s="438">
        <f t="shared" si="0"/>
        <v>3</v>
      </c>
      <c r="D9" s="469"/>
      <c r="E9" s="469"/>
      <c r="F9" s="469"/>
      <c r="G9" s="469"/>
      <c r="H9" s="469"/>
      <c r="I9" s="469"/>
      <c r="J9" s="469"/>
      <c r="K9" s="469"/>
      <c r="L9" s="469"/>
      <c r="M9" s="469"/>
      <c r="N9" s="469"/>
    </row>
    <row r="10" spans="1:17" s="442" customFormat="1" ht="40.200000000000003" thickBot="1" x14ac:dyDescent="0.3">
      <c r="A10" s="438">
        <f t="shared" si="0"/>
        <v>4</v>
      </c>
      <c r="B10" s="436"/>
      <c r="C10" s="436"/>
      <c r="D10" s="628" t="s">
        <v>25</v>
      </c>
      <c r="E10" s="628" t="s">
        <v>63</v>
      </c>
      <c r="F10" s="628" t="s">
        <v>64</v>
      </c>
      <c r="G10" s="628" t="s">
        <v>868</v>
      </c>
      <c r="H10" s="628" t="s">
        <v>823</v>
      </c>
      <c r="I10" s="628" t="s">
        <v>856</v>
      </c>
      <c r="J10" s="628"/>
      <c r="K10" s="628"/>
      <c r="L10" s="628"/>
      <c r="M10" s="628"/>
      <c r="N10" s="628"/>
      <c r="O10" s="628" t="s">
        <v>178</v>
      </c>
      <c r="Q10" s="1140"/>
    </row>
    <row r="11" spans="1:17" s="442" customFormat="1" x14ac:dyDescent="0.25">
      <c r="A11" s="438">
        <f t="shared" si="0"/>
        <v>5</v>
      </c>
      <c r="B11" s="436"/>
      <c r="C11" s="436"/>
      <c r="D11" s="438"/>
      <c r="E11" s="438"/>
      <c r="F11" s="438"/>
      <c r="G11" s="438"/>
      <c r="H11" s="438"/>
      <c r="I11" s="438"/>
      <c r="J11" s="1138"/>
      <c r="K11" s="1138"/>
      <c r="L11" s="1138"/>
      <c r="M11" s="1138"/>
      <c r="N11" s="1138"/>
      <c r="O11" s="1138" t="s">
        <v>870</v>
      </c>
      <c r="P11" s="1139"/>
      <c r="Q11" s="438"/>
    </row>
    <row r="12" spans="1:17" s="442" customFormat="1" x14ac:dyDescent="0.25">
      <c r="A12" s="438">
        <f t="shared" si="0"/>
        <v>6</v>
      </c>
      <c r="B12" s="445" t="s">
        <v>2</v>
      </c>
      <c r="C12" s="445" t="s">
        <v>3</v>
      </c>
      <c r="D12" s="444" t="s">
        <v>77</v>
      </c>
      <c r="E12" s="444" t="s">
        <v>78</v>
      </c>
      <c r="F12" s="444" t="s">
        <v>16</v>
      </c>
      <c r="G12" s="444" t="s">
        <v>79</v>
      </c>
      <c r="H12" s="444" t="s">
        <v>80</v>
      </c>
      <c r="I12" s="444" t="s">
        <v>81</v>
      </c>
      <c r="J12" s="446" t="s">
        <v>82</v>
      </c>
      <c r="K12" s="444" t="s">
        <v>83</v>
      </c>
      <c r="L12" s="446"/>
      <c r="M12" s="446"/>
      <c r="N12" s="446"/>
      <c r="O12" s="444" t="s">
        <v>82</v>
      </c>
      <c r="P12" s="446"/>
      <c r="Q12" s="444"/>
    </row>
    <row r="13" spans="1:17" x14ac:dyDescent="0.25">
      <c r="A13" s="438">
        <f t="shared" si="0"/>
        <v>7</v>
      </c>
      <c r="B13" s="447" t="s">
        <v>4</v>
      </c>
      <c r="C13" s="447"/>
      <c r="D13" s="448">
        <f>-ROUND(+Temporaries!F13*(1-revsens),5)</f>
        <v>-3.4020000000000002E-2</v>
      </c>
      <c r="E13" s="448">
        <f>-ROUND(+Temporaries!G13*(1-revsens),5)</f>
        <v>2.7910000000000001E-2</v>
      </c>
      <c r="F13" s="448">
        <f>-ROUND(+Temporaries!H13*(1-revsens),5)</f>
        <v>0</v>
      </c>
      <c r="G13" s="448">
        <f>-ROUND(+Temporaries!K13*(1-revsens),5)</f>
        <v>-6.5280000000000005E-2</v>
      </c>
      <c r="H13" s="448">
        <f>-ROUND(+Temporaries!L13*(1-revsens),5)</f>
        <v>-5.94E-3</v>
      </c>
      <c r="I13" s="448">
        <f>-ROUND(+Temporaries!V13*(1-revsens),5)</f>
        <v>-2.2100000000000002E-3</v>
      </c>
      <c r="J13" s="448">
        <f>-ROUND(Temporaries!W13*(1-revsens),5)</f>
        <v>1.1199999999999999E-3</v>
      </c>
      <c r="K13" s="448"/>
      <c r="L13" s="448"/>
      <c r="M13" s="448"/>
      <c r="N13" s="448"/>
      <c r="O13" s="448">
        <f>SUM(D13:N13)</f>
        <v>-7.8420000000000017E-2</v>
      </c>
      <c r="Q13" s="454">
        <f>+O13+(Temporaries!AD13*(1-revsens))</f>
        <v>7.5085999999835451E-6</v>
      </c>
    </row>
    <row r="14" spans="1:17" x14ac:dyDescent="0.25">
      <c r="A14" s="438">
        <f t="shared" si="0"/>
        <v>8</v>
      </c>
      <c r="B14" s="447" t="s">
        <v>5</v>
      </c>
      <c r="C14" s="447"/>
      <c r="D14" s="448">
        <f>-ROUND(+Temporaries!F14*(1-revsens),5)</f>
        <v>-3.4020000000000002E-2</v>
      </c>
      <c r="E14" s="448">
        <f>-ROUND(+Temporaries!G14*(1-revsens),5)</f>
        <v>2.7910000000000001E-2</v>
      </c>
      <c r="F14" s="448">
        <f>-ROUND(+Temporaries!H14*(1-revsens),5)</f>
        <v>0</v>
      </c>
      <c r="G14" s="448">
        <f>-ROUND(+Temporaries!K14*(1-revsens),5)</f>
        <v>-5.3960000000000001E-2</v>
      </c>
      <c r="H14" s="448">
        <f>-ROUND(+Temporaries!L14*(1-revsens),5)</f>
        <v>-4.9100000000000003E-3</v>
      </c>
      <c r="I14" s="448">
        <f>-ROUND(+Temporaries!V14*(1-revsens),5)</f>
        <v>-1.82E-3</v>
      </c>
      <c r="J14" s="448">
        <f>-ROUND(Temporaries!W14*(1-revsens),5)</f>
        <v>9.3999999999999997E-4</v>
      </c>
      <c r="K14" s="448"/>
      <c r="L14" s="448"/>
      <c r="M14" s="448"/>
      <c r="N14" s="448"/>
      <c r="O14" s="448">
        <f>SUM(D14:N14)</f>
        <v>-6.5860000000000002E-2</v>
      </c>
      <c r="Q14" s="454">
        <f>+O14+(Temporaries!AD14*(1-revsens))</f>
        <v>2.6223999999991365E-6</v>
      </c>
    </row>
    <row r="15" spans="1:17" x14ac:dyDescent="0.25">
      <c r="A15" s="438">
        <f t="shared" si="0"/>
        <v>9</v>
      </c>
      <c r="B15" s="447" t="s">
        <v>14</v>
      </c>
      <c r="C15" s="447"/>
      <c r="D15" s="448">
        <f>-ROUND(+Temporaries!F15*(1-revsens),5)</f>
        <v>-3.4020000000000002E-2</v>
      </c>
      <c r="E15" s="448">
        <f>-ROUND(+Temporaries!G15*(1-revsens),5)</f>
        <v>2.7910000000000001E-2</v>
      </c>
      <c r="F15" s="448">
        <f>-ROUND(+Temporaries!H15*(1-revsens),5)</f>
        <v>0</v>
      </c>
      <c r="G15" s="448">
        <f>-ROUND(+Temporaries!K15*(1-revsens),5)</f>
        <v>-4.0219999999999999E-2</v>
      </c>
      <c r="H15" s="448">
        <f>-ROUND(+Temporaries!L15*(1-revsens),5)</f>
        <v>-3.6600000000000001E-3</v>
      </c>
      <c r="I15" s="448">
        <f>-ROUND(+Temporaries!V15*(1-revsens),5)</f>
        <v>-1.3600000000000001E-3</v>
      </c>
      <c r="J15" s="448">
        <f>-ROUND(Temporaries!W15*(1-revsens),5)</f>
        <v>6.8999999999999997E-4</v>
      </c>
      <c r="K15" s="448"/>
      <c r="L15" s="448"/>
      <c r="M15" s="448"/>
      <c r="N15" s="448"/>
      <c r="O15" s="448">
        <f>SUM(D15:N15)</f>
        <v>-5.065999999999999E-2</v>
      </c>
      <c r="Q15" s="454">
        <f>+O15+(Temporaries!AD15*(1-revsens))</f>
        <v>2.081200000003669E-6</v>
      </c>
    </row>
    <row r="16" spans="1:17" x14ac:dyDescent="0.25">
      <c r="A16" s="438">
        <f t="shared" si="0"/>
        <v>10</v>
      </c>
      <c r="B16" s="447" t="s">
        <v>12</v>
      </c>
      <c r="C16" s="447"/>
      <c r="D16" s="448">
        <f>-ROUND(+Temporaries!F16*(1-revsens),5)</f>
        <v>-3.4020000000000002E-2</v>
      </c>
      <c r="E16" s="448">
        <f>-ROUND(+Temporaries!G16*(1-revsens),5)</f>
        <v>2.7910000000000001E-2</v>
      </c>
      <c r="F16" s="448">
        <f>-ROUND(+Temporaries!H16*(1-revsens),5)</f>
        <v>0</v>
      </c>
      <c r="G16" s="448">
        <f>-ROUND(+Temporaries!K16*(1-revsens),5)</f>
        <v>-3.5869999999999999E-2</v>
      </c>
      <c r="H16" s="448">
        <f>-ROUND(+Temporaries!L16*(1-revsens),5)</f>
        <v>-3.2699999999999999E-3</v>
      </c>
      <c r="I16" s="448">
        <f>-ROUND(+Temporaries!V16*(1-revsens),5)</f>
        <v>-1.2199999999999999E-3</v>
      </c>
      <c r="J16" s="448">
        <f>-ROUND(Temporaries!W16*(1-revsens),5)</f>
        <v>6.0999999999999997E-4</v>
      </c>
      <c r="K16" s="448"/>
      <c r="L16" s="448"/>
      <c r="M16" s="448"/>
      <c r="N16" s="448"/>
      <c r="O16" s="448">
        <f>SUM(D16:N16)</f>
        <v>-4.5860000000000005E-2</v>
      </c>
      <c r="Q16" s="454">
        <f>+O16+(Temporaries!AD16*(1-revsens))</f>
        <v>3.9699999999226465E-7</v>
      </c>
    </row>
    <row r="17" spans="1:17" x14ac:dyDescent="0.25">
      <c r="A17" s="438">
        <f t="shared" si="0"/>
        <v>11</v>
      </c>
      <c r="B17" s="447" t="s">
        <v>13</v>
      </c>
      <c r="C17" s="447"/>
      <c r="D17" s="448">
        <f>-ROUND(+Temporaries!F17*(1-revsens),5)</f>
        <v>-3.4020000000000002E-2</v>
      </c>
      <c r="E17" s="448">
        <f>-ROUND(+Temporaries!G17*(1-revsens),5)</f>
        <v>2.7910000000000001E-2</v>
      </c>
      <c r="F17" s="448">
        <f>-ROUND(+Temporaries!H17*(1-revsens),5)</f>
        <v>0</v>
      </c>
      <c r="G17" s="448">
        <f>-ROUND(+Temporaries!K17*(1-revsens),5)</f>
        <v>0</v>
      </c>
      <c r="H17" s="448">
        <f>-ROUND(+Temporaries!L17*(1-revsens),5)</f>
        <v>-2.9299999999999999E-3</v>
      </c>
      <c r="I17" s="448">
        <f>-ROUND(+Temporaries!V17*(1-revsens),5)</f>
        <v>-1.09E-3</v>
      </c>
      <c r="J17" s="448">
        <f>-ROUND(Temporaries!W17*(1-revsens),5)</f>
        <v>5.5999999999999995E-4</v>
      </c>
      <c r="K17" s="448"/>
      <c r="L17" s="448"/>
      <c r="M17" s="448"/>
      <c r="N17" s="448"/>
      <c r="O17" s="448">
        <f>SUM(D17:N17)</f>
        <v>-9.5700000000000021E-3</v>
      </c>
      <c r="Q17" s="454">
        <f>+O17+(Temporaries!AD17*(1-revsens))</f>
        <v>1.4199999999995466E-5</v>
      </c>
    </row>
    <row r="18" spans="1:17" x14ac:dyDescent="0.25">
      <c r="A18" s="438">
        <f t="shared" si="0"/>
        <v>12</v>
      </c>
      <c r="B18" s="455">
        <v>27</v>
      </c>
      <c r="C18" s="455"/>
      <c r="D18" s="448">
        <f>-ROUND(+Temporaries!F18*(1-revsens),5)</f>
        <v>-3.4020000000000002E-2</v>
      </c>
      <c r="E18" s="448">
        <f>-ROUND(+Temporaries!G18*(1-revsens),5)</f>
        <v>2.7910000000000001E-2</v>
      </c>
      <c r="F18" s="448">
        <f>-ROUND(+Temporaries!H18*(1-revsens),5)</f>
        <v>0</v>
      </c>
      <c r="G18" s="448">
        <f>-ROUND(+Temporaries!K18*(1-revsens),5)</f>
        <v>-2.7359999999999999E-2</v>
      </c>
      <c r="H18" s="448">
        <f>-ROUND(+Temporaries!L18*(1-revsens),5)</f>
        <v>-2.49E-3</v>
      </c>
      <c r="I18" s="448">
        <f>-ROUND(+Temporaries!V18*(1-revsens),5)</f>
        <v>-9.3000000000000005E-4</v>
      </c>
      <c r="J18" s="448">
        <f>-ROUND(Temporaries!W18*(1-revsens),5)</f>
        <v>4.6999999999999999E-4</v>
      </c>
      <c r="K18" s="448"/>
      <c r="L18" s="448"/>
      <c r="M18" s="448"/>
      <c r="N18" s="448"/>
      <c r="O18" s="448">
        <f t="shared" ref="O18:O43" si="1">SUM(D18:N18)</f>
        <v>-3.6420000000000001E-2</v>
      </c>
      <c r="Q18" s="454">
        <f>+O18+(Temporaries!AD18*(1-revsens))</f>
        <v>9.5441999999959504E-6</v>
      </c>
    </row>
    <row r="19" spans="1:17" x14ac:dyDescent="0.25">
      <c r="A19" s="438">
        <f t="shared" si="0"/>
        <v>13</v>
      </c>
      <c r="B19" s="451" t="s">
        <v>857</v>
      </c>
      <c r="C19" s="452" t="s">
        <v>6</v>
      </c>
      <c r="D19" s="454">
        <f>-ROUND(+Temporaries!F19*(1-revsens),5)</f>
        <v>-3.4020000000000002E-2</v>
      </c>
      <c r="E19" s="454">
        <f>-ROUND(+Temporaries!G19*(1-revsens),5)</f>
        <v>2.7910000000000001E-2</v>
      </c>
      <c r="F19" s="454">
        <f>-ROUND(+Temporaries!H19*(1-revsens),5)</f>
        <v>0</v>
      </c>
      <c r="G19" s="454">
        <f>-ROUND(+Temporaries!K19*(1-revsens),5)</f>
        <v>-2.8209999999999999E-2</v>
      </c>
      <c r="H19" s="454">
        <f>-ROUND(+Temporaries!L19*(1-revsens),5)</f>
        <v>-2.5699999999999998E-3</v>
      </c>
      <c r="I19" s="454">
        <f>-ROUND(+Temporaries!V19*(1-revsens),5)</f>
        <v>-9.6000000000000002E-4</v>
      </c>
      <c r="J19" s="454">
        <f>-ROUND(Temporaries!W19*(1-revsens),5)</f>
        <v>4.8999999999999998E-4</v>
      </c>
      <c r="K19" s="454"/>
      <c r="L19" s="454"/>
      <c r="M19" s="454"/>
      <c r="N19" s="454"/>
      <c r="O19" s="454">
        <f t="shared" si="1"/>
        <v>-3.7360000000000011E-2</v>
      </c>
      <c r="Q19" s="454">
        <f>+O19+(Temporaries!AD19*(1-revsens))</f>
        <v>-7.884000000069058E-7</v>
      </c>
    </row>
    <row r="20" spans="1:17" x14ac:dyDescent="0.25">
      <c r="A20" s="438">
        <f t="shared" si="0"/>
        <v>14</v>
      </c>
      <c r="B20" s="455"/>
      <c r="C20" s="456" t="s">
        <v>7</v>
      </c>
      <c r="D20" s="448">
        <f>-ROUND(+Temporaries!F20*(1-revsens),5)</f>
        <v>-3.4020000000000002E-2</v>
      </c>
      <c r="E20" s="448">
        <f>-ROUND(+Temporaries!G20*(1-revsens),5)</f>
        <v>2.7910000000000001E-2</v>
      </c>
      <c r="F20" s="448">
        <f>-ROUND(+Temporaries!H20*(1-revsens),5)</f>
        <v>0</v>
      </c>
      <c r="G20" s="448">
        <f>-ROUND(+Temporaries!K20*(1-revsens),5)</f>
        <v>-2.4850000000000001E-2</v>
      </c>
      <c r="H20" s="448">
        <f>-ROUND(+Temporaries!L20*(1-revsens),5)</f>
        <v>-2.2599999999999999E-3</v>
      </c>
      <c r="I20" s="448">
        <f>-ROUND(+Temporaries!V20*(1-revsens),5)</f>
        <v>-8.4000000000000003E-4</v>
      </c>
      <c r="J20" s="448">
        <f>-ROUND(Temporaries!W20*(1-revsens),5)</f>
        <v>4.2999999999999999E-4</v>
      </c>
      <c r="K20" s="448"/>
      <c r="L20" s="448"/>
      <c r="M20" s="448"/>
      <c r="N20" s="448"/>
      <c r="O20" s="448">
        <f t="shared" si="1"/>
        <v>-3.363E-2</v>
      </c>
      <c r="Q20" s="454">
        <f>+O20+(Temporaries!AD20*(1-revsens))</f>
        <v>1.0542000000002272E-5</v>
      </c>
    </row>
    <row r="21" spans="1:17" x14ac:dyDescent="0.25">
      <c r="A21" s="438">
        <f t="shared" si="0"/>
        <v>15</v>
      </c>
      <c r="B21" s="451" t="s">
        <v>859</v>
      </c>
      <c r="C21" s="452" t="s">
        <v>6</v>
      </c>
      <c r="D21" s="454">
        <f>-ROUND(+Temporaries!F25*(1-revsens),5)</f>
        <v>-3.4020000000000002E-2</v>
      </c>
      <c r="E21" s="454">
        <f>-ROUND(+Temporaries!G25*(1-revsens),5)</f>
        <v>2.7910000000000001E-2</v>
      </c>
      <c r="F21" s="454">
        <f>-ROUND(+Temporaries!H25*(1-revsens),5)</f>
        <v>0</v>
      </c>
      <c r="G21" s="454">
        <f>-ROUND(+Temporaries!K25*(1-revsens),5)</f>
        <v>0</v>
      </c>
      <c r="H21" s="454">
        <f>-ROUND(+Temporaries!L25*(1-revsens),5)</f>
        <v>-2.49E-3</v>
      </c>
      <c r="I21" s="454">
        <f>-ROUND(+Temporaries!V25*(1-revsens),5)</f>
        <v>-9.3000000000000005E-4</v>
      </c>
      <c r="J21" s="454">
        <f>-ROUND(Temporaries!W21*(1-revsens),5)</f>
        <v>4.8999999999999998E-4</v>
      </c>
      <c r="K21" s="454"/>
      <c r="L21" s="454"/>
      <c r="M21" s="454"/>
      <c r="N21" s="454"/>
      <c r="O21" s="454">
        <f t="shared" si="1"/>
        <v>-9.0399999999999994E-3</v>
      </c>
      <c r="Q21" s="454">
        <f>+O21+(Temporaries!AD25*(1-revsens))</f>
        <v>2.6653199999997212E-5</v>
      </c>
    </row>
    <row r="22" spans="1:17" x14ac:dyDescent="0.25">
      <c r="A22" s="438">
        <f t="shared" si="0"/>
        <v>16</v>
      </c>
      <c r="B22" s="455"/>
      <c r="C22" s="456" t="s">
        <v>7</v>
      </c>
      <c r="D22" s="448">
        <f>-ROUND(+Temporaries!F26*(1-revsens),5)</f>
        <v>-3.4020000000000002E-2</v>
      </c>
      <c r="E22" s="448">
        <f>-ROUND(+Temporaries!G26*(1-revsens),5)</f>
        <v>2.7910000000000001E-2</v>
      </c>
      <c r="F22" s="448">
        <f>-ROUND(+Temporaries!H26*(1-revsens),5)</f>
        <v>0</v>
      </c>
      <c r="G22" s="448">
        <f>-ROUND(+Temporaries!K26*(1-revsens),5)</f>
        <v>0</v>
      </c>
      <c r="H22" s="448">
        <f>-ROUND(+Temporaries!L26*(1-revsens),5)</f>
        <v>-2.1900000000000001E-3</v>
      </c>
      <c r="I22" s="448">
        <f>-ROUND(+Temporaries!V26*(1-revsens),5)</f>
        <v>-8.1999999999999998E-4</v>
      </c>
      <c r="J22" s="448">
        <f>-ROUND(Temporaries!W22*(1-revsens),5)</f>
        <v>4.2999999999999999E-4</v>
      </c>
      <c r="K22" s="448"/>
      <c r="L22" s="448"/>
      <c r="M22" s="448"/>
      <c r="N22" s="448"/>
      <c r="O22" s="448">
        <f t="shared" si="1"/>
        <v>-8.6900000000000015E-3</v>
      </c>
      <c r="Q22" s="454">
        <f>+O22+(Temporaries!AD26*(1-revsens))</f>
        <v>3.1621999999996778E-5</v>
      </c>
    </row>
    <row r="23" spans="1:17" x14ac:dyDescent="0.25">
      <c r="A23" s="438">
        <f t="shared" si="0"/>
        <v>17</v>
      </c>
      <c r="B23" s="451" t="s">
        <v>161</v>
      </c>
      <c r="C23" s="452" t="s">
        <v>6</v>
      </c>
      <c r="D23" s="454">
        <f>-ROUND(+Temporaries!F23*(1-revsens),5)</f>
        <v>0</v>
      </c>
      <c r="E23" s="454">
        <f>-ROUND(+Temporaries!G23*(1-revsens),5)</f>
        <v>0</v>
      </c>
      <c r="F23" s="454">
        <f>-ROUND(+Temporaries!H23*(1-revsens),5)</f>
        <v>0</v>
      </c>
      <c r="G23" s="454">
        <f>-ROUND(+Temporaries!K23*(1-revsens),5)</f>
        <v>0</v>
      </c>
      <c r="H23" s="454">
        <f>-ROUND(+Temporaries!L23*(1-revsens),5)</f>
        <v>0</v>
      </c>
      <c r="I23" s="454">
        <f>-ROUND(+Temporaries!V23*(1-revsens),5)</f>
        <v>0</v>
      </c>
      <c r="J23" s="454">
        <f>-ROUND(Temporaries!W23*(1-revsens),5)</f>
        <v>4.6999999999999999E-4</v>
      </c>
      <c r="K23" s="454"/>
      <c r="L23" s="454"/>
      <c r="M23" s="454"/>
      <c r="N23" s="454"/>
      <c r="O23" s="454">
        <f t="shared" si="1"/>
        <v>4.6999999999999999E-4</v>
      </c>
      <c r="Q23" s="454">
        <f>+O23+(Temporaries!AD23*(1-revsens))</f>
        <v>3.7419999999999381E-7</v>
      </c>
    </row>
    <row r="24" spans="1:17" x14ac:dyDescent="0.25">
      <c r="A24" s="438">
        <f t="shared" si="0"/>
        <v>18</v>
      </c>
      <c r="B24" s="455"/>
      <c r="C24" s="456" t="s">
        <v>7</v>
      </c>
      <c r="D24" s="448">
        <f>-ROUND(+Temporaries!F24*(1-revsens),5)</f>
        <v>0</v>
      </c>
      <c r="E24" s="448">
        <f>-ROUND(+Temporaries!G24*(1-revsens),5)</f>
        <v>0</v>
      </c>
      <c r="F24" s="448">
        <f>-ROUND(+Temporaries!H24*(1-revsens),5)</f>
        <v>0</v>
      </c>
      <c r="G24" s="448">
        <f>-ROUND(+Temporaries!K24*(1-revsens),5)</f>
        <v>0</v>
      </c>
      <c r="H24" s="448">
        <f>-ROUND(+Temporaries!L24*(1-revsens),5)</f>
        <v>0</v>
      </c>
      <c r="I24" s="448">
        <f>-ROUND(+Temporaries!V24*(1-revsens),5)</f>
        <v>0</v>
      </c>
      <c r="J24" s="448">
        <f>-ROUND(Temporaries!W24*(1-revsens),5)</f>
        <v>4.0999999999999999E-4</v>
      </c>
      <c r="K24" s="448"/>
      <c r="L24" s="448"/>
      <c r="M24" s="448"/>
      <c r="N24" s="448"/>
      <c r="O24" s="448">
        <f t="shared" si="1"/>
        <v>4.0999999999999999E-4</v>
      </c>
      <c r="Q24" s="454">
        <f>+O24+(Temporaries!AD24*(1-revsens))</f>
        <v>-2.1206000000000285E-6</v>
      </c>
    </row>
    <row r="25" spans="1:17" x14ac:dyDescent="0.25">
      <c r="A25" s="438">
        <f t="shared" si="0"/>
        <v>19</v>
      </c>
      <c r="B25" s="451" t="s">
        <v>858</v>
      </c>
      <c r="C25" s="452" t="s">
        <v>6</v>
      </c>
      <c r="D25" s="454">
        <f>-ROUND(+Temporaries!F21*(1-revsens),5)</f>
        <v>-3.4020000000000002E-2</v>
      </c>
      <c r="E25" s="454">
        <f>-ROUND(+Temporaries!G21*(1-revsens),5)</f>
        <v>0</v>
      </c>
      <c r="F25" s="454">
        <f>-ROUND(+Temporaries!H21*(1-revsens),5)</f>
        <v>9.75E-3</v>
      </c>
      <c r="G25" s="454">
        <f>-ROUND(+Temporaries!K21*(1-revsens),5)</f>
        <v>-2.6550000000000001E-2</v>
      </c>
      <c r="H25" s="454">
        <f>-ROUND(+Temporaries!L21*(1-revsens),5)</f>
        <v>-2.47E-3</v>
      </c>
      <c r="I25" s="454">
        <f>-ROUND(+Temporaries!V21*(1-revsens),5)</f>
        <v>-9.2000000000000003E-4</v>
      </c>
      <c r="J25" s="454">
        <f>-ROUND(Temporaries!W25*(1-revsens),5)</f>
        <v>4.6999999999999999E-4</v>
      </c>
      <c r="K25" s="454"/>
      <c r="L25" s="454"/>
      <c r="M25" s="454"/>
      <c r="N25" s="454"/>
      <c r="O25" s="454">
        <f t="shared" si="1"/>
        <v>-5.3740000000000003E-2</v>
      </c>
      <c r="Q25" s="454">
        <f>+O25+(Temporaries!AD21*(1-revsens))</f>
        <v>-1.0974800000000673E-5</v>
      </c>
    </row>
    <row r="26" spans="1:17" x14ac:dyDescent="0.25">
      <c r="A26" s="438">
        <f t="shared" si="0"/>
        <v>20</v>
      </c>
      <c r="B26" s="455"/>
      <c r="C26" s="456" t="s">
        <v>7</v>
      </c>
      <c r="D26" s="448">
        <f>-ROUND(+Temporaries!F22*(1-revsens),5)</f>
        <v>-3.4020000000000002E-2</v>
      </c>
      <c r="E26" s="448">
        <f>-ROUND(+Temporaries!G22*(1-revsens),5)</f>
        <v>0</v>
      </c>
      <c r="F26" s="448">
        <f>-ROUND(+Temporaries!H22*(1-revsens),5)</f>
        <v>9.75E-3</v>
      </c>
      <c r="G26" s="448">
        <f>-ROUND(+Temporaries!K22*(1-revsens),5)</f>
        <v>-2.3390000000000001E-2</v>
      </c>
      <c r="H26" s="448">
        <f>-ROUND(+Temporaries!L22*(1-revsens),5)</f>
        <v>-2.1800000000000001E-3</v>
      </c>
      <c r="I26" s="448">
        <f>-ROUND(+Temporaries!V22*(1-revsens),5)</f>
        <v>-8.0999999999999996E-4</v>
      </c>
      <c r="J26" s="448">
        <f>-ROUND(Temporaries!W26*(1-revsens),5)</f>
        <v>4.0999999999999999E-4</v>
      </c>
      <c r="K26" s="448"/>
      <c r="L26" s="448"/>
      <c r="M26" s="448"/>
      <c r="N26" s="448"/>
      <c r="O26" s="448">
        <f t="shared" si="1"/>
        <v>-5.024E-2</v>
      </c>
      <c r="Q26" s="454">
        <f>+O26+(Temporaries!AD22*(1-revsens))</f>
        <v>-1.8791999999996645E-5</v>
      </c>
    </row>
    <row r="27" spans="1:17" x14ac:dyDescent="0.25">
      <c r="A27" s="438">
        <f t="shared" si="0"/>
        <v>21</v>
      </c>
      <c r="B27" s="451" t="s">
        <v>860</v>
      </c>
      <c r="C27" s="452" t="s">
        <v>6</v>
      </c>
      <c r="D27" s="454">
        <f>-ROUND(+Temporaries!F27*(1-revsens),5)</f>
        <v>-3.4020000000000002E-2</v>
      </c>
      <c r="E27" s="454">
        <f>-ROUND(+Temporaries!G27*(1-revsens),5)</f>
        <v>0</v>
      </c>
      <c r="F27" s="454">
        <f>-ROUND(+Temporaries!H27*(1-revsens),5)</f>
        <v>9.75E-3</v>
      </c>
      <c r="G27" s="454">
        <f>-ROUND(+Temporaries!K27*(1-revsens),5)</f>
        <v>0</v>
      </c>
      <c r="H27" s="454">
        <f>-ROUND(+Temporaries!L27*(1-revsens),5)</f>
        <v>-2.47E-3</v>
      </c>
      <c r="I27" s="454">
        <f>-ROUND(+Temporaries!V27*(1-revsens),5)</f>
        <v>-9.2000000000000003E-4</v>
      </c>
      <c r="J27" s="454">
        <f>-ROUND(Temporaries!W27*(1-revsens),5)</f>
        <v>4.8999999999999998E-4</v>
      </c>
      <c r="K27" s="454"/>
      <c r="L27" s="454"/>
      <c r="M27" s="454"/>
      <c r="N27" s="454"/>
      <c r="O27" s="454">
        <f t="shared" si="1"/>
        <v>-2.717E-2</v>
      </c>
      <c r="Q27" s="454">
        <f>+O27+(Temporaries!AD27*(1-revsens))</f>
        <v>1.079119999999878E-5</v>
      </c>
    </row>
    <row r="28" spans="1:17" x14ac:dyDescent="0.25">
      <c r="A28" s="438">
        <f t="shared" si="0"/>
        <v>22</v>
      </c>
      <c r="B28" s="455"/>
      <c r="C28" s="456" t="s">
        <v>7</v>
      </c>
      <c r="D28" s="448">
        <f>-ROUND(+Temporaries!F28*(1-revsens),5)</f>
        <v>-3.4020000000000002E-2</v>
      </c>
      <c r="E28" s="448">
        <f>-ROUND(+Temporaries!G28*(1-revsens),5)</f>
        <v>0</v>
      </c>
      <c r="F28" s="448">
        <f>-ROUND(+Temporaries!H28*(1-revsens),5)</f>
        <v>9.75E-3</v>
      </c>
      <c r="G28" s="448">
        <f>-ROUND(+Temporaries!K28*(1-revsens),5)</f>
        <v>0</v>
      </c>
      <c r="H28" s="448">
        <f>-ROUND(+Temporaries!L28*(1-revsens),5)</f>
        <v>-2.1800000000000001E-3</v>
      </c>
      <c r="I28" s="448">
        <f>-ROUND(+Temporaries!V28*(1-revsens),5)</f>
        <v>-8.0999999999999996E-4</v>
      </c>
      <c r="J28" s="448">
        <f>-ROUND(Temporaries!W28*(1-revsens),5)</f>
        <v>4.2999999999999999E-4</v>
      </c>
      <c r="K28" s="448"/>
      <c r="L28" s="448"/>
      <c r="M28" s="448"/>
      <c r="N28" s="448"/>
      <c r="O28" s="448">
        <f t="shared" si="1"/>
        <v>-2.683E-2</v>
      </c>
      <c r="Q28" s="454">
        <f>+O28+(Temporaries!AD28*(1-revsens))</f>
        <v>5.760000000000487E-6</v>
      </c>
    </row>
    <row r="29" spans="1:17" x14ac:dyDescent="0.25">
      <c r="A29" s="438">
        <f t="shared" si="0"/>
        <v>23</v>
      </c>
      <c r="B29" s="451" t="s">
        <v>163</v>
      </c>
      <c r="C29" s="452" t="s">
        <v>6</v>
      </c>
      <c r="D29" s="454">
        <f>-ROUND(+Temporaries!F29*(1-revsens),5)</f>
        <v>-3.4020000000000002E-2</v>
      </c>
      <c r="E29" s="454">
        <f>-ROUND(+Temporaries!G29*(1-revsens),5)</f>
        <v>2.7910000000000001E-2</v>
      </c>
      <c r="F29" s="454">
        <f>-ROUND(+Temporaries!H29*(1-revsens),5)</f>
        <v>0</v>
      </c>
      <c r="G29" s="454">
        <f>-ROUND(+Temporaries!K29*(1-revsens),5)</f>
        <v>-1.5299999999999999E-2</v>
      </c>
      <c r="H29" s="454">
        <f>-ROUND(+Temporaries!L29*(1-revsens),5)</f>
        <v>-1.39E-3</v>
      </c>
      <c r="I29" s="454">
        <f>-ROUND(+Temporaries!V29*(1-revsens),5)</f>
        <v>-5.1999999999999995E-4</v>
      </c>
      <c r="J29" s="454">
        <f>-ROUND(Temporaries!W29*(1-revsens),5)</f>
        <v>2.7E-4</v>
      </c>
      <c r="K29" s="454"/>
      <c r="L29" s="454"/>
      <c r="M29" s="454"/>
      <c r="N29" s="454"/>
      <c r="O29" s="454">
        <f t="shared" si="1"/>
        <v>-2.3049999999999998E-2</v>
      </c>
      <c r="Q29" s="454">
        <f>+O29+(Temporaries!AD29*(1-revsens))</f>
        <v>9.9999999947364415E-10</v>
      </c>
    </row>
    <row r="30" spans="1:17" x14ac:dyDescent="0.25">
      <c r="A30" s="438">
        <f t="shared" si="0"/>
        <v>24</v>
      </c>
      <c r="B30" s="451"/>
      <c r="C30" s="452" t="s">
        <v>7</v>
      </c>
      <c r="D30" s="454">
        <f>-ROUND(+Temporaries!F30*(1-revsens),5)</f>
        <v>-3.4020000000000002E-2</v>
      </c>
      <c r="E30" s="454">
        <f>-ROUND(+Temporaries!G30*(1-revsens),5)</f>
        <v>2.7910000000000001E-2</v>
      </c>
      <c r="F30" s="454">
        <f>-ROUND(+Temporaries!H30*(1-revsens),5)</f>
        <v>0</v>
      </c>
      <c r="G30" s="454">
        <f>-ROUND(+Temporaries!K30*(1-revsens),5)</f>
        <v>-1.37E-2</v>
      </c>
      <c r="H30" s="454">
        <f>-ROUND(+Temporaries!L30*(1-revsens),5)</f>
        <v>-1.25E-3</v>
      </c>
      <c r="I30" s="454">
        <f>-ROUND(+Temporaries!V30*(1-revsens),5)</f>
        <v>-4.6999999999999999E-4</v>
      </c>
      <c r="J30" s="454">
        <f>-ROUND(Temporaries!W30*(1-revsens),5)</f>
        <v>2.4000000000000001E-4</v>
      </c>
      <c r="K30" s="454"/>
      <c r="L30" s="454"/>
      <c r="M30" s="454"/>
      <c r="N30" s="454"/>
      <c r="O30" s="454">
        <f t="shared" si="1"/>
        <v>-2.1290000000000003E-2</v>
      </c>
      <c r="Q30" s="454">
        <f>+O30+(Temporaries!AD30*(1-revsens))</f>
        <v>-3.4918000000050409E-6</v>
      </c>
    </row>
    <row r="31" spans="1:17" x14ac:dyDescent="0.25">
      <c r="A31" s="438">
        <f t="shared" si="0"/>
        <v>25</v>
      </c>
      <c r="B31" s="451"/>
      <c r="C31" s="452" t="s">
        <v>8</v>
      </c>
      <c r="D31" s="454">
        <f>-ROUND(+Temporaries!F31*(1-revsens),5)</f>
        <v>-3.4020000000000002E-2</v>
      </c>
      <c r="E31" s="454">
        <f>-ROUND(+Temporaries!G31*(1-revsens),5)</f>
        <v>2.7910000000000001E-2</v>
      </c>
      <c r="F31" s="454">
        <f>-ROUND(+Temporaries!H31*(1-revsens),5)</f>
        <v>0</v>
      </c>
      <c r="G31" s="454">
        <f>-ROUND(+Temporaries!K31*(1-revsens),5)</f>
        <v>-1.0500000000000001E-2</v>
      </c>
      <c r="H31" s="454">
        <f>-ROUND(+Temporaries!L31*(1-revsens),5)</f>
        <v>-9.6000000000000002E-4</v>
      </c>
      <c r="I31" s="454">
        <f>-ROUND(+Temporaries!V31*(1-revsens),5)</f>
        <v>-3.5E-4</v>
      </c>
      <c r="J31" s="454">
        <f>-ROUND(Temporaries!W31*(1-revsens),5)</f>
        <v>1.8000000000000001E-4</v>
      </c>
      <c r="K31" s="454"/>
      <c r="L31" s="454"/>
      <c r="M31" s="454"/>
      <c r="N31" s="454"/>
      <c r="O31" s="454">
        <f t="shared" si="1"/>
        <v>-1.7739999999999999E-2</v>
      </c>
      <c r="Q31" s="454">
        <f>+O31+(Temporaries!AD31*(1-revsens))</f>
        <v>9.9383999999959338E-6</v>
      </c>
    </row>
    <row r="32" spans="1:17" x14ac:dyDescent="0.25">
      <c r="A32" s="438">
        <f t="shared" si="0"/>
        <v>26</v>
      </c>
      <c r="B32" s="451"/>
      <c r="C32" s="452" t="s">
        <v>9</v>
      </c>
      <c r="D32" s="454">
        <f>-ROUND(+Temporaries!F32*(1-revsens),5)</f>
        <v>-3.4020000000000002E-2</v>
      </c>
      <c r="E32" s="454">
        <f>-ROUND(+Temporaries!G32*(1-revsens),5)</f>
        <v>2.7910000000000001E-2</v>
      </c>
      <c r="F32" s="454">
        <f>-ROUND(+Temporaries!H32*(1-revsens),5)</f>
        <v>0</v>
      </c>
      <c r="G32" s="454">
        <f>-ROUND(+Temporaries!K32*(1-revsens),5)</f>
        <v>-8.4100000000000008E-3</v>
      </c>
      <c r="H32" s="454">
        <f>-ROUND(+Temporaries!L32*(1-revsens),5)</f>
        <v>-7.6999999999999996E-4</v>
      </c>
      <c r="I32" s="454">
        <f>-ROUND(+Temporaries!V32*(1-revsens),5)</f>
        <v>-2.9E-4</v>
      </c>
      <c r="J32" s="454">
        <f>-ROUND(Temporaries!W32*(1-revsens),5)</f>
        <v>1.3999999999999999E-4</v>
      </c>
      <c r="K32" s="454"/>
      <c r="L32" s="454"/>
      <c r="M32" s="454"/>
      <c r="N32" s="454"/>
      <c r="O32" s="454">
        <f t="shared" si="1"/>
        <v>-1.5440000000000002E-2</v>
      </c>
      <c r="Q32" s="454">
        <f>+O32+(Temporaries!AD32*(1-revsens))</f>
        <v>-9.4380000000057057E-6</v>
      </c>
    </row>
    <row r="33" spans="1:17" x14ac:dyDescent="0.25">
      <c r="A33" s="438">
        <f t="shared" si="0"/>
        <v>27</v>
      </c>
      <c r="B33" s="451"/>
      <c r="C33" s="452" t="s">
        <v>10</v>
      </c>
      <c r="D33" s="454">
        <f>-ROUND(+Temporaries!F33*(1-revsens),5)</f>
        <v>-3.4020000000000002E-2</v>
      </c>
      <c r="E33" s="454">
        <f>-ROUND(+Temporaries!G33*(1-revsens),5)</f>
        <v>2.7910000000000001E-2</v>
      </c>
      <c r="F33" s="454">
        <f>-ROUND(+Temporaries!H33*(1-revsens),5)</f>
        <v>0</v>
      </c>
      <c r="G33" s="454">
        <f>-ROUND(+Temporaries!K33*(1-revsens),5)</f>
        <v>-5.5999999999999999E-3</v>
      </c>
      <c r="H33" s="454">
        <f>-ROUND(+Temporaries!L33*(1-revsens),5)</f>
        <v>-5.1000000000000004E-4</v>
      </c>
      <c r="I33" s="454">
        <f>-ROUND(+Temporaries!V33*(1-revsens),5)</f>
        <v>-1.9000000000000001E-4</v>
      </c>
      <c r="J33" s="454">
        <f>-ROUND(Temporaries!W33*(1-revsens),5)</f>
        <v>1E-4</v>
      </c>
      <c r="K33" s="454"/>
      <c r="L33" s="454"/>
      <c r="M33" s="454"/>
      <c r="N33" s="454"/>
      <c r="O33" s="454">
        <f t="shared" si="1"/>
        <v>-1.2310000000000001E-2</v>
      </c>
      <c r="Q33" s="454">
        <f>+O33+(Temporaries!AD33*(1-revsens))</f>
        <v>5.6969999999954835E-6</v>
      </c>
    </row>
    <row r="34" spans="1:17" x14ac:dyDescent="0.25">
      <c r="A34" s="438">
        <f t="shared" si="0"/>
        <v>28</v>
      </c>
      <c r="B34" s="455"/>
      <c r="C34" s="456" t="s">
        <v>11</v>
      </c>
      <c r="D34" s="448">
        <f>-ROUND(+Temporaries!F34*(1-revsens),5)</f>
        <v>-3.4020000000000002E-2</v>
      </c>
      <c r="E34" s="448">
        <f>-ROUND(+Temporaries!G34*(1-revsens),5)</f>
        <v>2.7910000000000001E-2</v>
      </c>
      <c r="F34" s="448">
        <f>-ROUND(+Temporaries!H34*(1-revsens),5)</f>
        <v>0</v>
      </c>
      <c r="G34" s="448">
        <f>-ROUND(+Temporaries!K34*(1-revsens),5)</f>
        <v>-2.0999999999999999E-3</v>
      </c>
      <c r="H34" s="448">
        <f>-ROUND(+Temporaries!L34*(1-revsens),5)</f>
        <v>-1.9000000000000001E-4</v>
      </c>
      <c r="I34" s="448">
        <f>-ROUND(+Temporaries!V34*(1-revsens),5)</f>
        <v>-6.9999999999999994E-5</v>
      </c>
      <c r="J34" s="448">
        <f>-ROUND(Temporaries!W34*(1-revsens),5)</f>
        <v>4.0000000000000003E-5</v>
      </c>
      <c r="K34" s="448"/>
      <c r="L34" s="448"/>
      <c r="M34" s="448"/>
      <c r="N34" s="448"/>
      <c r="O34" s="448">
        <f t="shared" si="1"/>
        <v>-8.43E-3</v>
      </c>
      <c r="Q34" s="454">
        <f>+O34+(Temporaries!AD34*(1-revsens))</f>
        <v>4.0959999999968383E-6</v>
      </c>
    </row>
    <row r="35" spans="1:17" x14ac:dyDescent="0.25">
      <c r="A35" s="438">
        <f t="shared" si="0"/>
        <v>29</v>
      </c>
      <c r="B35" s="451" t="s">
        <v>164</v>
      </c>
      <c r="C35" s="452" t="s">
        <v>6</v>
      </c>
      <c r="D35" s="454">
        <f>-ROUND(+Temporaries!F35*(1-revsens),5)</f>
        <v>-3.4020000000000002E-2</v>
      </c>
      <c r="E35" s="454">
        <f>-ROUND(+Temporaries!G35*(1-revsens),5)</f>
        <v>2.7910000000000001E-2</v>
      </c>
      <c r="F35" s="454">
        <f>-ROUND(+Temporaries!H35*(1-revsens),5)</f>
        <v>0</v>
      </c>
      <c r="G35" s="454">
        <f>-ROUND(+Temporaries!K35*(1-revsens),5)</f>
        <v>0</v>
      </c>
      <c r="H35" s="454">
        <f>-ROUND(+Temporaries!L35*(1-revsens),5)</f>
        <v>-1.5499999999999999E-3</v>
      </c>
      <c r="I35" s="454">
        <f>-ROUND(+Temporaries!V35*(1-revsens),5)</f>
        <v>-5.8E-4</v>
      </c>
      <c r="J35" s="454">
        <f>-ROUND(Temporaries!W35*(1-revsens),5)</f>
        <v>2.9999999999999997E-4</v>
      </c>
      <c r="K35" s="454"/>
      <c r="L35" s="454"/>
      <c r="M35" s="454"/>
      <c r="N35" s="454"/>
      <c r="O35" s="454">
        <f t="shared" si="1"/>
        <v>-7.9400000000000009E-3</v>
      </c>
      <c r="Q35" s="454">
        <f>+O35+(Temporaries!AD35*(1-revsens))</f>
        <v>5.3017999999960264E-6</v>
      </c>
    </row>
    <row r="36" spans="1:17" x14ac:dyDescent="0.25">
      <c r="A36" s="438">
        <f t="shared" si="0"/>
        <v>30</v>
      </c>
      <c r="B36" s="451"/>
      <c r="C36" s="452" t="s">
        <v>7</v>
      </c>
      <c r="D36" s="454">
        <f>-ROUND(+Temporaries!F36*(1-revsens),5)</f>
        <v>-3.4020000000000002E-2</v>
      </c>
      <c r="E36" s="454">
        <f>-ROUND(+Temporaries!G36*(1-revsens),5)</f>
        <v>2.7910000000000001E-2</v>
      </c>
      <c r="F36" s="454">
        <f>-ROUND(+Temporaries!H36*(1-revsens),5)</f>
        <v>0</v>
      </c>
      <c r="G36" s="454">
        <f>-ROUND(+Temporaries!K36*(1-revsens),5)</f>
        <v>0</v>
      </c>
      <c r="H36" s="454">
        <f>-ROUND(+Temporaries!L36*(1-revsens),5)</f>
        <v>-1.39E-3</v>
      </c>
      <c r="I36" s="454">
        <f>-ROUND(+Temporaries!V36*(1-revsens),5)</f>
        <v>-5.1999999999999995E-4</v>
      </c>
      <c r="J36" s="454">
        <f>-ROUND(Temporaries!W36*(1-revsens),5)</f>
        <v>2.5999999999999998E-4</v>
      </c>
      <c r="K36" s="454"/>
      <c r="L36" s="454"/>
      <c r="M36" s="454"/>
      <c r="N36" s="454"/>
      <c r="O36" s="454">
        <f t="shared" si="1"/>
        <v>-7.7600000000000013E-3</v>
      </c>
      <c r="Q36" s="454">
        <f>+O36+(Temporaries!AD36*(1-revsens))</f>
        <v>3.2019999999955556E-6</v>
      </c>
    </row>
    <row r="37" spans="1:17" x14ac:dyDescent="0.25">
      <c r="A37" s="438">
        <f t="shared" si="0"/>
        <v>31</v>
      </c>
      <c r="B37" s="451"/>
      <c r="C37" s="452" t="s">
        <v>8</v>
      </c>
      <c r="D37" s="454">
        <f>-ROUND(+Temporaries!F37*(1-revsens),5)</f>
        <v>-3.4020000000000002E-2</v>
      </c>
      <c r="E37" s="454">
        <f>-ROUND(+Temporaries!G37*(1-revsens),5)</f>
        <v>2.7910000000000001E-2</v>
      </c>
      <c r="F37" s="454">
        <f>-ROUND(+Temporaries!H37*(1-revsens),5)</f>
        <v>0</v>
      </c>
      <c r="G37" s="454">
        <f>-ROUND(+Temporaries!K37*(1-revsens),5)</f>
        <v>0</v>
      </c>
      <c r="H37" s="454">
        <f>-ROUND(+Temporaries!L37*(1-revsens),5)</f>
        <v>-1.06E-3</v>
      </c>
      <c r="I37" s="454">
        <f>-ROUND(+Temporaries!V37*(1-revsens),5)</f>
        <v>-3.8999999999999999E-4</v>
      </c>
      <c r="J37" s="454">
        <f>-ROUND(Temporaries!W37*(1-revsens),5)</f>
        <v>2.0000000000000001E-4</v>
      </c>
      <c r="K37" s="454"/>
      <c r="L37" s="454"/>
      <c r="M37" s="454"/>
      <c r="N37" s="454"/>
      <c r="O37" s="454">
        <f t="shared" si="1"/>
        <v>-7.3600000000000011E-3</v>
      </c>
      <c r="Q37" s="454">
        <f>+O37+(Temporaries!AD37*(1-revsens))</f>
        <v>1.0249799999996305E-5</v>
      </c>
    </row>
    <row r="38" spans="1:17" x14ac:dyDescent="0.25">
      <c r="A38" s="438">
        <f t="shared" si="0"/>
        <v>32</v>
      </c>
      <c r="B38" s="451"/>
      <c r="C38" s="452" t="s">
        <v>9</v>
      </c>
      <c r="D38" s="454">
        <f>-ROUND(+Temporaries!F38*(1-revsens),5)</f>
        <v>-3.4020000000000002E-2</v>
      </c>
      <c r="E38" s="454">
        <f>-ROUND(+Temporaries!G38*(1-revsens),5)</f>
        <v>2.7910000000000001E-2</v>
      </c>
      <c r="F38" s="454">
        <f>-ROUND(+Temporaries!H38*(1-revsens),5)</f>
        <v>0</v>
      </c>
      <c r="G38" s="454">
        <f>-ROUND(+Temporaries!K38*(1-revsens),5)</f>
        <v>0</v>
      </c>
      <c r="H38" s="454">
        <f>-ROUND(+Temporaries!L38*(1-revsens),5)</f>
        <v>-8.4999999999999995E-4</v>
      </c>
      <c r="I38" s="454">
        <f>-ROUND(+Temporaries!V38*(1-revsens),5)</f>
        <v>-3.2000000000000003E-4</v>
      </c>
      <c r="J38" s="454">
        <f>-ROUND(Temporaries!W38*(1-revsens),5)</f>
        <v>1.6000000000000001E-4</v>
      </c>
      <c r="K38" s="454"/>
      <c r="L38" s="454"/>
      <c r="M38" s="454"/>
      <c r="N38" s="454"/>
      <c r="O38" s="454">
        <f t="shared" si="1"/>
        <v>-7.1200000000000005E-3</v>
      </c>
      <c r="Q38" s="454">
        <f>+O38+(Temporaries!AD38*(1-revsens))</f>
        <v>1.0605999999965116E-6</v>
      </c>
    </row>
    <row r="39" spans="1:17" x14ac:dyDescent="0.25">
      <c r="A39" s="438">
        <f t="shared" si="0"/>
        <v>33</v>
      </c>
      <c r="B39" s="451"/>
      <c r="C39" s="452" t="s">
        <v>10</v>
      </c>
      <c r="D39" s="454">
        <f>-ROUND(+Temporaries!F39*(1-revsens),5)</f>
        <v>-3.4020000000000002E-2</v>
      </c>
      <c r="E39" s="454">
        <f>-ROUND(+Temporaries!G39*(1-revsens),5)</f>
        <v>2.7910000000000001E-2</v>
      </c>
      <c r="F39" s="454">
        <f>-ROUND(+Temporaries!H39*(1-revsens),5)</f>
        <v>0</v>
      </c>
      <c r="G39" s="454">
        <f>-ROUND(+Temporaries!K39*(1-revsens),5)</f>
        <v>0</v>
      </c>
      <c r="H39" s="454">
        <f>-ROUND(+Temporaries!L39*(1-revsens),5)</f>
        <v>-5.6999999999999998E-4</v>
      </c>
      <c r="I39" s="454">
        <f>-ROUND(+Temporaries!V39*(1-revsens),5)</f>
        <v>-2.1000000000000001E-4</v>
      </c>
      <c r="J39" s="454">
        <f>-ROUND(Temporaries!W39*(1-revsens),5)</f>
        <v>1.1E-4</v>
      </c>
      <c r="K39" s="454"/>
      <c r="L39" s="454"/>
      <c r="M39" s="454"/>
      <c r="N39" s="454"/>
      <c r="O39" s="454">
        <f t="shared" si="1"/>
        <v>-6.7800000000000013E-3</v>
      </c>
      <c r="Q39" s="454">
        <f>+O39+(Temporaries!AD39*(1-revsens))</f>
        <v>5.6135999999956665E-6</v>
      </c>
    </row>
    <row r="40" spans="1:17" x14ac:dyDescent="0.25">
      <c r="A40" s="438">
        <f t="shared" si="0"/>
        <v>34</v>
      </c>
      <c r="B40" s="455"/>
      <c r="C40" s="456" t="s">
        <v>11</v>
      </c>
      <c r="D40" s="448">
        <f>-ROUND(+Temporaries!F40*(1-revsens),5)</f>
        <v>-3.4020000000000002E-2</v>
      </c>
      <c r="E40" s="448">
        <f>-ROUND(+Temporaries!G40*(1-revsens),5)</f>
        <v>2.7910000000000001E-2</v>
      </c>
      <c r="F40" s="448">
        <f>-ROUND(+Temporaries!H40*(1-revsens),5)</f>
        <v>0</v>
      </c>
      <c r="G40" s="448">
        <f>-ROUND(+Temporaries!K40*(1-revsens),5)</f>
        <v>0</v>
      </c>
      <c r="H40" s="448">
        <f>-ROUND(+Temporaries!L40*(1-revsens),5)</f>
        <v>-2.1000000000000001E-4</v>
      </c>
      <c r="I40" s="448">
        <f>-ROUND(+Temporaries!V40*(1-revsens),5)</f>
        <v>-8.0000000000000007E-5</v>
      </c>
      <c r="J40" s="448">
        <f>-ROUND(Temporaries!W40*(1-revsens),5)</f>
        <v>4.0000000000000003E-5</v>
      </c>
      <c r="K40" s="448"/>
      <c r="L40" s="448"/>
      <c r="M40" s="448"/>
      <c r="N40" s="448"/>
      <c r="O40" s="448">
        <f t="shared" si="1"/>
        <v>-6.3600000000000011E-3</v>
      </c>
      <c r="Q40" s="454">
        <f>+O40+(Temporaries!AD40*(1-revsens))</f>
        <v>3.9087999999963194E-6</v>
      </c>
    </row>
    <row r="41" spans="1:17" x14ac:dyDescent="0.25">
      <c r="A41" s="438">
        <f t="shared" si="0"/>
        <v>35</v>
      </c>
      <c r="B41" s="451" t="s">
        <v>165</v>
      </c>
      <c r="C41" s="452" t="s">
        <v>6</v>
      </c>
      <c r="D41" s="454">
        <f>-ROUND(+Temporaries!F41*(1-revsens),5)</f>
        <v>0</v>
      </c>
      <c r="E41" s="454">
        <f>-ROUND(+Temporaries!G41*(1-revsens),5)</f>
        <v>0</v>
      </c>
      <c r="F41" s="454">
        <f>-ROUND(+Temporaries!H41*(1-revsens),5)</f>
        <v>0</v>
      </c>
      <c r="G41" s="454">
        <f>-ROUND(+Temporaries!K41*(1-revsens),5)</f>
        <v>0</v>
      </c>
      <c r="H41" s="454">
        <f>-ROUND(+Temporaries!L41*(1-revsens),5)</f>
        <v>0</v>
      </c>
      <c r="I41" s="454">
        <f>-ROUND(+Temporaries!V41*(1-revsens),5)</f>
        <v>0</v>
      </c>
      <c r="J41" s="454">
        <f>-ROUND(Temporaries!W41*(1-revsens),5)</f>
        <v>2.1000000000000001E-4</v>
      </c>
      <c r="K41" s="454"/>
      <c r="L41" s="454"/>
      <c r="M41" s="454"/>
      <c r="N41" s="454"/>
      <c r="O41" s="454">
        <f t="shared" si="1"/>
        <v>2.1000000000000001E-4</v>
      </c>
      <c r="Q41" s="454">
        <f>+O41+(Temporaries!AD41*(1-revsens))</f>
        <v>-8.5239999999999882E-7</v>
      </c>
    </row>
    <row r="42" spans="1:17" x14ac:dyDescent="0.25">
      <c r="A42" s="438">
        <f t="shared" si="0"/>
        <v>36</v>
      </c>
      <c r="B42" s="451"/>
      <c r="C42" s="452" t="s">
        <v>7</v>
      </c>
      <c r="D42" s="454">
        <f>-ROUND(+Temporaries!F42*(1-revsens),5)</f>
        <v>0</v>
      </c>
      <c r="E42" s="454">
        <f>-ROUND(+Temporaries!G42*(1-revsens),5)</f>
        <v>0</v>
      </c>
      <c r="F42" s="454">
        <f>-ROUND(+Temporaries!H42*(1-revsens),5)</f>
        <v>0</v>
      </c>
      <c r="G42" s="454">
        <f>-ROUND(+Temporaries!K42*(1-revsens),5)</f>
        <v>0</v>
      </c>
      <c r="H42" s="454">
        <f>-ROUND(+Temporaries!L42*(1-revsens),5)</f>
        <v>0</v>
      </c>
      <c r="I42" s="454">
        <f>-ROUND(+Temporaries!V42*(1-revsens),5)</f>
        <v>0</v>
      </c>
      <c r="J42" s="454">
        <f>-ROUND(Temporaries!W42*(1-revsens),5)</f>
        <v>1.9000000000000001E-4</v>
      </c>
      <c r="K42" s="454"/>
      <c r="L42" s="454"/>
      <c r="M42" s="454"/>
      <c r="N42" s="454"/>
      <c r="O42" s="454">
        <f t="shared" si="1"/>
        <v>1.9000000000000001E-4</v>
      </c>
      <c r="Q42" s="454">
        <f>+O42+(Temporaries!AD42*(1-revsens))</f>
        <v>-1.6840000000000062E-6</v>
      </c>
    </row>
    <row r="43" spans="1:17" x14ac:dyDescent="0.25">
      <c r="A43" s="438">
        <f t="shared" si="0"/>
        <v>37</v>
      </c>
      <c r="B43" s="451"/>
      <c r="C43" s="452" t="s">
        <v>8</v>
      </c>
      <c r="D43" s="454">
        <f>-ROUND(+Temporaries!F43*(1-revsens),5)</f>
        <v>0</v>
      </c>
      <c r="E43" s="454">
        <f>-ROUND(+Temporaries!G43*(1-revsens),5)</f>
        <v>0</v>
      </c>
      <c r="F43" s="454">
        <f>-ROUND(+Temporaries!H43*(1-revsens),5)</f>
        <v>0</v>
      </c>
      <c r="G43" s="454">
        <f>-ROUND(+Temporaries!K43*(1-revsens),5)</f>
        <v>0</v>
      </c>
      <c r="H43" s="454">
        <f>-ROUND(+Temporaries!L43*(1-revsens),5)</f>
        <v>0</v>
      </c>
      <c r="I43" s="454">
        <f>-ROUND(+Temporaries!V43*(1-revsens),5)</f>
        <v>0</v>
      </c>
      <c r="J43" s="454">
        <f>-ROUND(Temporaries!W43*(1-revsens),5)</f>
        <v>1.3999999999999999E-4</v>
      </c>
      <c r="K43" s="454"/>
      <c r="L43" s="454"/>
      <c r="M43" s="454"/>
      <c r="N43" s="454"/>
      <c r="O43" s="454">
        <f t="shared" si="1"/>
        <v>1.3999999999999999E-4</v>
      </c>
      <c r="Q43" s="454">
        <f>+O43+(Temporaries!AD43*(1-revsens))</f>
        <v>-3.7629999999999977E-6</v>
      </c>
    </row>
    <row r="44" spans="1:17" x14ac:dyDescent="0.25">
      <c r="A44" s="438">
        <f t="shared" si="0"/>
        <v>38</v>
      </c>
      <c r="B44" s="451"/>
      <c r="C44" s="452" t="s">
        <v>9</v>
      </c>
      <c r="D44" s="454">
        <f>-ROUND(+Temporaries!F44*(1-revsens),5)</f>
        <v>0</v>
      </c>
      <c r="E44" s="454">
        <f>-ROUND(+Temporaries!G44*(1-revsens),5)</f>
        <v>0</v>
      </c>
      <c r="F44" s="454">
        <f>-ROUND(+Temporaries!H44*(1-revsens),5)</f>
        <v>0</v>
      </c>
      <c r="G44" s="454">
        <f>-ROUND(+Temporaries!K44*(1-revsens),5)</f>
        <v>0</v>
      </c>
      <c r="H44" s="454">
        <f>-ROUND(+Temporaries!L44*(1-revsens),5)</f>
        <v>0</v>
      </c>
      <c r="I44" s="454">
        <f>-ROUND(+Temporaries!V44*(1-revsens),5)</f>
        <v>0</v>
      </c>
      <c r="J44" s="454">
        <f>-ROUND(Temporaries!W44*(1-revsens),5)</f>
        <v>1.2E-4</v>
      </c>
      <c r="K44" s="454"/>
      <c r="L44" s="454"/>
      <c r="M44" s="454"/>
      <c r="N44" s="454"/>
      <c r="O44" s="454">
        <f t="shared" ref="O44:O67" si="2">SUM(D44:N44)</f>
        <v>1.2E-4</v>
      </c>
      <c r="Q44" s="454">
        <f>+O44+(Temporaries!AD44*(1-revsens))</f>
        <v>4.9895999999999903E-6</v>
      </c>
    </row>
    <row r="45" spans="1:17" x14ac:dyDescent="0.25">
      <c r="A45" s="438">
        <f t="shared" si="0"/>
        <v>39</v>
      </c>
      <c r="B45" s="451"/>
      <c r="C45" s="452" t="s">
        <v>10</v>
      </c>
      <c r="D45" s="454">
        <f>-ROUND(+Temporaries!F45*(1-revsens),5)</f>
        <v>0</v>
      </c>
      <c r="E45" s="454">
        <f>-ROUND(+Temporaries!G45*(1-revsens),5)</f>
        <v>0</v>
      </c>
      <c r="F45" s="454">
        <f>-ROUND(+Temporaries!H45*(1-revsens),5)</f>
        <v>0</v>
      </c>
      <c r="G45" s="454">
        <f>-ROUND(+Temporaries!K45*(1-revsens),5)</f>
        <v>0</v>
      </c>
      <c r="H45" s="454">
        <f>-ROUND(+Temporaries!L45*(1-revsens),5)</f>
        <v>0</v>
      </c>
      <c r="I45" s="454">
        <f>-ROUND(+Temporaries!V45*(1-revsens),5)</f>
        <v>0</v>
      </c>
      <c r="J45" s="454">
        <f>-ROUND(Temporaries!W45*(1-revsens),5)</f>
        <v>8.0000000000000007E-5</v>
      </c>
      <c r="K45" s="454"/>
      <c r="L45" s="454"/>
      <c r="M45" s="454"/>
      <c r="N45" s="454"/>
      <c r="O45" s="454">
        <f t="shared" si="2"/>
        <v>8.0000000000000007E-5</v>
      </c>
      <c r="Q45" s="454">
        <f>+O45+(Temporaries!AD45*(1-revsens))</f>
        <v>3.3264000000000026E-6</v>
      </c>
    </row>
    <row r="46" spans="1:17" x14ac:dyDescent="0.25">
      <c r="A46" s="438">
        <f t="shared" si="0"/>
        <v>40</v>
      </c>
      <c r="B46" s="455"/>
      <c r="C46" s="456" t="s">
        <v>11</v>
      </c>
      <c r="D46" s="448">
        <f>-ROUND(+Temporaries!F46*(1-revsens),5)</f>
        <v>0</v>
      </c>
      <c r="E46" s="448">
        <f>-ROUND(+Temporaries!G46*(1-revsens),5)</f>
        <v>0</v>
      </c>
      <c r="F46" s="448">
        <f>-ROUND(+Temporaries!H46*(1-revsens),5)</f>
        <v>0</v>
      </c>
      <c r="G46" s="448">
        <f>-ROUND(+Temporaries!K46*(1-revsens),5)</f>
        <v>0</v>
      </c>
      <c r="H46" s="448">
        <f>-ROUND(+Temporaries!L46*(1-revsens),5)</f>
        <v>0</v>
      </c>
      <c r="I46" s="448">
        <f>-ROUND(+Temporaries!V46*(1-revsens),5)</f>
        <v>0</v>
      </c>
      <c r="J46" s="448">
        <f>-ROUND(Temporaries!W46*(1-revsens),5)</f>
        <v>3.0000000000000001E-5</v>
      </c>
      <c r="K46" s="448"/>
      <c r="L46" s="448"/>
      <c r="M46" s="448"/>
      <c r="N46" s="448"/>
      <c r="O46" s="448">
        <f t="shared" si="2"/>
        <v>3.0000000000000001E-5</v>
      </c>
      <c r="Q46" s="454">
        <f>+O46+(Temporaries!AD46*(1-revsens))</f>
        <v>1.2473999999999976E-6</v>
      </c>
    </row>
    <row r="47" spans="1:17" x14ac:dyDescent="0.25">
      <c r="A47" s="438">
        <f t="shared" si="0"/>
        <v>41</v>
      </c>
      <c r="B47" s="451" t="s">
        <v>861</v>
      </c>
      <c r="C47" s="452" t="s">
        <v>6</v>
      </c>
      <c r="D47" s="454">
        <f>-ROUND(+Temporaries!F47*(1-revsens),5)</f>
        <v>-3.4020000000000002E-2</v>
      </c>
      <c r="E47" s="454">
        <f>-ROUND(+Temporaries!G47*(1-revsens),5)</f>
        <v>0</v>
      </c>
      <c r="F47" s="454">
        <f>-ROUND(+Temporaries!H47*(1-revsens),5)</f>
        <v>9.75E-3</v>
      </c>
      <c r="G47" s="454">
        <f>-ROUND(+Temporaries!K47*(1-revsens),5)</f>
        <v>-1.172E-2</v>
      </c>
      <c r="H47" s="454">
        <f>-ROUND(+Temporaries!L47*(1-revsens),5)</f>
        <v>-1.06E-3</v>
      </c>
      <c r="I47" s="454">
        <f>-ROUND(+Temporaries!V47*(1-revsens),5)</f>
        <v>-3.8999999999999999E-4</v>
      </c>
      <c r="J47" s="454">
        <f>-ROUND(Temporaries!W47*(1-revsens),5)</f>
        <v>2.0000000000000001E-4</v>
      </c>
      <c r="K47" s="454"/>
      <c r="L47" s="454"/>
      <c r="M47" s="454"/>
      <c r="N47" s="454"/>
      <c r="O47" s="454">
        <f t="shared" ref="O47:O52" si="3">SUM(D47:N47)</f>
        <v>-3.7240000000000002E-2</v>
      </c>
      <c r="Q47" s="454">
        <f>+O47+(Temporaries!AD47*(1-revsens))</f>
        <v>1.3785400000000669E-5</v>
      </c>
    </row>
    <row r="48" spans="1:17" x14ac:dyDescent="0.25">
      <c r="A48" s="438">
        <f t="shared" si="0"/>
        <v>42</v>
      </c>
      <c r="B48" s="451"/>
      <c r="C48" s="452" t="s">
        <v>7</v>
      </c>
      <c r="D48" s="454">
        <f>-ROUND(+Temporaries!F48*(1-revsens),5)</f>
        <v>-3.4020000000000002E-2</v>
      </c>
      <c r="E48" s="454">
        <f>-ROUND(+Temporaries!G48*(1-revsens),5)</f>
        <v>0</v>
      </c>
      <c r="F48" s="454">
        <f>-ROUND(+Temporaries!H48*(1-revsens),5)</f>
        <v>9.75E-3</v>
      </c>
      <c r="G48" s="454">
        <f>-ROUND(+Temporaries!K48*(1-revsens),5)</f>
        <v>-1.0489999999999999E-2</v>
      </c>
      <c r="H48" s="454">
        <f>-ROUND(+Temporaries!L48*(1-revsens),5)</f>
        <v>-9.6000000000000002E-4</v>
      </c>
      <c r="I48" s="454">
        <f>-ROUND(+Temporaries!V48*(1-revsens),5)</f>
        <v>-3.5E-4</v>
      </c>
      <c r="J48" s="454">
        <f>-ROUND(Temporaries!W48*(1-revsens),5)</f>
        <v>1.8000000000000001E-4</v>
      </c>
      <c r="K48" s="454"/>
      <c r="L48" s="454"/>
      <c r="M48" s="454"/>
      <c r="N48" s="454"/>
      <c r="O48" s="454">
        <f t="shared" si="3"/>
        <v>-3.5890000000000005E-2</v>
      </c>
      <c r="Q48" s="454">
        <f>+O48+(Temporaries!AD48*(1-revsens))</f>
        <v>2.8289999999958626E-6</v>
      </c>
    </row>
    <row r="49" spans="1:17" x14ac:dyDescent="0.25">
      <c r="A49" s="438">
        <f t="shared" si="0"/>
        <v>43</v>
      </c>
      <c r="B49" s="451"/>
      <c r="C49" s="452" t="s">
        <v>8</v>
      </c>
      <c r="D49" s="454">
        <f>-ROUND(+Temporaries!F49*(1-revsens),5)</f>
        <v>-3.4020000000000002E-2</v>
      </c>
      <c r="E49" s="454">
        <f>-ROUND(+Temporaries!G49*(1-revsens),5)</f>
        <v>0</v>
      </c>
      <c r="F49" s="454">
        <f>-ROUND(+Temporaries!H49*(1-revsens),5)</f>
        <v>9.75E-3</v>
      </c>
      <c r="G49" s="454">
        <f>-ROUND(+Temporaries!K49*(1-revsens),5)</f>
        <v>-8.0400000000000003E-3</v>
      </c>
      <c r="H49" s="454">
        <f>-ROUND(+Temporaries!L49*(1-revsens),5)</f>
        <v>-7.2999999999999996E-4</v>
      </c>
      <c r="I49" s="454">
        <f>-ROUND(+Temporaries!V49*(1-revsens),5)</f>
        <v>-2.7E-4</v>
      </c>
      <c r="J49" s="454">
        <f>-ROUND(Temporaries!W49*(1-revsens),5)</f>
        <v>1.2999999999999999E-4</v>
      </c>
      <c r="K49" s="454"/>
      <c r="L49" s="454"/>
      <c r="M49" s="454"/>
      <c r="N49" s="454"/>
      <c r="O49" s="454">
        <f t="shared" si="3"/>
        <v>-3.3180000000000001E-2</v>
      </c>
      <c r="Q49" s="454">
        <f>+O49+(Temporaries!AD49*(1-revsens))</f>
        <v>5.0039999999890172E-7</v>
      </c>
    </row>
    <row r="50" spans="1:17" x14ac:dyDescent="0.25">
      <c r="A50" s="438">
        <f t="shared" si="0"/>
        <v>44</v>
      </c>
      <c r="B50" s="451"/>
      <c r="C50" s="452" t="s">
        <v>9</v>
      </c>
      <c r="D50" s="454">
        <f>-ROUND(+Temporaries!F50*(1-revsens),5)</f>
        <v>-3.4020000000000002E-2</v>
      </c>
      <c r="E50" s="454">
        <f>-ROUND(+Temporaries!G50*(1-revsens),5)</f>
        <v>0</v>
      </c>
      <c r="F50" s="454">
        <f>-ROUND(+Temporaries!H50*(1-revsens),5)</f>
        <v>9.75E-3</v>
      </c>
      <c r="G50" s="454">
        <f>-ROUND(+Temporaries!K50*(1-revsens),5)</f>
        <v>-6.43E-3</v>
      </c>
      <c r="H50" s="454">
        <f>-ROUND(+Temporaries!L50*(1-revsens),5)</f>
        <v>-5.8E-4</v>
      </c>
      <c r="I50" s="454">
        <f>-ROUND(+Temporaries!V50*(1-revsens),5)</f>
        <v>-2.2000000000000001E-4</v>
      </c>
      <c r="J50" s="454">
        <f>-ROUND(Temporaries!W50*(1-revsens),5)</f>
        <v>1.2E-4</v>
      </c>
      <c r="K50" s="454"/>
      <c r="L50" s="454"/>
      <c r="M50" s="454"/>
      <c r="N50" s="454"/>
      <c r="O50" s="454">
        <f t="shared" si="3"/>
        <v>-3.1379999999999991E-2</v>
      </c>
      <c r="Q50" s="454">
        <f>+O50+(Temporaries!AD50*(1-revsens))</f>
        <v>1.7839200000008271E-5</v>
      </c>
    </row>
    <row r="51" spans="1:17" x14ac:dyDescent="0.25">
      <c r="A51" s="438">
        <f t="shared" si="0"/>
        <v>45</v>
      </c>
      <c r="B51" s="451"/>
      <c r="C51" s="452" t="s">
        <v>10</v>
      </c>
      <c r="D51" s="454">
        <f>-ROUND(+Temporaries!F51*(1-revsens),5)</f>
        <v>-3.4020000000000002E-2</v>
      </c>
      <c r="E51" s="454">
        <f>-ROUND(+Temporaries!G51*(1-revsens),5)</f>
        <v>0</v>
      </c>
      <c r="F51" s="454">
        <f>-ROUND(+Temporaries!H51*(1-revsens),5)</f>
        <v>9.75E-3</v>
      </c>
      <c r="G51" s="454">
        <f>-ROUND(+Temporaries!K51*(1-revsens),5)</f>
        <v>-4.2900000000000004E-3</v>
      </c>
      <c r="H51" s="454">
        <f>-ROUND(+Temporaries!L51*(1-revsens),5)</f>
        <v>-3.8999999999999999E-4</v>
      </c>
      <c r="I51" s="454">
        <f>-ROUND(+Temporaries!V51*(1-revsens),5)</f>
        <v>-1.3999999999999999E-4</v>
      </c>
      <c r="J51" s="454">
        <f>-ROUND(Temporaries!W51*(1-revsens),5)</f>
        <v>8.0000000000000007E-5</v>
      </c>
      <c r="K51" s="454"/>
      <c r="L51" s="454"/>
      <c r="M51" s="454"/>
      <c r="N51" s="454"/>
      <c r="O51" s="454">
        <f t="shared" si="3"/>
        <v>-2.9010000000000005E-2</v>
      </c>
      <c r="Q51" s="454">
        <f>+O51+(Temporaries!AD51*(1-revsens))</f>
        <v>2.0541799999995725E-5</v>
      </c>
    </row>
    <row r="52" spans="1:17" x14ac:dyDescent="0.25">
      <c r="A52" s="438">
        <f t="shared" si="0"/>
        <v>46</v>
      </c>
      <c r="B52" s="455"/>
      <c r="C52" s="456" t="s">
        <v>11</v>
      </c>
      <c r="D52" s="448">
        <f>-ROUND(+Temporaries!F52*(1-revsens),5)</f>
        <v>-3.4020000000000002E-2</v>
      </c>
      <c r="E52" s="448">
        <f>-ROUND(+Temporaries!G52*(1-revsens),5)</f>
        <v>0</v>
      </c>
      <c r="F52" s="448">
        <f>-ROUND(+Temporaries!H52*(1-revsens),5)</f>
        <v>9.75E-3</v>
      </c>
      <c r="G52" s="448">
        <f>-ROUND(+Temporaries!K52*(1-revsens),5)</f>
        <v>-1.6100000000000001E-3</v>
      </c>
      <c r="H52" s="448">
        <f>-ROUND(+Temporaries!L52*(1-revsens),5)</f>
        <v>-1.3999999999999999E-4</v>
      </c>
      <c r="I52" s="448">
        <f>-ROUND(+Temporaries!V52*(1-revsens),5)</f>
        <v>-6.0000000000000002E-5</v>
      </c>
      <c r="J52" s="448">
        <f>-ROUND(Temporaries!W52*(1-revsens),5)</f>
        <v>3.0000000000000001E-5</v>
      </c>
      <c r="K52" s="448"/>
      <c r="L52" s="448"/>
      <c r="M52" s="448"/>
      <c r="N52" s="448"/>
      <c r="O52" s="448">
        <f t="shared" si="3"/>
        <v>-2.6050000000000004E-2</v>
      </c>
      <c r="Q52" s="454">
        <f>+O52+(Temporaries!AD52*(1-revsens))</f>
        <v>9.4397999999967785E-6</v>
      </c>
    </row>
    <row r="53" spans="1:17" x14ac:dyDescent="0.25">
      <c r="A53" s="438">
        <f t="shared" si="0"/>
        <v>47</v>
      </c>
      <c r="B53" s="451" t="s">
        <v>862</v>
      </c>
      <c r="C53" s="452" t="s">
        <v>6</v>
      </c>
      <c r="D53" s="454">
        <f>-ROUND(+Temporaries!F53*(1-revsens),5)</f>
        <v>-3.4020000000000002E-2</v>
      </c>
      <c r="E53" s="454">
        <f>-ROUND(+Temporaries!G53*(1-revsens),5)</f>
        <v>0</v>
      </c>
      <c r="F53" s="454">
        <f>-ROUND(+Temporaries!H53*(1-revsens),5)</f>
        <v>9.75E-3</v>
      </c>
      <c r="G53" s="454">
        <f>-ROUND(+Temporaries!K53*(1-revsens),5)</f>
        <v>0</v>
      </c>
      <c r="H53" s="454">
        <f>-ROUND(+Temporaries!L53*(1-revsens),5)</f>
        <v>-1.89E-3</v>
      </c>
      <c r="I53" s="454">
        <f>-ROUND(+Temporaries!V53*(1-revsens),5)</f>
        <v>-7.1000000000000002E-4</v>
      </c>
      <c r="J53" s="454">
        <f>-ROUND(Temporaries!W53*(1-revsens),5)</f>
        <v>3.5E-4</v>
      </c>
      <c r="K53" s="454"/>
      <c r="L53" s="454"/>
      <c r="M53" s="454"/>
      <c r="N53" s="454"/>
      <c r="O53" s="454">
        <f t="shared" si="2"/>
        <v>-2.6519999999999998E-2</v>
      </c>
      <c r="Q53" s="454">
        <f>+O53+(Temporaries!AD53*(1-revsens))</f>
        <v>-5.185999999990365E-7</v>
      </c>
    </row>
    <row r="54" spans="1:17" x14ac:dyDescent="0.25">
      <c r="A54" s="438">
        <f t="shared" si="0"/>
        <v>48</v>
      </c>
      <c r="B54" s="451"/>
      <c r="C54" s="452" t="s">
        <v>7</v>
      </c>
      <c r="D54" s="454">
        <f>-ROUND(+Temporaries!F54*(1-revsens),5)</f>
        <v>-3.4020000000000002E-2</v>
      </c>
      <c r="E54" s="454">
        <f>-ROUND(+Temporaries!G54*(1-revsens),5)</f>
        <v>0</v>
      </c>
      <c r="F54" s="454">
        <f>-ROUND(+Temporaries!H54*(1-revsens),5)</f>
        <v>9.75E-3</v>
      </c>
      <c r="G54" s="454">
        <f>-ROUND(+Temporaries!K54*(1-revsens),5)</f>
        <v>0</v>
      </c>
      <c r="H54" s="454">
        <f>-ROUND(+Temporaries!L54*(1-revsens),5)</f>
        <v>-1.6999999999999999E-3</v>
      </c>
      <c r="I54" s="454">
        <f>-ROUND(+Temporaries!V54*(1-revsens),5)</f>
        <v>-6.3000000000000003E-4</v>
      </c>
      <c r="J54" s="454">
        <f>-ROUND(Temporaries!W54*(1-revsens),5)</f>
        <v>3.2000000000000003E-4</v>
      </c>
      <c r="K54" s="454"/>
      <c r="L54" s="454"/>
      <c r="M54" s="454"/>
      <c r="N54" s="454"/>
      <c r="O54" s="454">
        <f t="shared" si="2"/>
        <v>-2.6279999999999998E-2</v>
      </c>
      <c r="Q54" s="454">
        <f>+O54+(Temporaries!AD54*(1-revsens))</f>
        <v>9.4606000000038715E-6</v>
      </c>
    </row>
    <row r="55" spans="1:17" x14ac:dyDescent="0.25">
      <c r="A55" s="438">
        <f t="shared" si="0"/>
        <v>49</v>
      </c>
      <c r="B55" s="451"/>
      <c r="C55" s="452" t="s">
        <v>8</v>
      </c>
      <c r="D55" s="454">
        <f>-ROUND(+Temporaries!F55*(1-revsens),5)</f>
        <v>-3.4020000000000002E-2</v>
      </c>
      <c r="E55" s="454">
        <f>-ROUND(+Temporaries!G55*(1-revsens),5)</f>
        <v>0</v>
      </c>
      <c r="F55" s="454">
        <f>-ROUND(+Temporaries!H55*(1-revsens),5)</f>
        <v>9.75E-3</v>
      </c>
      <c r="G55" s="454">
        <f>-ROUND(+Temporaries!K55*(1-revsens),5)</f>
        <v>0</v>
      </c>
      <c r="H55" s="454">
        <f>-ROUND(+Temporaries!L55*(1-revsens),5)</f>
        <v>-1.2999999999999999E-3</v>
      </c>
      <c r="I55" s="454">
        <f>-ROUND(+Temporaries!V55*(1-revsens),5)</f>
        <v>-4.8999999999999998E-4</v>
      </c>
      <c r="J55" s="454">
        <f>-ROUND(Temporaries!W55*(1-revsens),5)</f>
        <v>2.5000000000000001E-4</v>
      </c>
      <c r="K55" s="454"/>
      <c r="L55" s="454"/>
      <c r="M55" s="454"/>
      <c r="N55" s="454"/>
      <c r="O55" s="454">
        <f t="shared" si="2"/>
        <v>-2.581E-2</v>
      </c>
      <c r="Q55" s="454">
        <f>+O55+(Temporaries!AD55*(1-revsens))</f>
        <v>9.8348000000005042E-6</v>
      </c>
    </row>
    <row r="56" spans="1:17" x14ac:dyDescent="0.25">
      <c r="A56" s="438">
        <f t="shared" si="0"/>
        <v>50</v>
      </c>
      <c r="B56" s="451"/>
      <c r="C56" s="452" t="s">
        <v>9</v>
      </c>
      <c r="D56" s="454">
        <f>-ROUND(+Temporaries!F56*(1-revsens),5)</f>
        <v>-3.4020000000000002E-2</v>
      </c>
      <c r="E56" s="454">
        <f>-ROUND(+Temporaries!G56*(1-revsens),5)</f>
        <v>0</v>
      </c>
      <c r="F56" s="454">
        <f>-ROUND(+Temporaries!H56*(1-revsens),5)</f>
        <v>9.75E-3</v>
      </c>
      <c r="G56" s="454">
        <f>-ROUND(+Temporaries!K56*(1-revsens),5)</f>
        <v>0</v>
      </c>
      <c r="H56" s="454">
        <f>-ROUND(+Temporaries!L56*(1-revsens),5)</f>
        <v>-1.0399999999999999E-3</v>
      </c>
      <c r="I56" s="454">
        <f>-ROUND(+Temporaries!V56*(1-revsens),5)</f>
        <v>-3.8000000000000002E-4</v>
      </c>
      <c r="J56" s="454">
        <f>-ROUND(Temporaries!W56*(1-revsens),5)</f>
        <v>1.9000000000000001E-4</v>
      </c>
      <c r="K56" s="454"/>
      <c r="L56" s="454"/>
      <c r="M56" s="454"/>
      <c r="N56" s="454"/>
      <c r="O56" s="454">
        <f t="shared" si="2"/>
        <v>-2.5499999999999998E-2</v>
      </c>
      <c r="Q56" s="454">
        <f>+O56+(Temporaries!AD56*(1-revsens))</f>
        <v>3.5562000000009808E-6</v>
      </c>
    </row>
    <row r="57" spans="1:17" x14ac:dyDescent="0.25">
      <c r="A57" s="438">
        <f t="shared" si="0"/>
        <v>51</v>
      </c>
      <c r="B57" s="451"/>
      <c r="C57" s="452" t="s">
        <v>10</v>
      </c>
      <c r="D57" s="454">
        <f>-ROUND(+Temporaries!F57*(1-revsens),5)</f>
        <v>-3.4020000000000002E-2</v>
      </c>
      <c r="E57" s="454">
        <f>-ROUND(+Temporaries!G57*(1-revsens),5)</f>
        <v>0</v>
      </c>
      <c r="F57" s="454">
        <f>-ROUND(+Temporaries!H57*(1-revsens),5)</f>
        <v>9.75E-3</v>
      </c>
      <c r="G57" s="454">
        <f>-ROUND(+Temporaries!K57*(1-revsens),5)</f>
        <v>0</v>
      </c>
      <c r="H57" s="454">
        <f>-ROUND(+Temporaries!L57*(1-revsens),5)</f>
        <v>-6.8999999999999997E-4</v>
      </c>
      <c r="I57" s="454">
        <f>-ROUND(+Temporaries!V57*(1-revsens),5)</f>
        <v>-2.5999999999999998E-4</v>
      </c>
      <c r="J57" s="454">
        <f>-ROUND(Temporaries!W57*(1-revsens),5)</f>
        <v>1.2999999999999999E-4</v>
      </c>
      <c r="K57" s="454"/>
      <c r="L57" s="454"/>
      <c r="M57" s="454"/>
      <c r="N57" s="454"/>
      <c r="O57" s="454">
        <f t="shared" si="2"/>
        <v>-2.5089999999999998E-2</v>
      </c>
      <c r="Q57" s="454">
        <f>+O57+(Temporaries!AD57*(1-revsens))</f>
        <v>1.4356000000020908E-6</v>
      </c>
    </row>
    <row r="58" spans="1:17" x14ac:dyDescent="0.25">
      <c r="A58" s="438">
        <f t="shared" si="0"/>
        <v>52</v>
      </c>
      <c r="B58" s="455"/>
      <c r="C58" s="456" t="s">
        <v>11</v>
      </c>
      <c r="D58" s="448">
        <f>-ROUND(+Temporaries!F58*(1-revsens),5)</f>
        <v>-3.4020000000000002E-2</v>
      </c>
      <c r="E58" s="448">
        <f>-ROUND(+Temporaries!G58*(1-revsens),5)</f>
        <v>0</v>
      </c>
      <c r="F58" s="448">
        <f>-ROUND(+Temporaries!H58*(1-revsens),5)</f>
        <v>9.75E-3</v>
      </c>
      <c r="G58" s="448">
        <f>-ROUND(+Temporaries!K58*(1-revsens),5)</f>
        <v>0</v>
      </c>
      <c r="H58" s="448">
        <f>-ROUND(+Temporaries!L58*(1-revsens),5)</f>
        <v>-2.5999999999999998E-4</v>
      </c>
      <c r="I58" s="448">
        <f>-ROUND(+Temporaries!V58*(1-revsens),5)</f>
        <v>-1E-4</v>
      </c>
      <c r="J58" s="448">
        <f>-ROUND(Temporaries!W58*(1-revsens),5)</f>
        <v>5.0000000000000002E-5</v>
      </c>
      <c r="K58" s="448"/>
      <c r="L58" s="448"/>
      <c r="M58" s="448"/>
      <c r="N58" s="448"/>
      <c r="O58" s="448">
        <f t="shared" si="2"/>
        <v>-2.4579999999999998E-2</v>
      </c>
      <c r="Q58" s="454">
        <f>+O58+(Temporaries!AD58*(1-revsens))</f>
        <v>3.4730000000038341E-6</v>
      </c>
    </row>
    <row r="59" spans="1:17" x14ac:dyDescent="0.25">
      <c r="A59" s="438">
        <f t="shared" si="0"/>
        <v>53</v>
      </c>
      <c r="B59" s="451" t="s">
        <v>166</v>
      </c>
      <c r="C59" s="452" t="s">
        <v>6</v>
      </c>
      <c r="D59" s="454">
        <f>-ROUND(+Temporaries!F59*(1-revsens),5)</f>
        <v>0</v>
      </c>
      <c r="E59" s="454">
        <f>-ROUND(+Temporaries!G59*(1-revsens),5)</f>
        <v>0</v>
      </c>
      <c r="F59" s="454">
        <f>-ROUND(+Temporaries!H59*(1-revsens),5)</f>
        <v>0</v>
      </c>
      <c r="G59" s="454">
        <f>-ROUND(+Temporaries!K59*(1-revsens),5)</f>
        <v>0</v>
      </c>
      <c r="H59" s="454">
        <f>-ROUND(+Temporaries!L59*(1-revsens),5)</f>
        <v>0</v>
      </c>
      <c r="I59" s="454">
        <f>-ROUND(+Temporaries!V59*(1-revsens),5)</f>
        <v>0</v>
      </c>
      <c r="J59" s="454">
        <f>-ROUND(Temporaries!W59*(1-revsens),5)</f>
        <v>1.9000000000000001E-4</v>
      </c>
      <c r="K59" s="454"/>
      <c r="L59" s="454"/>
      <c r="M59" s="454"/>
      <c r="N59" s="454"/>
      <c r="O59" s="454">
        <f t="shared" si="2"/>
        <v>1.9000000000000001E-4</v>
      </c>
      <c r="Q59" s="454">
        <f>+O59+(Temporaries!AD59*(1-revsens))</f>
        <v>-1.6840000000000062E-6</v>
      </c>
    </row>
    <row r="60" spans="1:17" x14ac:dyDescent="0.25">
      <c r="A60" s="438">
        <f t="shared" si="0"/>
        <v>54</v>
      </c>
      <c r="B60" s="451"/>
      <c r="C60" s="452" t="s">
        <v>7</v>
      </c>
      <c r="D60" s="454">
        <f>-ROUND(+Temporaries!F60*(1-revsens),5)</f>
        <v>0</v>
      </c>
      <c r="E60" s="454">
        <f>-ROUND(+Temporaries!G60*(1-revsens),5)</f>
        <v>0</v>
      </c>
      <c r="F60" s="454">
        <f>-ROUND(+Temporaries!H60*(1-revsens),5)</f>
        <v>0</v>
      </c>
      <c r="G60" s="454">
        <f>-ROUND(+Temporaries!K60*(1-revsens),5)</f>
        <v>0</v>
      </c>
      <c r="H60" s="454">
        <f>-ROUND(+Temporaries!L60*(1-revsens),5)</f>
        <v>0</v>
      </c>
      <c r="I60" s="454">
        <f>-ROUND(+Temporaries!V60*(1-revsens),5)</f>
        <v>0</v>
      </c>
      <c r="J60" s="454">
        <f>-ROUND(Temporaries!W60*(1-revsens),5)</f>
        <v>1.7000000000000001E-4</v>
      </c>
      <c r="K60" s="454"/>
      <c r="L60" s="454"/>
      <c r="M60" s="454"/>
      <c r="N60" s="454"/>
      <c r="O60" s="454">
        <f t="shared" si="2"/>
        <v>1.7000000000000001E-4</v>
      </c>
      <c r="Q60" s="454">
        <f>+O60+(Temporaries!AD60*(1-revsens))</f>
        <v>-2.5156000000000137E-6</v>
      </c>
    </row>
    <row r="61" spans="1:17" x14ac:dyDescent="0.25">
      <c r="A61" s="438">
        <f t="shared" si="0"/>
        <v>55</v>
      </c>
      <c r="B61" s="451"/>
      <c r="C61" s="452" t="s">
        <v>8</v>
      </c>
      <c r="D61" s="454">
        <f>-ROUND(+Temporaries!F61*(1-revsens),5)</f>
        <v>0</v>
      </c>
      <c r="E61" s="454">
        <f>-ROUND(+Temporaries!G61*(1-revsens),5)</f>
        <v>0</v>
      </c>
      <c r="F61" s="454">
        <f>-ROUND(+Temporaries!H61*(1-revsens),5)</f>
        <v>0</v>
      </c>
      <c r="G61" s="454">
        <f>-ROUND(+Temporaries!K61*(1-revsens),5)</f>
        <v>0</v>
      </c>
      <c r="H61" s="454">
        <f>-ROUND(+Temporaries!L61*(1-revsens),5)</f>
        <v>0</v>
      </c>
      <c r="I61" s="454">
        <f>-ROUND(+Temporaries!V61*(1-revsens),5)</f>
        <v>0</v>
      </c>
      <c r="J61" s="454">
        <f>-ROUND(Temporaries!W61*(1-revsens),5)</f>
        <v>1.2999999999999999E-4</v>
      </c>
      <c r="K61" s="454"/>
      <c r="L61" s="454"/>
      <c r="M61" s="454"/>
      <c r="N61" s="454"/>
      <c r="O61" s="454">
        <f t="shared" si="2"/>
        <v>1.2999999999999999E-4</v>
      </c>
      <c r="Q61" s="454">
        <f>+O61+(Temporaries!AD61*(1-revsens))</f>
        <v>-4.1788000000000014E-6</v>
      </c>
    </row>
    <row r="62" spans="1:17" x14ac:dyDescent="0.25">
      <c r="A62" s="438">
        <f t="shared" si="0"/>
        <v>56</v>
      </c>
      <c r="B62" s="451"/>
      <c r="C62" s="452" t="s">
        <v>9</v>
      </c>
      <c r="D62" s="454">
        <f>-ROUND(+Temporaries!F62*(1-revsens),5)</f>
        <v>0</v>
      </c>
      <c r="E62" s="454">
        <f>-ROUND(+Temporaries!G62*(1-revsens),5)</f>
        <v>0</v>
      </c>
      <c r="F62" s="454">
        <f>-ROUND(+Temporaries!H62*(1-revsens),5)</f>
        <v>0</v>
      </c>
      <c r="G62" s="454">
        <f>-ROUND(+Temporaries!K62*(1-revsens),5)</f>
        <v>0</v>
      </c>
      <c r="H62" s="454">
        <f>-ROUND(+Temporaries!L62*(1-revsens),5)</f>
        <v>0</v>
      </c>
      <c r="I62" s="454">
        <f>-ROUND(+Temporaries!V62*(1-revsens),5)</f>
        <v>0</v>
      </c>
      <c r="J62" s="454">
        <f>-ROUND(Temporaries!W62*(1-revsens),5)</f>
        <v>1.1E-4</v>
      </c>
      <c r="K62" s="454"/>
      <c r="L62" s="454"/>
      <c r="M62" s="454"/>
      <c r="N62" s="454"/>
      <c r="O62" s="454">
        <f t="shared" si="2"/>
        <v>1.1E-4</v>
      </c>
      <c r="Q62" s="454">
        <f>+O62+(Temporaries!AD62*(1-revsens))</f>
        <v>4.5738000000000002E-6</v>
      </c>
    </row>
    <row r="63" spans="1:17" x14ac:dyDescent="0.25">
      <c r="A63" s="438">
        <f t="shared" si="0"/>
        <v>57</v>
      </c>
      <c r="B63" s="451"/>
      <c r="C63" s="452" t="s">
        <v>10</v>
      </c>
      <c r="D63" s="454">
        <f>-ROUND(+Temporaries!F63*(1-revsens),5)</f>
        <v>0</v>
      </c>
      <c r="E63" s="454">
        <f>-ROUND(+Temporaries!G63*(1-revsens),5)</f>
        <v>0</v>
      </c>
      <c r="F63" s="454">
        <f>-ROUND(+Temporaries!H63*(1-revsens),5)</f>
        <v>0</v>
      </c>
      <c r="G63" s="454">
        <f>-ROUND(+Temporaries!K63*(1-revsens),5)</f>
        <v>0</v>
      </c>
      <c r="H63" s="454">
        <f>-ROUND(+Temporaries!L63*(1-revsens),5)</f>
        <v>0</v>
      </c>
      <c r="I63" s="454">
        <f>-ROUND(+Temporaries!V63*(1-revsens),5)</f>
        <v>0</v>
      </c>
      <c r="J63" s="454">
        <f>-ROUND(Temporaries!W63*(1-revsens),5)</f>
        <v>6.9999999999999994E-5</v>
      </c>
      <c r="K63" s="454"/>
      <c r="L63" s="454"/>
      <c r="M63" s="454"/>
      <c r="N63" s="454"/>
      <c r="O63" s="454">
        <f t="shared" si="2"/>
        <v>6.9999999999999994E-5</v>
      </c>
      <c r="Q63" s="454">
        <f>+O63+(Temporaries!AD63*(1-revsens))</f>
        <v>2.9105999999999989E-6</v>
      </c>
    </row>
    <row r="64" spans="1:17" x14ac:dyDescent="0.25">
      <c r="A64" s="438">
        <f t="shared" si="0"/>
        <v>58</v>
      </c>
      <c r="B64" s="455"/>
      <c r="C64" s="456" t="s">
        <v>11</v>
      </c>
      <c r="D64" s="448">
        <f>-ROUND(+Temporaries!F64*(1-revsens),5)</f>
        <v>0</v>
      </c>
      <c r="E64" s="448">
        <f>-ROUND(+Temporaries!G64*(1-revsens),5)</f>
        <v>0</v>
      </c>
      <c r="F64" s="448">
        <f>-ROUND(+Temporaries!H64*(1-revsens),5)</f>
        <v>0</v>
      </c>
      <c r="G64" s="448">
        <f>-ROUND(+Temporaries!K64*(1-revsens),5)</f>
        <v>0</v>
      </c>
      <c r="H64" s="448">
        <f>-ROUND(+Temporaries!L64*(1-revsens),5)</f>
        <v>0</v>
      </c>
      <c r="I64" s="448">
        <f>-ROUND(+Temporaries!V64*(1-revsens),5)</f>
        <v>0</v>
      </c>
      <c r="J64" s="448">
        <f>-ROUND(Temporaries!W64*(1-revsens),5)</f>
        <v>3.0000000000000001E-5</v>
      </c>
      <c r="K64" s="448"/>
      <c r="L64" s="448"/>
      <c r="M64" s="448"/>
      <c r="N64" s="448"/>
      <c r="O64" s="448">
        <f t="shared" si="2"/>
        <v>3.0000000000000001E-5</v>
      </c>
      <c r="Q64" s="454">
        <f>+O64+(Temporaries!AD64*(1-revsens))</f>
        <v>1.2473999999999976E-6</v>
      </c>
    </row>
    <row r="65" spans="1:17" x14ac:dyDescent="0.25">
      <c r="A65" s="438">
        <f t="shared" si="0"/>
        <v>59</v>
      </c>
      <c r="B65" s="455" t="s">
        <v>167</v>
      </c>
      <c r="C65" s="455"/>
      <c r="D65" s="457">
        <f>-ROUND(+Temporaries!F65*(1-revsens),5)</f>
        <v>0</v>
      </c>
      <c r="E65" s="457">
        <f>-ROUND(+Temporaries!G65*(1-revsens),5)</f>
        <v>0</v>
      </c>
      <c r="F65" s="457">
        <f>-ROUND(+Temporaries!H65*(1-revsens),5)</f>
        <v>0</v>
      </c>
      <c r="G65" s="457">
        <f>-ROUND(+Temporaries!K65*(1-revsens),5)</f>
        <v>0</v>
      </c>
      <c r="H65" s="457">
        <f>-ROUND(+Temporaries!L65*(1-revsens),5)</f>
        <v>0</v>
      </c>
      <c r="I65" s="457">
        <f>-ROUND(+Temporaries!V65*(1-revsens),5)</f>
        <v>0</v>
      </c>
      <c r="J65" s="457">
        <f>-ROUND(Temporaries!W65*(1-revsens),5)</f>
        <v>1.0000000000000001E-5</v>
      </c>
      <c r="K65" s="448"/>
      <c r="L65" s="448"/>
      <c r="M65" s="448"/>
      <c r="N65" s="448"/>
      <c r="O65" s="457">
        <f t="shared" si="2"/>
        <v>1.0000000000000001E-5</v>
      </c>
      <c r="Q65" s="454">
        <f>+O65+(Temporaries!AD65*(1-revsens))</f>
        <v>4.1580000000000032E-7</v>
      </c>
    </row>
    <row r="66" spans="1:17" x14ac:dyDescent="0.25">
      <c r="A66" s="438">
        <f t="shared" si="0"/>
        <v>60</v>
      </c>
      <c r="B66" s="447" t="s">
        <v>168</v>
      </c>
      <c r="C66" s="447"/>
      <c r="D66" s="458">
        <f>-ROUND(+Temporaries!F66*(1-revsens),5)</f>
        <v>0</v>
      </c>
      <c r="E66" s="458">
        <f>-ROUND(+Temporaries!G66*(1-revsens),5)</f>
        <v>0</v>
      </c>
      <c r="F66" s="458">
        <f>-ROUND(+Temporaries!H66*(1-revsens),5)</f>
        <v>0</v>
      </c>
      <c r="G66" s="458">
        <f>-ROUND(+Temporaries!K66*(1-revsens),5)</f>
        <v>0</v>
      </c>
      <c r="H66" s="458">
        <f>-ROUND(+Temporaries!L66*(1-revsens),5)</f>
        <v>0</v>
      </c>
      <c r="I66" s="458">
        <f>-ROUND(+Temporaries!V66*(1-revsens),5)</f>
        <v>0</v>
      </c>
      <c r="J66" s="458">
        <f>-ROUND(Temporaries!W66*(1-revsens),5)</f>
        <v>1.0000000000000001E-5</v>
      </c>
      <c r="K66" s="448"/>
      <c r="L66" s="448"/>
      <c r="M66" s="448"/>
      <c r="N66" s="448"/>
      <c r="O66" s="458">
        <f t="shared" si="2"/>
        <v>1.0000000000000001E-5</v>
      </c>
      <c r="Q66" s="454">
        <f>+O66+(Temporaries!AD66*(1-revsens))</f>
        <v>4.1580000000000032E-7</v>
      </c>
    </row>
    <row r="67" spans="1:17" x14ac:dyDescent="0.25">
      <c r="A67" s="438">
        <f t="shared" si="0"/>
        <v>61</v>
      </c>
      <c r="B67" s="449" t="s">
        <v>217</v>
      </c>
      <c r="C67" s="447"/>
      <c r="D67" s="459">
        <f>-ROUND(+Temporaries!F67*(1-revsens),5)</f>
        <v>0</v>
      </c>
      <c r="E67" s="459">
        <f>-ROUND(+Temporaries!G67*(1-revsens),5)</f>
        <v>0</v>
      </c>
      <c r="F67" s="459">
        <f>-ROUND(+Temporaries!H67*(1-revsens),5)</f>
        <v>0</v>
      </c>
      <c r="G67" s="459">
        <f>-ROUND(+Temporaries!K67*(1-revsens),5)</f>
        <v>0</v>
      </c>
      <c r="H67" s="459">
        <f>-ROUND(+Temporaries!L67*(1-revsens),5)</f>
        <v>0</v>
      </c>
      <c r="I67" s="459">
        <f>-ROUND(+Temporaries!V67*(1-revsens),5)</f>
        <v>0</v>
      </c>
      <c r="J67" s="459">
        <f>-ROUND(Temporaries!W67*(1-revsens),5)</f>
        <v>0</v>
      </c>
      <c r="K67" s="448"/>
      <c r="L67" s="448"/>
      <c r="M67" s="448"/>
      <c r="N67" s="448"/>
      <c r="O67" s="459">
        <f t="shared" si="2"/>
        <v>0</v>
      </c>
      <c r="Q67" s="454">
        <f>+O67+(Temporaries!AD67*(1-revsens))</f>
        <v>0</v>
      </c>
    </row>
    <row r="68" spans="1:17" x14ac:dyDescent="0.25">
      <c r="A68" s="438">
        <f t="shared" si="0"/>
        <v>62</v>
      </c>
    </row>
    <row r="69" spans="1:17" ht="13.8" thickBot="1" x14ac:dyDescent="0.3">
      <c r="A69" s="438">
        <f t="shared" si="0"/>
        <v>63</v>
      </c>
      <c r="B69" s="460" t="s">
        <v>171</v>
      </c>
    </row>
    <row r="70" spans="1:17" ht="13.8" thickBot="1" x14ac:dyDescent="0.3">
      <c r="A70" s="438">
        <f t="shared" si="0"/>
        <v>64</v>
      </c>
      <c r="B70" s="461" t="s">
        <v>1044</v>
      </c>
      <c r="C70" s="462"/>
      <c r="D70" s="464" t="s">
        <v>1045</v>
      </c>
      <c r="E70" s="464" t="s">
        <v>1046</v>
      </c>
      <c r="F70" s="464" t="s">
        <v>68</v>
      </c>
      <c r="G70" s="464" t="s">
        <v>1047</v>
      </c>
      <c r="H70" s="464" t="s">
        <v>704</v>
      </c>
      <c r="I70" s="464" t="s">
        <v>177</v>
      </c>
      <c r="J70" s="464" t="s">
        <v>1045</v>
      </c>
      <c r="K70" s="464" t="s">
        <v>1045</v>
      </c>
      <c r="L70" s="464" t="s">
        <v>1045</v>
      </c>
      <c r="M70" s="464" t="s">
        <v>1045</v>
      </c>
      <c r="N70" s="464" t="s">
        <v>1045</v>
      </c>
      <c r="O70" s="1287"/>
    </row>
    <row r="71" spans="1:17" x14ac:dyDescent="0.25">
      <c r="A71" s="438">
        <f t="shared" si="0"/>
        <v>65</v>
      </c>
    </row>
    <row r="72" spans="1:17" x14ac:dyDescent="0.25">
      <c r="A72" s="465"/>
    </row>
    <row r="73" spans="1:17" x14ac:dyDescent="0.25">
      <c r="A73" s="465"/>
    </row>
    <row r="74" spans="1:17" x14ac:dyDescent="0.25">
      <c r="A74" s="465"/>
    </row>
    <row r="75" spans="1:17" x14ac:dyDescent="0.25">
      <c r="A75" s="465"/>
    </row>
    <row r="76" spans="1:17" x14ac:dyDescent="0.25">
      <c r="A76" s="465"/>
    </row>
    <row r="77" spans="1:17" x14ac:dyDescent="0.25">
      <c r="A77" s="465"/>
    </row>
    <row r="78" spans="1:17" x14ac:dyDescent="0.25">
      <c r="A78" s="465"/>
    </row>
    <row r="79" spans="1:17" x14ac:dyDescent="0.25">
      <c r="A79" s="465"/>
    </row>
    <row r="80" spans="1:17" x14ac:dyDescent="0.25">
      <c r="A80" s="465"/>
    </row>
    <row r="81" spans="1:1" x14ac:dyDescent="0.25">
      <c r="A81" s="465"/>
    </row>
    <row r="82" spans="1:1" x14ac:dyDescent="0.25">
      <c r="A82" s="465"/>
    </row>
    <row r="83" spans="1:1" x14ac:dyDescent="0.25">
      <c r="A83" s="465"/>
    </row>
    <row r="84" spans="1:1" x14ac:dyDescent="0.25">
      <c r="A84" s="465"/>
    </row>
    <row r="85" spans="1:1" x14ac:dyDescent="0.25">
      <c r="A85" s="465"/>
    </row>
    <row r="86" spans="1:1" x14ac:dyDescent="0.25">
      <c r="A86" s="465"/>
    </row>
    <row r="87" spans="1:1" x14ac:dyDescent="0.25">
      <c r="A87" s="465"/>
    </row>
    <row r="88" spans="1:1" x14ac:dyDescent="0.25">
      <c r="A88" s="465"/>
    </row>
    <row r="89" spans="1:1" x14ac:dyDescent="0.25">
      <c r="A89" s="465"/>
    </row>
    <row r="90" spans="1:1" x14ac:dyDescent="0.25">
      <c r="A90" s="465"/>
    </row>
    <row r="91" spans="1:1" x14ac:dyDescent="0.25">
      <c r="A91" s="465"/>
    </row>
    <row r="92" spans="1:1" x14ac:dyDescent="0.25">
      <c r="A92" s="465"/>
    </row>
    <row r="93" spans="1:1" x14ac:dyDescent="0.25">
      <c r="A93" s="465"/>
    </row>
    <row r="94" spans="1:1" x14ac:dyDescent="0.25">
      <c r="A94" s="465"/>
    </row>
    <row r="95" spans="1:1" x14ac:dyDescent="0.25">
      <c r="A95" s="465"/>
    </row>
    <row r="96" spans="1:1" x14ac:dyDescent="0.25">
      <c r="A96" s="465"/>
    </row>
    <row r="97" spans="1:1" x14ac:dyDescent="0.25">
      <c r="A97" s="465"/>
    </row>
    <row r="98" spans="1:1" x14ac:dyDescent="0.25">
      <c r="A98" s="465"/>
    </row>
    <row r="99" spans="1:1" x14ac:dyDescent="0.25">
      <c r="A99" s="465"/>
    </row>
    <row r="100" spans="1:1" x14ac:dyDescent="0.25">
      <c r="A100" s="465"/>
    </row>
    <row r="101" spans="1:1" x14ac:dyDescent="0.25">
      <c r="A101" s="465"/>
    </row>
    <row r="102" spans="1:1" x14ac:dyDescent="0.25">
      <c r="A102" s="465"/>
    </row>
    <row r="103" spans="1:1" x14ac:dyDescent="0.25">
      <c r="A103" s="465"/>
    </row>
    <row r="104" spans="1:1" x14ac:dyDescent="0.25">
      <c r="A104" s="465"/>
    </row>
    <row r="105" spans="1:1" x14ac:dyDescent="0.25">
      <c r="A105" s="465"/>
    </row>
    <row r="106" spans="1:1" x14ac:dyDescent="0.25">
      <c r="A106" s="465"/>
    </row>
    <row r="107" spans="1:1" x14ac:dyDescent="0.25">
      <c r="A107" s="465"/>
    </row>
    <row r="108" spans="1:1" x14ac:dyDescent="0.25">
      <c r="A108" s="465"/>
    </row>
    <row r="109" spans="1:1" x14ac:dyDescent="0.25">
      <c r="A109" s="465"/>
    </row>
    <row r="110" spans="1:1" x14ac:dyDescent="0.25">
      <c r="A110" s="465"/>
    </row>
    <row r="111" spans="1:1" x14ac:dyDescent="0.25">
      <c r="A111" s="465"/>
    </row>
    <row r="112" spans="1:1" x14ac:dyDescent="0.25">
      <c r="A112" s="465"/>
    </row>
    <row r="113" spans="1:1" x14ac:dyDescent="0.25">
      <c r="A113" s="465"/>
    </row>
    <row r="114" spans="1:1" x14ac:dyDescent="0.25">
      <c r="A114" s="465"/>
    </row>
    <row r="115" spans="1:1" x14ac:dyDescent="0.25">
      <c r="A115" s="465"/>
    </row>
    <row r="116" spans="1:1" x14ac:dyDescent="0.25">
      <c r="A116" s="465"/>
    </row>
    <row r="117" spans="1:1" x14ac:dyDescent="0.25">
      <c r="A117" s="465"/>
    </row>
    <row r="118" spans="1:1" x14ac:dyDescent="0.25">
      <c r="A118" s="465"/>
    </row>
    <row r="119" spans="1:1" x14ac:dyDescent="0.25">
      <c r="A119" s="465"/>
    </row>
    <row r="120" spans="1:1" x14ac:dyDescent="0.25">
      <c r="A120" s="465"/>
    </row>
    <row r="121" spans="1:1" x14ac:dyDescent="0.25">
      <c r="A121" s="465"/>
    </row>
    <row r="122" spans="1:1" x14ac:dyDescent="0.25">
      <c r="A122" s="465"/>
    </row>
    <row r="123" spans="1:1" x14ac:dyDescent="0.25">
      <c r="A123" s="465"/>
    </row>
    <row r="124" spans="1:1" x14ac:dyDescent="0.25">
      <c r="A124" s="465"/>
    </row>
    <row r="125" spans="1:1" x14ac:dyDescent="0.25">
      <c r="A125" s="465"/>
    </row>
    <row r="126" spans="1:1" x14ac:dyDescent="0.25">
      <c r="A126" s="465"/>
    </row>
    <row r="127" spans="1:1" x14ac:dyDescent="0.25">
      <c r="A127" s="465"/>
    </row>
    <row r="128" spans="1:1" x14ac:dyDescent="0.25">
      <c r="A128" s="465"/>
    </row>
    <row r="129" spans="1:1" x14ac:dyDescent="0.25">
      <c r="A129" s="465"/>
    </row>
    <row r="130" spans="1:1" x14ac:dyDescent="0.25">
      <c r="A130" s="465"/>
    </row>
    <row r="131" spans="1:1" x14ac:dyDescent="0.25">
      <c r="A131" s="465"/>
    </row>
  </sheetData>
  <phoneticPr fontId="2" type="noConversion"/>
  <printOptions horizontalCentered="1"/>
  <pageMargins left="0.25" right="0.25" top="0.5" bottom="0.5" header="0.25" footer="0.25"/>
  <pageSetup scale="62" orientation="portrait" r:id="rId1"/>
  <headerFooter alignWithMargins="0">
    <oddFooter>&amp;C&amp;F &amp;D &amp;T
&amp;A</oddFooter>
  </headerFooter>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91"/>
  <sheetViews>
    <sheetView zoomScale="75" workbookViewId="0">
      <selection activeCell="I1" sqref="I1:O90"/>
    </sheetView>
  </sheetViews>
  <sheetFormatPr defaultColWidth="8.88671875" defaultRowHeight="13.2" x14ac:dyDescent="0.25"/>
  <cols>
    <col min="1" max="1" width="8.88671875" style="914" customWidth="1"/>
    <col min="2" max="12" width="14.88671875" style="914" customWidth="1"/>
    <col min="13" max="13" width="17.44140625" style="914" customWidth="1"/>
    <col min="14" max="14" width="18" style="914" customWidth="1"/>
    <col min="15" max="23" width="14.88671875" style="914" customWidth="1"/>
    <col min="24" max="16384" width="8.88671875" style="914"/>
  </cols>
  <sheetData>
    <row r="1" spans="1:16" ht="13.8" thickBot="1" x14ac:dyDescent="0.3">
      <c r="I1" s="915" t="s">
        <v>771</v>
      </c>
      <c r="M1" s="1034">
        <f ca="1">NOW()</f>
        <v>43766.598540740742</v>
      </c>
    </row>
    <row r="2" spans="1:16" ht="15.6" thickTop="1" x14ac:dyDescent="0.25">
      <c r="A2" s="916">
        <v>3</v>
      </c>
      <c r="B2" s="917" t="s">
        <v>772</v>
      </c>
      <c r="C2" s="918"/>
      <c r="D2" s="918"/>
      <c r="E2" s="918"/>
      <c r="F2" s="918"/>
      <c r="G2" s="918"/>
      <c r="H2" s="919"/>
      <c r="I2" s="917" t="s">
        <v>181</v>
      </c>
      <c r="J2" s="918"/>
      <c r="K2" s="918"/>
      <c r="L2" s="918"/>
      <c r="M2" s="918"/>
      <c r="N2" s="918"/>
      <c r="O2" s="919"/>
    </row>
    <row r="3" spans="1:16" x14ac:dyDescent="0.25">
      <c r="A3" s="916">
        <v>3</v>
      </c>
      <c r="B3" s="920"/>
      <c r="C3" s="921" t="s">
        <v>773</v>
      </c>
      <c r="D3" s="921" t="s">
        <v>774</v>
      </c>
      <c r="E3" s="921" t="s">
        <v>775</v>
      </c>
      <c r="F3" s="921" t="s">
        <v>776</v>
      </c>
      <c r="G3" s="921" t="s">
        <v>777</v>
      </c>
      <c r="H3" s="922" t="s">
        <v>265</v>
      </c>
      <c r="I3" s="920"/>
      <c r="J3" s="921" t="s">
        <v>773</v>
      </c>
      <c r="K3" s="921" t="s">
        <v>774</v>
      </c>
      <c r="L3" s="921" t="s">
        <v>775</v>
      </c>
      <c r="M3" s="921" t="s">
        <v>776</v>
      </c>
      <c r="N3" s="921" t="s">
        <v>777</v>
      </c>
      <c r="O3" s="922" t="s">
        <v>265</v>
      </c>
    </row>
    <row r="4" spans="1:16" x14ac:dyDescent="0.25">
      <c r="A4" s="916">
        <v>3</v>
      </c>
      <c r="B4" s="923" t="s">
        <v>778</v>
      </c>
      <c r="C4" s="924"/>
      <c r="D4" s="924"/>
      <c r="E4" s="924"/>
      <c r="F4" s="924"/>
      <c r="G4" s="924"/>
      <c r="H4" s="925"/>
      <c r="I4" s="923" t="s">
        <v>778</v>
      </c>
      <c r="J4" s="924"/>
      <c r="K4" s="924"/>
      <c r="L4" s="924"/>
      <c r="M4" s="924"/>
      <c r="N4" s="924"/>
      <c r="O4" s="925">
        <f>+'Avg Bill by RS'!G16</f>
        <v>15</v>
      </c>
    </row>
    <row r="5" spans="1:16" x14ac:dyDescent="0.25">
      <c r="A5" s="916">
        <v>3</v>
      </c>
      <c r="B5" s="923" t="s">
        <v>47</v>
      </c>
      <c r="C5" s="926"/>
      <c r="D5" s="926"/>
      <c r="E5" s="926"/>
      <c r="F5" s="926"/>
      <c r="G5" s="926"/>
      <c r="H5" s="927"/>
      <c r="I5" s="923" t="s">
        <v>47</v>
      </c>
      <c r="J5" s="926">
        <f>+'Rates in detail'!V16-Inputs!B16-Inputs!B18-Temporaries!AD16</f>
        <v>0.41858000000000023</v>
      </c>
      <c r="K5" s="926">
        <v>0</v>
      </c>
      <c r="L5" s="926">
        <f>+Inputs!B18</f>
        <v>0.1109</v>
      </c>
      <c r="M5" s="926">
        <f>+Inputs!B16</f>
        <v>0.20291000000000001</v>
      </c>
      <c r="N5" s="926">
        <f>+Temporaries!AD16</f>
        <v>4.7849999999999997E-2</v>
      </c>
      <c r="O5" s="927">
        <f>SUM(J5:N5)</f>
        <v>0.78024000000000016</v>
      </c>
      <c r="P5" s="972">
        <f>+O5-'Rates in summary'!Q16</f>
        <v>0</v>
      </c>
    </row>
    <row r="6" spans="1:16" ht="13.8" thickBot="1" x14ac:dyDescent="0.3">
      <c r="A6" s="916">
        <v>3</v>
      </c>
      <c r="B6" s="928" t="s">
        <v>315</v>
      </c>
      <c r="C6" s="929"/>
      <c r="D6" s="929"/>
      <c r="E6" s="930"/>
      <c r="F6" s="930"/>
      <c r="G6" s="929"/>
      <c r="H6" s="931"/>
      <c r="I6" s="928" t="s">
        <v>315</v>
      </c>
      <c r="J6" s="929">
        <f>+'Rates in detail'!V17-Inputs!B16-Inputs!B18-Temporaries!AD17</f>
        <v>0.41844999999999943</v>
      </c>
      <c r="K6" s="929">
        <v>0</v>
      </c>
      <c r="L6" s="930" t="s">
        <v>779</v>
      </c>
      <c r="M6" s="930" t="s">
        <v>779</v>
      </c>
      <c r="N6" s="929">
        <f>+Temporaries!AD17</f>
        <v>9.9999999999999967E-3</v>
      </c>
      <c r="O6" s="931">
        <f>N6+M5+L5+K6+J6</f>
        <v>0.74225999999999948</v>
      </c>
      <c r="P6" s="972">
        <f>+O6-'Rates in summary'!Q17</f>
        <v>0</v>
      </c>
    </row>
    <row r="7" spans="1:16" ht="13.8" thickTop="1" x14ac:dyDescent="0.25">
      <c r="H7" s="932"/>
    </row>
    <row r="8" spans="1:16" ht="15" x14ac:dyDescent="0.25">
      <c r="A8" s="933" t="s">
        <v>780</v>
      </c>
      <c r="B8" s="934" t="s">
        <v>772</v>
      </c>
      <c r="I8" s="934" t="s">
        <v>181</v>
      </c>
      <c r="O8" s="935"/>
    </row>
    <row r="9" spans="1:16" ht="13.8" thickBot="1" x14ac:dyDescent="0.3">
      <c r="A9" s="933" t="s">
        <v>780</v>
      </c>
      <c r="C9" s="936"/>
      <c r="D9" s="937" t="s">
        <v>773</v>
      </c>
      <c r="E9" s="937" t="s">
        <v>774</v>
      </c>
      <c r="F9" s="937" t="s">
        <v>776</v>
      </c>
      <c r="G9" s="937" t="s">
        <v>777</v>
      </c>
      <c r="H9" s="937" t="s">
        <v>265</v>
      </c>
      <c r="J9" s="936"/>
      <c r="K9" s="937" t="s">
        <v>773</v>
      </c>
      <c r="L9" s="937" t="s">
        <v>774</v>
      </c>
      <c r="M9" s="937" t="s">
        <v>776</v>
      </c>
      <c r="N9" s="937" t="s">
        <v>777</v>
      </c>
      <c r="O9" s="937" t="s">
        <v>265</v>
      </c>
    </row>
    <row r="10" spans="1:16" ht="13.8" thickTop="1" x14ac:dyDescent="0.25">
      <c r="A10" s="933" t="s">
        <v>780</v>
      </c>
      <c r="B10" s="938" t="s">
        <v>781</v>
      </c>
      <c r="C10" s="918" t="s">
        <v>782</v>
      </c>
      <c r="D10" s="918"/>
      <c r="E10" s="918"/>
      <c r="F10" s="918"/>
      <c r="G10" s="918"/>
      <c r="H10" s="939"/>
      <c r="I10" s="938" t="s">
        <v>783</v>
      </c>
      <c r="J10" s="918" t="s">
        <v>782</v>
      </c>
      <c r="K10" s="918"/>
      <c r="L10" s="918"/>
      <c r="M10" s="918"/>
      <c r="N10" s="918"/>
      <c r="O10" s="939">
        <f>+'Avg Bill by RS'!G19</f>
        <v>250</v>
      </c>
    </row>
    <row r="11" spans="1:16" x14ac:dyDescent="0.25">
      <c r="A11" s="933" t="s">
        <v>780</v>
      </c>
      <c r="B11" s="923"/>
      <c r="C11" s="936" t="s">
        <v>6</v>
      </c>
      <c r="D11" s="926"/>
      <c r="E11" s="926"/>
      <c r="F11" s="926"/>
      <c r="G11" s="926"/>
      <c r="H11" s="927"/>
      <c r="I11" s="923"/>
      <c r="J11" s="936" t="s">
        <v>6</v>
      </c>
      <c r="K11" s="926">
        <f>+'Rates in detail'!V19-Inputs!B16-Temporaries!AD19</f>
        <v>0.30164000000000024</v>
      </c>
      <c r="L11" s="926">
        <v>0</v>
      </c>
      <c r="M11" s="926">
        <f>+Inputs!B16</f>
        <v>0.20291000000000001</v>
      </c>
      <c r="N11" s="926">
        <f>+Temporaries!AD19</f>
        <v>3.8980000000000001E-2</v>
      </c>
      <c r="O11" s="927">
        <f>SUM(K11:N11)</f>
        <v>0.54353000000000029</v>
      </c>
      <c r="P11" s="972">
        <f>+O11-'Rates in detail'!V19</f>
        <v>0</v>
      </c>
    </row>
    <row r="12" spans="1:16" x14ac:dyDescent="0.25">
      <c r="A12" s="933" t="s">
        <v>780</v>
      </c>
      <c r="B12" s="923"/>
      <c r="C12" s="936" t="s">
        <v>7</v>
      </c>
      <c r="D12" s="926"/>
      <c r="E12" s="926"/>
      <c r="F12" s="940"/>
      <c r="G12" s="926"/>
      <c r="H12" s="927"/>
      <c r="I12" s="923"/>
      <c r="J12" s="936" t="s">
        <v>7</v>
      </c>
      <c r="K12" s="926">
        <f>+'Rates in detail'!V20-Inputs!B16-Temporaries!AD20</f>
        <v>0.26578999999999986</v>
      </c>
      <c r="L12" s="926">
        <v>0</v>
      </c>
      <c r="M12" s="940" t="s">
        <v>779</v>
      </c>
      <c r="N12" s="926">
        <f>+Temporaries!AD20</f>
        <v>3.5099999999999999E-2</v>
      </c>
      <c r="O12" s="927">
        <f>N12+M11+L12+K12</f>
        <v>0.5037999999999998</v>
      </c>
      <c r="P12" s="972">
        <f>+O12-'Rates in detail'!V20</f>
        <v>0</v>
      </c>
    </row>
    <row r="13" spans="1:16" x14ac:dyDescent="0.25">
      <c r="A13" s="933" t="s">
        <v>780</v>
      </c>
      <c r="B13" s="923"/>
      <c r="C13" s="936" t="s">
        <v>784</v>
      </c>
      <c r="D13" s="926"/>
      <c r="E13" s="926"/>
      <c r="F13" s="940"/>
      <c r="G13" s="926"/>
      <c r="H13" s="941"/>
      <c r="I13" s="923"/>
      <c r="J13" s="936" t="s">
        <v>784</v>
      </c>
      <c r="K13" s="926"/>
      <c r="L13" s="926"/>
      <c r="M13" s="940"/>
      <c r="N13" s="926"/>
      <c r="O13" s="941">
        <f>+Inputs!B18</f>
        <v>0.1109</v>
      </c>
    </row>
    <row r="14" spans="1:16" ht="13.8" thickBot="1" x14ac:dyDescent="0.3">
      <c r="A14" s="933" t="s">
        <v>780</v>
      </c>
      <c r="B14" s="928"/>
      <c r="C14" s="942" t="s">
        <v>785</v>
      </c>
      <c r="D14" s="942"/>
      <c r="E14" s="942"/>
      <c r="F14" s="943"/>
      <c r="G14" s="942"/>
      <c r="H14" s="944"/>
      <c r="I14" s="928"/>
      <c r="J14" s="942" t="s">
        <v>785</v>
      </c>
      <c r="K14" s="942"/>
      <c r="L14" s="942"/>
      <c r="M14" s="943"/>
      <c r="N14" s="942"/>
      <c r="O14" s="944">
        <f>+Inputs!B22</f>
        <v>1.66</v>
      </c>
    </row>
    <row r="15" spans="1:16" ht="13.8" thickTop="1" x14ac:dyDescent="0.25">
      <c r="A15" s="933" t="s">
        <v>780</v>
      </c>
      <c r="B15" s="945" t="s">
        <v>786</v>
      </c>
      <c r="C15" s="946" t="s">
        <v>782</v>
      </c>
      <c r="D15" s="946"/>
      <c r="E15" s="946"/>
      <c r="F15" s="947"/>
      <c r="G15" s="946"/>
      <c r="H15" s="948"/>
      <c r="I15" s="945" t="s">
        <v>787</v>
      </c>
      <c r="J15" s="946" t="s">
        <v>782</v>
      </c>
      <c r="K15" s="946"/>
      <c r="L15" s="946"/>
      <c r="M15" s="947"/>
      <c r="N15" s="946"/>
      <c r="O15" s="948" t="s">
        <v>779</v>
      </c>
    </row>
    <row r="16" spans="1:16" x14ac:dyDescent="0.25">
      <c r="A16" s="933" t="s">
        <v>780</v>
      </c>
      <c r="B16" s="949"/>
      <c r="C16" s="950" t="s">
        <v>6</v>
      </c>
      <c r="D16" s="951"/>
      <c r="E16" s="951"/>
      <c r="F16" s="952"/>
      <c r="G16" s="951"/>
      <c r="H16" s="953"/>
      <c r="I16" s="949"/>
      <c r="J16" s="950" t="s">
        <v>6</v>
      </c>
      <c r="K16" s="951">
        <f>+'Rates in detail'!V21-Inputs!B16-Temporaries!AD21</f>
        <v>0.30140999999999996</v>
      </c>
      <c r="L16" s="951">
        <v>0</v>
      </c>
      <c r="M16" s="952" t="s">
        <v>779</v>
      </c>
      <c r="N16" s="951">
        <f>+'Rates in detail'!N21</f>
        <v>5.6059999999999999E-2</v>
      </c>
      <c r="O16" s="962">
        <f>N16+M11+L16+K16</f>
        <v>0.56037999999999999</v>
      </c>
      <c r="P16" s="972">
        <f>+O16-'Rates in detail'!V21</f>
        <v>0</v>
      </c>
    </row>
    <row r="17" spans="1:16" x14ac:dyDescent="0.25">
      <c r="A17" s="933" t="s">
        <v>780</v>
      </c>
      <c r="B17" s="949"/>
      <c r="C17" s="950" t="s">
        <v>7</v>
      </c>
      <c r="D17" s="951"/>
      <c r="E17" s="951"/>
      <c r="F17" s="954"/>
      <c r="G17" s="951"/>
      <c r="H17" s="953"/>
      <c r="I17" s="949"/>
      <c r="J17" s="950" t="s">
        <v>7</v>
      </c>
      <c r="K17" s="951">
        <f>+'Rates in detail'!V22-Inputs!B16-Temporaries!AD22</f>
        <v>0.26555999999999991</v>
      </c>
      <c r="L17" s="951">
        <v>0</v>
      </c>
      <c r="M17" s="952" t="s">
        <v>779</v>
      </c>
      <c r="N17" s="951">
        <f>+'Rates in detail'!N22</f>
        <v>5.2400000000000002E-2</v>
      </c>
      <c r="O17" s="962">
        <f>N17+M11+L17+K17</f>
        <v>0.52086999999999994</v>
      </c>
      <c r="P17" s="972">
        <f>+O17-'Rates in detail'!V22</f>
        <v>0</v>
      </c>
    </row>
    <row r="18" spans="1:16" ht="13.8" thickBot="1" x14ac:dyDescent="0.3">
      <c r="A18" s="933" t="s">
        <v>780</v>
      </c>
      <c r="B18" s="955"/>
      <c r="C18" s="956" t="s">
        <v>788</v>
      </c>
      <c r="D18" s="956"/>
      <c r="E18" s="956"/>
      <c r="F18" s="956"/>
      <c r="G18" s="956"/>
      <c r="H18" s="957"/>
      <c r="I18" s="955"/>
      <c r="J18" s="956" t="s">
        <v>788</v>
      </c>
      <c r="K18" s="956"/>
      <c r="L18" s="956"/>
      <c r="M18" s="956"/>
      <c r="N18" s="956"/>
      <c r="O18" s="957">
        <f>+Inputs!B20</f>
        <v>3.8739999999999997E-2</v>
      </c>
    </row>
    <row r="19" spans="1:16" ht="13.8" thickTop="1" x14ac:dyDescent="0.25">
      <c r="A19" s="933" t="s">
        <v>780</v>
      </c>
      <c r="B19" s="938" t="s">
        <v>789</v>
      </c>
      <c r="C19" s="918" t="s">
        <v>790</v>
      </c>
      <c r="D19" s="918"/>
      <c r="E19" s="918"/>
      <c r="F19" s="918"/>
      <c r="G19" s="918"/>
      <c r="H19" s="958"/>
      <c r="I19" s="938" t="s">
        <v>791</v>
      </c>
      <c r="J19" s="918" t="s">
        <v>790</v>
      </c>
      <c r="K19" s="918"/>
      <c r="L19" s="918"/>
      <c r="M19" s="918"/>
      <c r="N19" s="918"/>
      <c r="O19" s="958" t="s">
        <v>779</v>
      </c>
    </row>
    <row r="20" spans="1:16" x14ac:dyDescent="0.25">
      <c r="A20" s="933" t="s">
        <v>780</v>
      </c>
      <c r="B20" s="923"/>
      <c r="C20" s="936" t="s">
        <v>792</v>
      </c>
      <c r="D20" s="936"/>
      <c r="E20" s="936"/>
      <c r="F20" s="936"/>
      <c r="G20" s="936"/>
      <c r="H20" s="925"/>
      <c r="I20" s="923"/>
      <c r="J20" s="936" t="s">
        <v>792</v>
      </c>
      <c r="K20" s="936"/>
      <c r="L20" s="936"/>
      <c r="M20" s="936"/>
      <c r="N20" s="936"/>
      <c r="O20" s="925">
        <f>+'Avg Bill by RS'!G25-'Avg Bill by RS'!G19</f>
        <v>250</v>
      </c>
    </row>
    <row r="21" spans="1:16" x14ac:dyDescent="0.25">
      <c r="A21" s="933" t="s">
        <v>780</v>
      </c>
      <c r="B21" s="923"/>
      <c r="C21" s="936" t="s">
        <v>6</v>
      </c>
      <c r="D21" s="926"/>
      <c r="E21" s="926"/>
      <c r="F21" s="937"/>
      <c r="G21" s="926"/>
      <c r="H21" s="959"/>
      <c r="I21" s="923"/>
      <c r="J21" s="936" t="s">
        <v>6</v>
      </c>
      <c r="K21" s="1141">
        <f>+'Rates in detail'!V23-Temporaries!AD23</f>
        <v>0.30076999999999998</v>
      </c>
      <c r="L21" s="926">
        <v>0</v>
      </c>
      <c r="M21" s="937" t="s">
        <v>793</v>
      </c>
      <c r="N21" s="926">
        <f>+Temporaries!AD23</f>
        <v>-4.8999999999999998E-4</v>
      </c>
      <c r="O21" s="959">
        <f>N21+L21+K21</f>
        <v>0.30027999999999999</v>
      </c>
      <c r="P21" s="972">
        <f>+O21-'Rates in detail'!V23</f>
        <v>0</v>
      </c>
    </row>
    <row r="22" spans="1:16" ht="13.8" thickBot="1" x14ac:dyDescent="0.3">
      <c r="A22" s="933" t="s">
        <v>780</v>
      </c>
      <c r="B22" s="928"/>
      <c r="C22" s="942" t="s">
        <v>7</v>
      </c>
      <c r="D22" s="926"/>
      <c r="E22" s="926"/>
      <c r="F22" s="960"/>
      <c r="G22" s="926"/>
      <c r="H22" s="961"/>
      <c r="I22" s="928"/>
      <c r="J22" s="942" t="s">
        <v>7</v>
      </c>
      <c r="K22" s="1141">
        <f>+'Rates in detail'!V24-Temporaries!AD24</f>
        <v>0.26500000000000001</v>
      </c>
      <c r="L22" s="929">
        <v>0</v>
      </c>
      <c r="M22" s="960" t="s">
        <v>793</v>
      </c>
      <c r="N22" s="926">
        <f>+Temporaries!AD24</f>
        <v>-4.2999999999999999E-4</v>
      </c>
      <c r="O22" s="961">
        <f>N22+L22+K22</f>
        <v>0.26457000000000003</v>
      </c>
      <c r="P22" s="972">
        <f>+O22-'Rates in detail'!V24</f>
        <v>0</v>
      </c>
    </row>
    <row r="23" spans="1:16" ht="13.8" thickTop="1" x14ac:dyDescent="0.25">
      <c r="A23" s="933" t="s">
        <v>780</v>
      </c>
      <c r="B23" s="945" t="s">
        <v>794</v>
      </c>
      <c r="C23" s="946" t="s">
        <v>782</v>
      </c>
      <c r="D23" s="946"/>
      <c r="E23" s="946"/>
      <c r="F23" s="946"/>
      <c r="G23" s="946"/>
      <c r="H23" s="948"/>
      <c r="I23" s="945" t="s">
        <v>795</v>
      </c>
      <c r="J23" s="946" t="s">
        <v>782</v>
      </c>
      <c r="K23" s="946"/>
      <c r="L23" s="946"/>
      <c r="M23" s="946"/>
      <c r="N23" s="946"/>
      <c r="O23" s="948" t="s">
        <v>779</v>
      </c>
    </row>
    <row r="24" spans="1:16" x14ac:dyDescent="0.25">
      <c r="A24" s="933" t="s">
        <v>780</v>
      </c>
      <c r="B24" s="949"/>
      <c r="C24" s="950" t="s">
        <v>6</v>
      </c>
      <c r="D24" s="951"/>
      <c r="E24" s="951"/>
      <c r="F24" s="952"/>
      <c r="G24" s="951"/>
      <c r="H24" s="962"/>
      <c r="I24" s="949"/>
      <c r="J24" s="950" t="s">
        <v>6</v>
      </c>
      <c r="K24" s="951">
        <f>+'Rates in detail'!V25-Inputs!B16-Temporaries!AD25</f>
        <v>0.30168000000000028</v>
      </c>
      <c r="L24" s="951">
        <v>0</v>
      </c>
      <c r="M24" s="952" t="s">
        <v>779</v>
      </c>
      <c r="N24" s="951">
        <f>+'Rates in detail'!N25</f>
        <v>9.4599999999999962E-3</v>
      </c>
      <c r="O24" s="962">
        <f>N24+M11+L24+K24</f>
        <v>0.51405000000000034</v>
      </c>
      <c r="P24" s="972">
        <f>+O24-'Rates in detail'!V25</f>
        <v>0</v>
      </c>
    </row>
    <row r="25" spans="1:16" x14ac:dyDescent="0.25">
      <c r="A25" s="933" t="s">
        <v>780</v>
      </c>
      <c r="B25" s="949"/>
      <c r="C25" s="950" t="s">
        <v>7</v>
      </c>
      <c r="D25" s="951"/>
      <c r="E25" s="951"/>
      <c r="F25" s="952"/>
      <c r="G25" s="951"/>
      <c r="H25" s="962"/>
      <c r="I25" s="949"/>
      <c r="J25" s="950" t="s">
        <v>7</v>
      </c>
      <c r="K25" s="951">
        <f>+'Rates in detail'!V26-Inputs!B16-Temporaries!AD26</f>
        <v>0.26581999999999983</v>
      </c>
      <c r="L25" s="951">
        <v>0</v>
      </c>
      <c r="M25" s="952" t="s">
        <v>779</v>
      </c>
      <c r="N25" s="951">
        <f>+'Rates in detail'!N26</f>
        <v>9.099999999999997E-3</v>
      </c>
      <c r="O25" s="962">
        <f>N25+M11+L25+K25</f>
        <v>0.47782999999999987</v>
      </c>
      <c r="P25" s="972">
        <f>+O25-'Rates in detail'!V26</f>
        <v>0</v>
      </c>
    </row>
    <row r="26" spans="1:16" x14ac:dyDescent="0.25">
      <c r="A26" s="933" t="s">
        <v>780</v>
      </c>
      <c r="B26" s="949"/>
      <c r="C26" s="950" t="s">
        <v>784</v>
      </c>
      <c r="D26" s="951"/>
      <c r="E26" s="951"/>
      <c r="F26" s="952"/>
      <c r="G26" s="951"/>
      <c r="H26" s="962"/>
      <c r="I26" s="949"/>
      <c r="J26" s="950" t="s">
        <v>784</v>
      </c>
      <c r="K26" s="951"/>
      <c r="L26" s="951"/>
      <c r="M26" s="952"/>
      <c r="N26" s="951"/>
      <c r="O26" s="962" t="s">
        <v>779</v>
      </c>
    </row>
    <row r="27" spans="1:16" ht="13.8" thickBot="1" x14ac:dyDescent="0.3">
      <c r="A27" s="933" t="s">
        <v>780</v>
      </c>
      <c r="B27" s="955"/>
      <c r="C27" s="956" t="s">
        <v>785</v>
      </c>
      <c r="D27" s="956"/>
      <c r="E27" s="956"/>
      <c r="F27" s="963"/>
      <c r="G27" s="956"/>
      <c r="H27" s="964"/>
      <c r="I27" s="955"/>
      <c r="J27" s="956" t="s">
        <v>785</v>
      </c>
      <c r="K27" s="956"/>
      <c r="L27" s="956"/>
      <c r="M27" s="963"/>
      <c r="N27" s="956"/>
      <c r="O27" s="964" t="s">
        <v>779</v>
      </c>
    </row>
    <row r="28" spans="1:16" ht="13.8" thickTop="1" x14ac:dyDescent="0.25">
      <c r="A28" s="933" t="s">
        <v>780</v>
      </c>
      <c r="B28" s="938" t="s">
        <v>796</v>
      </c>
      <c r="C28" s="918" t="s">
        <v>782</v>
      </c>
      <c r="D28" s="918"/>
      <c r="E28" s="918"/>
      <c r="F28" s="965"/>
      <c r="G28" s="918"/>
      <c r="H28" s="958"/>
      <c r="I28" s="938" t="s">
        <v>797</v>
      </c>
      <c r="J28" s="918" t="s">
        <v>782</v>
      </c>
      <c r="K28" s="918"/>
      <c r="L28" s="918"/>
      <c r="M28" s="965"/>
      <c r="N28" s="918"/>
      <c r="O28" s="958" t="s">
        <v>779</v>
      </c>
    </row>
    <row r="29" spans="1:16" x14ac:dyDescent="0.25">
      <c r="A29" s="933" t="s">
        <v>780</v>
      </c>
      <c r="B29" s="923"/>
      <c r="C29" s="936" t="s">
        <v>6</v>
      </c>
      <c r="D29" s="926"/>
      <c r="E29" s="926"/>
      <c r="F29" s="940"/>
      <c r="G29" s="926"/>
      <c r="H29" s="966"/>
      <c r="I29" s="923"/>
      <c r="J29" s="936" t="s">
        <v>6</v>
      </c>
      <c r="K29" s="926">
        <f>+'Rates in detail'!V27-Inputs!B16-Temporaries!AD27</f>
        <v>0.30141000000000001</v>
      </c>
      <c r="L29" s="926">
        <v>0</v>
      </c>
      <c r="M29" s="940" t="s">
        <v>779</v>
      </c>
      <c r="N29" s="926">
        <f>+Temporaries!AD27</f>
        <v>2.8359999999999996E-2</v>
      </c>
      <c r="O29" s="966">
        <f>N29+M11+L29+K29</f>
        <v>0.53268000000000004</v>
      </c>
      <c r="P29" s="972">
        <f>+O29-'Rates in detail'!V27</f>
        <v>0</v>
      </c>
    </row>
    <row r="30" spans="1:16" x14ac:dyDescent="0.25">
      <c r="A30" s="933" t="s">
        <v>780</v>
      </c>
      <c r="B30" s="923"/>
      <c r="C30" s="936" t="s">
        <v>7</v>
      </c>
      <c r="D30" s="926"/>
      <c r="E30" s="926"/>
      <c r="F30" s="937"/>
      <c r="G30" s="926"/>
      <c r="H30" s="966"/>
      <c r="I30" s="923"/>
      <c r="J30" s="936" t="s">
        <v>7</v>
      </c>
      <c r="K30" s="926">
        <f>+'Rates in detail'!V28-Inputs!B16-Temporaries!AD28</f>
        <v>0.26555999999999991</v>
      </c>
      <c r="L30" s="926">
        <v>0</v>
      </c>
      <c r="M30" s="937" t="s">
        <v>779</v>
      </c>
      <c r="N30" s="926">
        <f>+Temporaries!AD28</f>
        <v>2.7999999999999997E-2</v>
      </c>
      <c r="O30" s="966">
        <f>N30+M11+L30+K30</f>
        <v>0.49646999999999991</v>
      </c>
      <c r="P30" s="972">
        <f>+O30-'Rates in detail'!V28</f>
        <v>0</v>
      </c>
    </row>
    <row r="31" spans="1:16" ht="13.8" thickBot="1" x14ac:dyDescent="0.3">
      <c r="A31" s="933" t="s">
        <v>780</v>
      </c>
      <c r="B31" s="928"/>
      <c r="C31" s="942" t="s">
        <v>788</v>
      </c>
      <c r="D31" s="942"/>
      <c r="E31" s="942"/>
      <c r="F31" s="942"/>
      <c r="G31" s="942"/>
      <c r="H31" s="931"/>
      <c r="I31" s="928"/>
      <c r="J31" s="942" t="s">
        <v>788</v>
      </c>
      <c r="K31" s="942"/>
      <c r="L31" s="942"/>
      <c r="M31" s="942"/>
      <c r="N31" s="942"/>
      <c r="O31" s="931" t="s">
        <v>779</v>
      </c>
    </row>
    <row r="32" spans="1:16" ht="13.8" thickTop="1" x14ac:dyDescent="0.25">
      <c r="A32" s="933" t="s">
        <v>780</v>
      </c>
      <c r="B32" s="945" t="s">
        <v>798</v>
      </c>
      <c r="C32" s="946" t="s">
        <v>790</v>
      </c>
      <c r="D32" s="946"/>
      <c r="E32" s="946"/>
      <c r="F32" s="946"/>
      <c r="G32" s="946"/>
      <c r="H32" s="948"/>
      <c r="I32" s="945" t="s">
        <v>799</v>
      </c>
      <c r="J32" s="946" t="s">
        <v>790</v>
      </c>
      <c r="K32" s="946"/>
      <c r="L32" s="946"/>
      <c r="M32" s="946"/>
      <c r="N32" s="946"/>
      <c r="O32" s="948" t="s">
        <v>779</v>
      </c>
    </row>
    <row r="33" spans="1:16" x14ac:dyDescent="0.25">
      <c r="A33" s="933" t="s">
        <v>780</v>
      </c>
      <c r="B33" s="949"/>
      <c r="C33" s="950" t="s">
        <v>792</v>
      </c>
      <c r="D33" s="950"/>
      <c r="E33" s="950"/>
      <c r="F33" s="950"/>
      <c r="G33" s="950"/>
      <c r="H33" s="967"/>
      <c r="I33" s="949"/>
      <c r="J33" s="950" t="s">
        <v>792</v>
      </c>
      <c r="K33" s="950"/>
      <c r="L33" s="950"/>
      <c r="M33" s="950"/>
      <c r="N33" s="950"/>
      <c r="O33" s="967" t="s">
        <v>779</v>
      </c>
    </row>
    <row r="34" spans="1:16" x14ac:dyDescent="0.25">
      <c r="A34" s="933" t="s">
        <v>780</v>
      </c>
      <c r="B34" s="949"/>
      <c r="C34" s="950" t="s">
        <v>6</v>
      </c>
      <c r="D34" s="951"/>
      <c r="E34" s="951"/>
      <c r="F34" s="954"/>
      <c r="G34" s="951"/>
      <c r="H34" s="968"/>
      <c r="I34" s="949"/>
      <c r="J34" s="950" t="s">
        <v>6</v>
      </c>
      <c r="K34" s="951">
        <f>+'Rates in detail'!V23-Temporaries!AD23</f>
        <v>0.30076999999999998</v>
      </c>
      <c r="L34" s="951">
        <v>0</v>
      </c>
      <c r="M34" s="954" t="s">
        <v>793</v>
      </c>
      <c r="N34" s="951">
        <f>+Temporaries!AD23</f>
        <v>-4.8999999999999998E-4</v>
      </c>
      <c r="O34" s="968">
        <f>N34+L34+K34</f>
        <v>0.30027999999999999</v>
      </c>
      <c r="P34" s="972">
        <f>+O34-'Rates in detail'!V23</f>
        <v>0</v>
      </c>
    </row>
    <row r="35" spans="1:16" ht="13.8" thickBot="1" x14ac:dyDescent="0.3">
      <c r="A35" s="933" t="s">
        <v>780</v>
      </c>
      <c r="B35" s="955"/>
      <c r="C35" s="956" t="s">
        <v>7</v>
      </c>
      <c r="D35" s="969"/>
      <c r="E35" s="969"/>
      <c r="F35" s="970"/>
      <c r="G35" s="969"/>
      <c r="H35" s="971"/>
      <c r="I35" s="955"/>
      <c r="J35" s="956" t="s">
        <v>7</v>
      </c>
      <c r="K35" s="969">
        <f>+'Rates in detail'!V24-Temporaries!AD24</f>
        <v>0.26500000000000001</v>
      </c>
      <c r="L35" s="969">
        <v>0</v>
      </c>
      <c r="M35" s="970" t="s">
        <v>793</v>
      </c>
      <c r="N35" s="969">
        <f>+Temporaries!AD24</f>
        <v>-4.2999999999999999E-4</v>
      </c>
      <c r="O35" s="971">
        <f>N35+L35+K35</f>
        <v>0.26457000000000003</v>
      </c>
      <c r="P35" s="972">
        <f>+O35-'Rates in detail'!V24</f>
        <v>0</v>
      </c>
    </row>
    <row r="36" spans="1:16" ht="13.8" thickTop="1" x14ac:dyDescent="0.25">
      <c r="H36" s="972"/>
    </row>
    <row r="37" spans="1:16" ht="15" x14ac:dyDescent="0.25">
      <c r="A37" s="933" t="s">
        <v>800</v>
      </c>
      <c r="B37" s="973" t="s">
        <v>772</v>
      </c>
      <c r="C37" s="974"/>
      <c r="D37" s="975"/>
      <c r="E37" s="936"/>
      <c r="F37" s="936"/>
      <c r="G37" s="936"/>
      <c r="H37" s="936"/>
      <c r="I37" s="976" t="s">
        <v>181</v>
      </c>
      <c r="J37" s="936"/>
      <c r="K37" s="936"/>
      <c r="L37" s="936"/>
      <c r="M37" s="936"/>
      <c r="N37" s="936"/>
      <c r="O37" s="977"/>
    </row>
    <row r="38" spans="1:16" ht="13.8" thickBot="1" x14ac:dyDescent="0.3">
      <c r="A38" s="933" t="s">
        <v>800</v>
      </c>
      <c r="B38" s="974"/>
      <c r="C38" s="974"/>
      <c r="D38" s="978" t="s">
        <v>773</v>
      </c>
      <c r="E38" s="937" t="s">
        <v>774</v>
      </c>
      <c r="F38" s="937" t="s">
        <v>776</v>
      </c>
      <c r="G38" s="937" t="s">
        <v>777</v>
      </c>
      <c r="H38" s="937" t="s">
        <v>265</v>
      </c>
      <c r="I38" s="936"/>
      <c r="J38" s="936"/>
      <c r="K38" s="937" t="s">
        <v>773</v>
      </c>
      <c r="L38" s="937" t="s">
        <v>774</v>
      </c>
      <c r="M38" s="937" t="s">
        <v>776</v>
      </c>
      <c r="N38" s="937" t="s">
        <v>777</v>
      </c>
      <c r="O38" s="979" t="s">
        <v>265</v>
      </c>
    </row>
    <row r="39" spans="1:16" ht="13.8" thickTop="1" x14ac:dyDescent="0.25">
      <c r="A39" s="933" t="s">
        <v>800</v>
      </c>
      <c r="B39" s="980" t="s">
        <v>801</v>
      </c>
      <c r="C39" s="981" t="s">
        <v>782</v>
      </c>
      <c r="D39" s="981"/>
      <c r="E39" s="981"/>
      <c r="F39" s="981"/>
      <c r="G39" s="981"/>
      <c r="H39" s="982"/>
      <c r="I39" s="980" t="s">
        <v>802</v>
      </c>
      <c r="J39" s="981" t="s">
        <v>782</v>
      </c>
      <c r="K39" s="983"/>
      <c r="L39" s="983"/>
      <c r="M39" s="983"/>
      <c r="N39" s="984"/>
      <c r="O39" s="982">
        <f>+'Avg Bill by RS'!G34</f>
        <v>1300</v>
      </c>
    </row>
    <row r="40" spans="1:16" x14ac:dyDescent="0.25">
      <c r="A40" s="933" t="s">
        <v>800</v>
      </c>
      <c r="B40" s="985" t="s">
        <v>803</v>
      </c>
      <c r="C40" s="986" t="s">
        <v>6</v>
      </c>
      <c r="D40" s="987"/>
      <c r="E40" s="987"/>
      <c r="F40" s="987"/>
      <c r="G40" s="987"/>
      <c r="H40" s="988"/>
      <c r="I40" s="985" t="s">
        <v>804</v>
      </c>
      <c r="J40" s="986" t="s">
        <v>6</v>
      </c>
      <c r="K40" s="987">
        <f>+'Rates in detail'!V29-Inputs!$B$16-Temporaries!AD29</f>
        <v>0.11876999999999999</v>
      </c>
      <c r="L40" s="987">
        <v>0</v>
      </c>
      <c r="M40" s="987">
        <f>+Inputs!B16</f>
        <v>0.20291000000000001</v>
      </c>
      <c r="N40" s="987">
        <f>+Temporaries!AD29</f>
        <v>2.4049999999999995E-2</v>
      </c>
      <c r="O40" s="988">
        <f>SUM(K40:N40)</f>
        <v>0.34572999999999998</v>
      </c>
      <c r="P40" s="972">
        <f>+O40-'Rates in detail'!V29</f>
        <v>0</v>
      </c>
    </row>
    <row r="41" spans="1:16" x14ac:dyDescent="0.25">
      <c r="A41" s="933" t="s">
        <v>800</v>
      </c>
      <c r="B41" s="985"/>
      <c r="C41" s="986" t="s">
        <v>7</v>
      </c>
      <c r="D41" s="987"/>
      <c r="E41" s="987"/>
      <c r="F41" s="989"/>
      <c r="G41" s="987"/>
      <c r="H41" s="988"/>
      <c r="I41" s="985"/>
      <c r="J41" s="986" t="s">
        <v>7</v>
      </c>
      <c r="K41" s="987">
        <f>+'Rates in detail'!V30-Inputs!$B$16-Temporaries!AD30</f>
        <v>0.10631999999999979</v>
      </c>
      <c r="L41" s="987">
        <v>0</v>
      </c>
      <c r="M41" s="989" t="s">
        <v>779</v>
      </c>
      <c r="N41" s="987">
        <f>+Temporaries!AD30</f>
        <v>2.2209999999999997E-2</v>
      </c>
      <c r="O41" s="988">
        <f t="shared" ref="O41:O51" si="0">K41+L41+$M$40+N41</f>
        <v>0.33143999999999979</v>
      </c>
      <c r="P41" s="972">
        <f>+O41-'Rates in detail'!V30</f>
        <v>0</v>
      </c>
    </row>
    <row r="42" spans="1:16" x14ac:dyDescent="0.25">
      <c r="A42" s="933" t="s">
        <v>800</v>
      </c>
      <c r="B42" s="985"/>
      <c r="C42" s="986" t="s">
        <v>8</v>
      </c>
      <c r="D42" s="987"/>
      <c r="E42" s="987"/>
      <c r="F42" s="989"/>
      <c r="G42" s="987"/>
      <c r="H42" s="988"/>
      <c r="I42" s="985"/>
      <c r="J42" s="986" t="s">
        <v>8</v>
      </c>
      <c r="K42" s="987">
        <f>+'Rates in detail'!V31-Inputs!$B$16-Temporaries!AD31</f>
        <v>8.1539999999999904E-2</v>
      </c>
      <c r="L42" s="987">
        <v>0</v>
      </c>
      <c r="M42" s="989" t="s">
        <v>779</v>
      </c>
      <c r="N42" s="987">
        <f>+Temporaries!AD31</f>
        <v>1.8519999999999995E-2</v>
      </c>
      <c r="O42" s="988">
        <f t="shared" si="0"/>
        <v>0.30296999999999991</v>
      </c>
      <c r="P42" s="972">
        <f>+O42-'Rates in detail'!V31</f>
        <v>0</v>
      </c>
    </row>
    <row r="43" spans="1:16" x14ac:dyDescent="0.25">
      <c r="A43" s="933" t="s">
        <v>800</v>
      </c>
      <c r="B43" s="985"/>
      <c r="C43" s="986" t="s">
        <v>9</v>
      </c>
      <c r="D43" s="987"/>
      <c r="E43" s="987"/>
      <c r="F43" s="989"/>
      <c r="G43" s="987"/>
      <c r="H43" s="988"/>
      <c r="I43" s="985"/>
      <c r="J43" s="986" t="s">
        <v>9</v>
      </c>
      <c r="K43" s="987">
        <f>+'Rates in detail'!V32-Inputs!$B$16-Temporaries!AD32</f>
        <v>6.5230000000000204E-2</v>
      </c>
      <c r="L43" s="987">
        <v>0</v>
      </c>
      <c r="M43" s="989" t="s">
        <v>779</v>
      </c>
      <c r="N43" s="987">
        <f>+Temporaries!AD32</f>
        <v>1.6099999999999996E-2</v>
      </c>
      <c r="O43" s="988">
        <f t="shared" si="0"/>
        <v>0.28424000000000021</v>
      </c>
      <c r="P43" s="972">
        <f>+O43-'Rates in detail'!V32</f>
        <v>0</v>
      </c>
    </row>
    <row r="44" spans="1:16" x14ac:dyDescent="0.25">
      <c r="A44" s="933" t="s">
        <v>800</v>
      </c>
      <c r="B44" s="985"/>
      <c r="C44" s="986" t="s">
        <v>10</v>
      </c>
      <c r="D44" s="987"/>
      <c r="E44" s="987"/>
      <c r="F44" s="989"/>
      <c r="G44" s="987"/>
      <c r="H44" s="988"/>
      <c r="I44" s="985"/>
      <c r="J44" s="986" t="s">
        <v>10</v>
      </c>
      <c r="K44" s="987">
        <f>+'Rates in detail'!V33-Inputs!$B$16-Temporaries!AD33</f>
        <v>4.3479999999999908E-2</v>
      </c>
      <c r="L44" s="987">
        <v>0</v>
      </c>
      <c r="M44" s="989" t="s">
        <v>779</v>
      </c>
      <c r="N44" s="987">
        <f>+Temporaries!AD33</f>
        <v>1.2849999999999997E-2</v>
      </c>
      <c r="O44" s="988">
        <f t="shared" si="0"/>
        <v>0.25923999999999991</v>
      </c>
      <c r="P44" s="972">
        <f>+O44-'Rates in detail'!V33</f>
        <v>0</v>
      </c>
    </row>
    <row r="45" spans="1:16" ht="13.8" thickBot="1" x14ac:dyDescent="0.3">
      <c r="A45" s="933" t="s">
        <v>800</v>
      </c>
      <c r="B45" s="990"/>
      <c r="C45" s="974" t="s">
        <v>11</v>
      </c>
      <c r="D45" s="987"/>
      <c r="E45" s="987"/>
      <c r="F45" s="991"/>
      <c r="G45" s="987"/>
      <c r="H45" s="992"/>
      <c r="I45" s="990"/>
      <c r="J45" s="974" t="s">
        <v>11</v>
      </c>
      <c r="K45" s="993">
        <f>+'Rates in detail'!V34-Inputs!$B$16-Temporaries!AD34</f>
        <v>1.6300000000000071E-2</v>
      </c>
      <c r="L45" s="993">
        <v>0</v>
      </c>
      <c r="M45" s="991" t="s">
        <v>779</v>
      </c>
      <c r="N45" s="993">
        <f>+Temporaries!AD34</f>
        <v>8.7999999999999971E-3</v>
      </c>
      <c r="O45" s="992">
        <f t="shared" si="0"/>
        <v>0.22801000000000007</v>
      </c>
      <c r="P45" s="972">
        <f>+O45-'Rates in detail'!V34</f>
        <v>0</v>
      </c>
    </row>
    <row r="46" spans="1:16" ht="13.8" thickTop="1" x14ac:dyDescent="0.25">
      <c r="A46" s="933" t="s">
        <v>800</v>
      </c>
      <c r="B46" s="980" t="s">
        <v>805</v>
      </c>
      <c r="C46" s="981" t="s">
        <v>6</v>
      </c>
      <c r="D46" s="994"/>
      <c r="E46" s="994"/>
      <c r="F46" s="995"/>
      <c r="G46" s="994"/>
      <c r="H46" s="996"/>
      <c r="I46" s="980" t="s">
        <v>806</v>
      </c>
      <c r="J46" s="981" t="s">
        <v>6</v>
      </c>
      <c r="K46" s="994">
        <f>+'Rates in detail'!V35-Inputs!$B$16-Temporaries!AD35</f>
        <v>0.11871000000000004</v>
      </c>
      <c r="L46" s="994">
        <v>0</v>
      </c>
      <c r="M46" s="995" t="s">
        <v>779</v>
      </c>
      <c r="N46" s="994">
        <f>+Temporaries!AD35</f>
        <v>8.289999999999997E-3</v>
      </c>
      <c r="O46" s="996">
        <f t="shared" si="0"/>
        <v>0.32991000000000004</v>
      </c>
      <c r="P46" s="972">
        <f>+O46-'Rates in detail'!V35</f>
        <v>0</v>
      </c>
    </row>
    <row r="47" spans="1:16" x14ac:dyDescent="0.25">
      <c r="A47" s="933" t="s">
        <v>800</v>
      </c>
      <c r="B47" s="985"/>
      <c r="C47" s="986" t="s">
        <v>7</v>
      </c>
      <c r="D47" s="987"/>
      <c r="E47" s="987"/>
      <c r="F47" s="989"/>
      <c r="G47" s="987"/>
      <c r="H47" s="988"/>
      <c r="I47" s="985"/>
      <c r="J47" s="986" t="s">
        <v>7</v>
      </c>
      <c r="K47" s="987">
        <f>+'Rates in detail'!V36-Inputs!$B$16-Temporaries!AD36</f>
        <v>0.10626000000000005</v>
      </c>
      <c r="L47" s="987">
        <v>0</v>
      </c>
      <c r="M47" s="989" t="s">
        <v>779</v>
      </c>
      <c r="N47" s="987">
        <f>+Temporaries!AD36</f>
        <v>8.0999999999999961E-3</v>
      </c>
      <c r="O47" s="988">
        <f t="shared" si="0"/>
        <v>0.31727000000000005</v>
      </c>
      <c r="P47" s="972">
        <f>+O47-'Rates in detail'!V36</f>
        <v>0</v>
      </c>
    </row>
    <row r="48" spans="1:16" x14ac:dyDescent="0.25">
      <c r="A48" s="933" t="s">
        <v>800</v>
      </c>
      <c r="B48" s="985"/>
      <c r="C48" s="986" t="s">
        <v>8</v>
      </c>
      <c r="D48" s="987"/>
      <c r="E48" s="987"/>
      <c r="F48" s="989"/>
      <c r="G48" s="987"/>
      <c r="H48" s="988"/>
      <c r="I48" s="985"/>
      <c r="J48" s="986" t="s">
        <v>8</v>
      </c>
      <c r="K48" s="987">
        <f>+'Rates in detail'!V37-Inputs!$B$16-Temporaries!AD37</f>
        <v>8.1489999999999896E-2</v>
      </c>
      <c r="L48" s="987">
        <v>0</v>
      </c>
      <c r="M48" s="989" t="s">
        <v>779</v>
      </c>
      <c r="N48" s="987">
        <f>+Temporaries!AD37</f>
        <v>7.6899999999999972E-3</v>
      </c>
      <c r="O48" s="988">
        <f t="shared" si="0"/>
        <v>0.29208999999999985</v>
      </c>
      <c r="P48" s="972">
        <f>+O48-'Rates in detail'!V37</f>
        <v>0</v>
      </c>
    </row>
    <row r="49" spans="1:16" x14ac:dyDescent="0.25">
      <c r="A49" s="933" t="s">
        <v>800</v>
      </c>
      <c r="B49" s="985"/>
      <c r="C49" s="986" t="s">
        <v>9</v>
      </c>
      <c r="D49" s="987"/>
      <c r="E49" s="987"/>
      <c r="F49" s="989"/>
      <c r="G49" s="987"/>
      <c r="H49" s="988"/>
      <c r="I49" s="985"/>
      <c r="J49" s="986" t="s">
        <v>9</v>
      </c>
      <c r="K49" s="987">
        <f>+'Rates in detail'!V38-Inputs!$B$16-Temporaries!AD38</f>
        <v>6.5190000000000164E-2</v>
      </c>
      <c r="L49" s="987">
        <v>0</v>
      </c>
      <c r="M49" s="989" t="s">
        <v>779</v>
      </c>
      <c r="N49" s="987">
        <f>+Temporaries!AD38</f>
        <v>7.4299999999999965E-3</v>
      </c>
      <c r="O49" s="988">
        <f t="shared" si="0"/>
        <v>0.27553000000000016</v>
      </c>
      <c r="P49" s="972">
        <f>+O49-'Rates in detail'!V38</f>
        <v>0</v>
      </c>
    </row>
    <row r="50" spans="1:16" x14ac:dyDescent="0.25">
      <c r="A50" s="933" t="s">
        <v>800</v>
      </c>
      <c r="B50" s="985"/>
      <c r="C50" s="986" t="s">
        <v>10</v>
      </c>
      <c r="D50" s="987"/>
      <c r="E50" s="987"/>
      <c r="F50" s="989"/>
      <c r="G50" s="987"/>
      <c r="H50" s="988"/>
      <c r="I50" s="985"/>
      <c r="J50" s="986" t="s">
        <v>10</v>
      </c>
      <c r="K50" s="987">
        <f>+'Rates in detail'!V39-Inputs!$B$16-Temporaries!AD39</f>
        <v>4.3470000000000182E-2</v>
      </c>
      <c r="L50" s="987">
        <v>0</v>
      </c>
      <c r="M50" s="989" t="s">
        <v>779</v>
      </c>
      <c r="N50" s="987">
        <f>+Temporaries!AD39</f>
        <v>7.0799999999999969E-3</v>
      </c>
      <c r="O50" s="988">
        <f t="shared" si="0"/>
        <v>0.25346000000000019</v>
      </c>
      <c r="P50" s="972">
        <f>+O50-'Rates in detail'!V39</f>
        <v>0</v>
      </c>
    </row>
    <row r="51" spans="1:16" ht="13.8" thickBot="1" x14ac:dyDescent="0.3">
      <c r="A51" s="933" t="s">
        <v>800</v>
      </c>
      <c r="B51" s="997"/>
      <c r="C51" s="998" t="s">
        <v>11</v>
      </c>
      <c r="D51" s="999"/>
      <c r="E51" s="999"/>
      <c r="F51" s="1000"/>
      <c r="G51" s="999"/>
      <c r="H51" s="1001"/>
      <c r="I51" s="997"/>
      <c r="J51" s="998" t="s">
        <v>11</v>
      </c>
      <c r="K51" s="999">
        <f>+'Rates in detail'!V40-Inputs!$B$16-Temporaries!AD40</f>
        <v>1.6289999999999926E-2</v>
      </c>
      <c r="L51" s="999">
        <v>0</v>
      </c>
      <c r="M51" s="1000" t="s">
        <v>779</v>
      </c>
      <c r="N51" s="999">
        <f>+Temporaries!AD40</f>
        <v>6.6399999999999966E-3</v>
      </c>
      <c r="O51" s="1001">
        <f t="shared" si="0"/>
        <v>0.22583999999999993</v>
      </c>
      <c r="P51" s="972">
        <f>+O51-'Rates in detail'!V40</f>
        <v>0</v>
      </c>
    </row>
    <row r="52" spans="1:16" ht="13.8" thickTop="1" x14ac:dyDescent="0.25">
      <c r="A52" s="933" t="s">
        <v>800</v>
      </c>
      <c r="B52" s="1002" t="s">
        <v>801</v>
      </c>
      <c r="C52" s="1003" t="s">
        <v>807</v>
      </c>
      <c r="D52" s="1004"/>
      <c r="E52" s="1004"/>
      <c r="F52" s="1005"/>
      <c r="G52" s="1004"/>
      <c r="H52" s="1006"/>
      <c r="I52" s="1002" t="s">
        <v>802</v>
      </c>
      <c r="J52" s="1003" t="s">
        <v>807</v>
      </c>
      <c r="K52" s="1004"/>
      <c r="L52" s="1004"/>
      <c r="M52" s="1005"/>
      <c r="N52" s="1004"/>
      <c r="O52" s="1007">
        <f>+Inputs!B24</f>
        <v>0.15748000000000001</v>
      </c>
    </row>
    <row r="53" spans="1:16" x14ac:dyDescent="0.25">
      <c r="A53" s="933" t="s">
        <v>800</v>
      </c>
      <c r="B53" s="985"/>
      <c r="C53" s="986" t="s">
        <v>808</v>
      </c>
      <c r="D53" s="1008"/>
      <c r="E53" s="1008"/>
      <c r="F53" s="989"/>
      <c r="G53" s="1008"/>
      <c r="H53" s="1006"/>
      <c r="I53" s="985"/>
      <c r="J53" s="986" t="s">
        <v>808</v>
      </c>
      <c r="K53" s="1008"/>
      <c r="L53" s="1008"/>
      <c r="M53" s="989"/>
      <c r="N53" s="1008"/>
      <c r="O53" s="1009">
        <f>+Inputs!B26</f>
        <v>0.20415</v>
      </c>
    </row>
    <row r="54" spans="1:16" x14ac:dyDescent="0.25">
      <c r="A54" s="933" t="s">
        <v>800</v>
      </c>
      <c r="B54" s="985"/>
      <c r="C54" s="986" t="s">
        <v>809</v>
      </c>
      <c r="D54" s="1008"/>
      <c r="E54" s="1008"/>
      <c r="F54" s="989"/>
      <c r="G54" s="1008"/>
      <c r="H54" s="1010"/>
      <c r="I54" s="985"/>
      <c r="J54" s="986" t="s">
        <v>809</v>
      </c>
      <c r="K54" s="1008"/>
      <c r="L54" s="1008"/>
      <c r="M54" s="989"/>
      <c r="N54" s="1008"/>
      <c r="O54" s="1009">
        <f>+Inputs!B18</f>
        <v>0.1109</v>
      </c>
    </row>
    <row r="55" spans="1:16" ht="13.8" thickBot="1" x14ac:dyDescent="0.3">
      <c r="A55" s="933" t="s">
        <v>800</v>
      </c>
      <c r="B55" s="997"/>
      <c r="C55" s="1011" t="s">
        <v>810</v>
      </c>
      <c r="D55" s="1012"/>
      <c r="E55" s="1012"/>
      <c r="F55" s="1000"/>
      <c r="G55" s="1012"/>
      <c r="H55" s="1013"/>
      <c r="I55" s="997"/>
      <c r="J55" s="1011" t="s">
        <v>810</v>
      </c>
      <c r="K55" s="1012"/>
      <c r="L55" s="1012"/>
      <c r="M55" s="1000"/>
      <c r="N55" s="1012"/>
      <c r="O55" s="1057">
        <f>+Inputs!B22</f>
        <v>1.66</v>
      </c>
    </row>
    <row r="56" spans="1:16" ht="13.8" thickTop="1" x14ac:dyDescent="0.25">
      <c r="A56" s="933" t="s">
        <v>800</v>
      </c>
      <c r="B56" s="1159" t="s">
        <v>864</v>
      </c>
      <c r="C56" s="1003" t="s">
        <v>782</v>
      </c>
      <c r="D56" s="1004"/>
      <c r="E56" s="1004"/>
      <c r="F56" s="1005"/>
      <c r="G56" s="1004"/>
      <c r="H56" s="1014"/>
      <c r="I56" s="1165" t="s">
        <v>866</v>
      </c>
      <c r="J56" s="981" t="s">
        <v>782</v>
      </c>
      <c r="K56" s="1015"/>
      <c r="L56" s="1015"/>
      <c r="M56" s="995"/>
      <c r="N56" s="1015"/>
      <c r="O56" s="1016" t="s">
        <v>779</v>
      </c>
    </row>
    <row r="57" spans="1:16" x14ac:dyDescent="0.25">
      <c r="A57" s="933" t="s">
        <v>800</v>
      </c>
      <c r="B57" s="985"/>
      <c r="C57" s="986" t="s">
        <v>6</v>
      </c>
      <c r="D57" s="987"/>
      <c r="E57" s="987"/>
      <c r="F57" s="989"/>
      <c r="G57" s="987"/>
      <c r="H57" s="988"/>
      <c r="I57" s="985"/>
      <c r="J57" s="986" t="s">
        <v>6</v>
      </c>
      <c r="K57" s="987">
        <f>+'Rates in detail'!V47-Inputs!$B$16-Temporaries!AD47</f>
        <v>0.11855999999999998</v>
      </c>
      <c r="L57" s="987">
        <v>0</v>
      </c>
      <c r="M57" s="989" t="s">
        <v>779</v>
      </c>
      <c r="N57" s="987">
        <f>+Temporaries!AD47</f>
        <v>3.8870000000000002E-2</v>
      </c>
      <c r="O57" s="988">
        <f t="shared" ref="O57:O62" si="1">K57+L57+$M$40+N57</f>
        <v>0.36033999999999999</v>
      </c>
      <c r="P57" s="972">
        <f>+O57-'Rates in detail'!V47</f>
        <v>0</v>
      </c>
    </row>
    <row r="58" spans="1:16" x14ac:dyDescent="0.25">
      <c r="A58" s="933" t="s">
        <v>800</v>
      </c>
      <c r="B58" s="985"/>
      <c r="C58" s="986" t="s">
        <v>7</v>
      </c>
      <c r="D58" s="987"/>
      <c r="E58" s="987"/>
      <c r="F58" s="989"/>
      <c r="G58" s="987"/>
      <c r="H58" s="988"/>
      <c r="I58" s="985"/>
      <c r="J58" s="986" t="s">
        <v>7</v>
      </c>
      <c r="K58" s="987">
        <f>+'Rates in detail'!V48-Inputs!$B$16-Temporaries!AD48</f>
        <v>0.10611999999999989</v>
      </c>
      <c r="L58" s="987">
        <v>0</v>
      </c>
      <c r="M58" s="989" t="s">
        <v>779</v>
      </c>
      <c r="N58" s="987">
        <f>+Temporaries!AD48</f>
        <v>3.7449999999999997E-2</v>
      </c>
      <c r="O58" s="988">
        <f t="shared" si="1"/>
        <v>0.3464799999999999</v>
      </c>
      <c r="P58" s="972">
        <f>+O58-'Rates in detail'!V48</f>
        <v>0</v>
      </c>
    </row>
    <row r="59" spans="1:16" x14ac:dyDescent="0.25">
      <c r="A59" s="933" t="s">
        <v>800</v>
      </c>
      <c r="B59" s="985"/>
      <c r="C59" s="986" t="s">
        <v>8</v>
      </c>
      <c r="D59" s="987"/>
      <c r="E59" s="987"/>
      <c r="F59" s="989"/>
      <c r="G59" s="987"/>
      <c r="H59" s="988"/>
      <c r="I59" s="985"/>
      <c r="J59" s="986" t="s">
        <v>8</v>
      </c>
      <c r="K59" s="987">
        <f>+'Rates in detail'!V49-Inputs!$B$16-Temporaries!AD49</f>
        <v>8.1380000000000077E-2</v>
      </c>
      <c r="L59" s="987">
        <v>0</v>
      </c>
      <c r="M59" s="989" t="s">
        <v>779</v>
      </c>
      <c r="N59" s="987">
        <f>+Temporaries!AD49</f>
        <v>3.4619999999999998E-2</v>
      </c>
      <c r="O59" s="988">
        <f t="shared" si="1"/>
        <v>0.31891000000000008</v>
      </c>
      <c r="P59" s="972">
        <f>+O59-'Rates in detail'!V49</f>
        <v>0</v>
      </c>
    </row>
    <row r="60" spans="1:16" x14ac:dyDescent="0.25">
      <c r="A60" s="933" t="s">
        <v>800</v>
      </c>
      <c r="B60" s="985"/>
      <c r="C60" s="986" t="s">
        <v>9</v>
      </c>
      <c r="D60" s="987"/>
      <c r="E60" s="987"/>
      <c r="F60" s="989"/>
      <c r="G60" s="987"/>
      <c r="H60" s="988"/>
      <c r="I60" s="985"/>
      <c r="J60" s="986" t="s">
        <v>9</v>
      </c>
      <c r="K60" s="987">
        <f>+'Rates in detail'!V50-Inputs!$B$16-Temporaries!AD50</f>
        <v>6.5099999999999922E-2</v>
      </c>
      <c r="L60" s="987">
        <v>0</v>
      </c>
      <c r="M60" s="989" t="s">
        <v>779</v>
      </c>
      <c r="N60" s="987">
        <f>+Temporaries!AD50</f>
        <v>3.2759999999999997E-2</v>
      </c>
      <c r="O60" s="988">
        <f t="shared" si="1"/>
        <v>0.30076999999999993</v>
      </c>
      <c r="P60" s="972">
        <f>+O60-'Rates in detail'!V50</f>
        <v>0</v>
      </c>
    </row>
    <row r="61" spans="1:16" x14ac:dyDescent="0.25">
      <c r="A61" s="933" t="s">
        <v>800</v>
      </c>
      <c r="B61" s="985"/>
      <c r="C61" s="986" t="s">
        <v>10</v>
      </c>
      <c r="D61" s="987"/>
      <c r="E61" s="987"/>
      <c r="F61" s="989"/>
      <c r="G61" s="987"/>
      <c r="H61" s="988"/>
      <c r="I61" s="985"/>
      <c r="J61" s="986" t="s">
        <v>10</v>
      </c>
      <c r="K61" s="987">
        <f>+'Rates in detail'!V51-Inputs!$B$16-Temporaries!AD51</f>
        <v>4.3400000000000008E-2</v>
      </c>
      <c r="L61" s="987">
        <v>0</v>
      </c>
      <c r="M61" s="989" t="s">
        <v>779</v>
      </c>
      <c r="N61" s="987">
        <f>+Temporaries!AD51</f>
        <v>3.0289999999999997E-2</v>
      </c>
      <c r="O61" s="988">
        <f t="shared" si="1"/>
        <v>0.27660000000000001</v>
      </c>
      <c r="P61" s="972">
        <f>+O61-'Rates in detail'!V51</f>
        <v>0</v>
      </c>
    </row>
    <row r="62" spans="1:16" x14ac:dyDescent="0.25">
      <c r="A62" s="933" t="s">
        <v>800</v>
      </c>
      <c r="B62" s="985"/>
      <c r="C62" s="986" t="s">
        <v>11</v>
      </c>
      <c r="D62" s="987"/>
      <c r="E62" s="987"/>
      <c r="F62" s="989"/>
      <c r="G62" s="987"/>
      <c r="H62" s="988"/>
      <c r="I62" s="985"/>
      <c r="J62" s="986" t="s">
        <v>11</v>
      </c>
      <c r="K62" s="987">
        <f>+'Rates in detail'!V52-Inputs!$B$16-Temporaries!AD52</f>
        <v>1.6279999999999899E-2</v>
      </c>
      <c r="L62" s="987">
        <v>0</v>
      </c>
      <c r="M62" s="989" t="s">
        <v>779</v>
      </c>
      <c r="N62" s="987">
        <f>+Temporaries!AD52</f>
        <v>2.7189999999999999E-2</v>
      </c>
      <c r="O62" s="988">
        <f t="shared" si="1"/>
        <v>0.2463799999999999</v>
      </c>
      <c r="P62" s="972">
        <f>+O62-'Rates in detail'!V52</f>
        <v>0</v>
      </c>
    </row>
    <row r="63" spans="1:16" x14ac:dyDescent="0.25">
      <c r="A63" s="933" t="s">
        <v>800</v>
      </c>
      <c r="B63" s="990"/>
      <c r="C63" s="974" t="s">
        <v>811</v>
      </c>
      <c r="D63" s="1017"/>
      <c r="E63" s="1017"/>
      <c r="F63" s="991"/>
      <c r="G63" s="1017"/>
      <c r="H63" s="1018"/>
      <c r="I63" s="990"/>
      <c r="J63" s="974" t="s">
        <v>811</v>
      </c>
      <c r="K63" s="1008"/>
      <c r="L63" s="1008"/>
      <c r="M63" s="989"/>
      <c r="N63" s="1008"/>
      <c r="O63" s="1010">
        <f>+Inputs!B20</f>
        <v>3.8739999999999997E-2</v>
      </c>
    </row>
    <row r="64" spans="1:16" ht="13.8" thickBot="1" x14ac:dyDescent="0.3">
      <c r="A64" s="933" t="s">
        <v>800</v>
      </c>
      <c r="B64" s="1160"/>
      <c r="C64" s="1161" t="s">
        <v>808</v>
      </c>
      <c r="D64" s="1162"/>
      <c r="E64" s="1162"/>
      <c r="F64" s="1163"/>
      <c r="G64" s="1162"/>
      <c r="H64" s="1164"/>
      <c r="I64" s="1160"/>
      <c r="J64" s="1025" t="s">
        <v>808</v>
      </c>
      <c r="K64" s="1012"/>
      <c r="L64" s="1012"/>
      <c r="M64" s="1000"/>
      <c r="N64" s="1012"/>
      <c r="O64" s="1026">
        <f>+Inputs!B28</f>
        <v>0.10208</v>
      </c>
    </row>
    <row r="65" spans="1:16" ht="13.8" thickTop="1" x14ac:dyDescent="0.25">
      <c r="A65" s="933" t="s">
        <v>800</v>
      </c>
      <c r="B65" s="1159" t="s">
        <v>865</v>
      </c>
      <c r="C65" s="1003" t="s">
        <v>782</v>
      </c>
      <c r="D65" s="1004"/>
      <c r="E65" s="1004"/>
      <c r="F65" s="1005"/>
      <c r="G65" s="1004"/>
      <c r="H65" s="1014"/>
      <c r="I65" s="1159" t="s">
        <v>867</v>
      </c>
      <c r="J65" s="981" t="s">
        <v>782</v>
      </c>
      <c r="K65" s="1015"/>
      <c r="L65" s="1015"/>
      <c r="M65" s="995"/>
      <c r="N65" s="1015"/>
      <c r="O65" s="1016" t="s">
        <v>779</v>
      </c>
    </row>
    <row r="66" spans="1:16" x14ac:dyDescent="0.25">
      <c r="A66" s="933" t="s">
        <v>800</v>
      </c>
      <c r="B66" s="985"/>
      <c r="C66" s="986" t="s">
        <v>6</v>
      </c>
      <c r="D66" s="987"/>
      <c r="E66" s="987"/>
      <c r="F66" s="989"/>
      <c r="G66" s="987"/>
      <c r="H66" s="988"/>
      <c r="I66" s="985"/>
      <c r="J66" s="986" t="s">
        <v>6</v>
      </c>
      <c r="K66" s="987">
        <f>+'Rates in detail'!V53-Inputs!$B$16-Temporaries!AD53</f>
        <v>0.11869999999999992</v>
      </c>
      <c r="L66" s="987">
        <v>0</v>
      </c>
      <c r="M66" s="989" t="s">
        <v>779</v>
      </c>
      <c r="N66" s="987">
        <f>+Temporaries!AD53</f>
        <v>2.7669999999999997E-2</v>
      </c>
      <c r="O66" s="988">
        <f t="shared" ref="O66:O71" si="2">K66+L66+$M$40+N66</f>
        <v>0.34927999999999992</v>
      </c>
      <c r="P66" s="972">
        <f>+O66-'Rates in detail'!V53</f>
        <v>0</v>
      </c>
    </row>
    <row r="67" spans="1:16" x14ac:dyDescent="0.25">
      <c r="A67" s="933" t="s">
        <v>800</v>
      </c>
      <c r="B67" s="985"/>
      <c r="C67" s="986" t="s">
        <v>7</v>
      </c>
      <c r="D67" s="987"/>
      <c r="E67" s="987"/>
      <c r="F67" s="989"/>
      <c r="G67" s="987"/>
      <c r="H67" s="988"/>
      <c r="I67" s="985"/>
      <c r="J67" s="986" t="s">
        <v>7</v>
      </c>
      <c r="K67" s="987">
        <f>+'Rates in detail'!V54-Inputs!$B$16-Temporaries!AD54</f>
        <v>0.10624999999999989</v>
      </c>
      <c r="L67" s="987">
        <v>0</v>
      </c>
      <c r="M67" s="989" t="s">
        <v>779</v>
      </c>
      <c r="N67" s="987">
        <f>+Temporaries!AD54</f>
        <v>2.743E-2</v>
      </c>
      <c r="O67" s="988">
        <f t="shared" si="2"/>
        <v>0.33658999999999989</v>
      </c>
      <c r="P67" s="972">
        <f>+O67-'Rates in detail'!V54</f>
        <v>0</v>
      </c>
    </row>
    <row r="68" spans="1:16" x14ac:dyDescent="0.25">
      <c r="A68" s="933" t="s">
        <v>800</v>
      </c>
      <c r="B68" s="985"/>
      <c r="C68" s="986" t="s">
        <v>8</v>
      </c>
      <c r="D68" s="987"/>
      <c r="E68" s="987"/>
      <c r="F68" s="989"/>
      <c r="G68" s="987"/>
      <c r="H68" s="988"/>
      <c r="I68" s="985"/>
      <c r="J68" s="986" t="s">
        <v>8</v>
      </c>
      <c r="K68" s="987">
        <f>+'Rates in detail'!V55-Inputs!$B$16-Temporaries!AD55</f>
        <v>8.1480000000000163E-2</v>
      </c>
      <c r="L68" s="987">
        <v>0</v>
      </c>
      <c r="M68" s="989" t="s">
        <v>779</v>
      </c>
      <c r="N68" s="987">
        <f>+Temporaries!AD55</f>
        <v>2.6939999999999999E-2</v>
      </c>
      <c r="O68" s="988">
        <f t="shared" si="2"/>
        <v>0.31133000000000016</v>
      </c>
      <c r="P68" s="972">
        <f>+O68-'Rates in detail'!V55</f>
        <v>0</v>
      </c>
    </row>
    <row r="69" spans="1:16" x14ac:dyDescent="0.25">
      <c r="A69" s="933" t="s">
        <v>800</v>
      </c>
      <c r="B69" s="985"/>
      <c r="C69" s="986" t="s">
        <v>9</v>
      </c>
      <c r="D69" s="987"/>
      <c r="E69" s="987"/>
      <c r="F69" s="989"/>
      <c r="G69" s="987"/>
      <c r="H69" s="988"/>
      <c r="I69" s="985"/>
      <c r="J69" s="986" t="s">
        <v>9</v>
      </c>
      <c r="K69" s="987">
        <f>+'Rates in detail'!V56-Inputs!$B$16-Temporaries!AD56</f>
        <v>6.5179999999999849E-2</v>
      </c>
      <c r="L69" s="987">
        <v>0</v>
      </c>
      <c r="M69" s="989" t="s">
        <v>779</v>
      </c>
      <c r="N69" s="987">
        <f>+Temporaries!AD56</f>
        <v>2.6609999999999998E-2</v>
      </c>
      <c r="O69" s="988">
        <f t="shared" si="2"/>
        <v>0.29469999999999985</v>
      </c>
      <c r="P69" s="972">
        <f>+O69-'Rates in detail'!V56</f>
        <v>0</v>
      </c>
    </row>
    <row r="70" spans="1:16" x14ac:dyDescent="0.25">
      <c r="A70" s="933" t="s">
        <v>800</v>
      </c>
      <c r="B70" s="985"/>
      <c r="C70" s="986" t="s">
        <v>10</v>
      </c>
      <c r="D70" s="987"/>
      <c r="E70" s="987"/>
      <c r="F70" s="989"/>
      <c r="G70" s="987"/>
      <c r="H70" s="988"/>
      <c r="I70" s="985"/>
      <c r="J70" s="986" t="s">
        <v>10</v>
      </c>
      <c r="K70" s="987">
        <f>+'Rates in detail'!V57-Inputs!$B$16-Temporaries!AD57</f>
        <v>4.3450000000000003E-2</v>
      </c>
      <c r="L70" s="987">
        <v>0</v>
      </c>
      <c r="M70" s="989" t="s">
        <v>779</v>
      </c>
      <c r="N70" s="987">
        <f>+Temporaries!AD57</f>
        <v>2.6179999999999998E-2</v>
      </c>
      <c r="O70" s="988">
        <f t="shared" si="2"/>
        <v>0.27254</v>
      </c>
      <c r="P70" s="972">
        <f>+O70-'Rates in detail'!V57</f>
        <v>0</v>
      </c>
    </row>
    <row r="71" spans="1:16" x14ac:dyDescent="0.25">
      <c r="A71" s="933" t="s">
        <v>800</v>
      </c>
      <c r="B71" s="985"/>
      <c r="C71" s="986" t="s">
        <v>11</v>
      </c>
      <c r="D71" s="987"/>
      <c r="E71" s="987"/>
      <c r="F71" s="989"/>
      <c r="G71" s="987"/>
      <c r="H71" s="988"/>
      <c r="I71" s="985"/>
      <c r="J71" s="986" t="s">
        <v>11</v>
      </c>
      <c r="K71" s="987">
        <f>+'Rates in detail'!V58-Inputs!$B$16-Temporaries!AD58</f>
        <v>1.6299999999999905E-2</v>
      </c>
      <c r="L71" s="987">
        <v>0</v>
      </c>
      <c r="M71" s="989" t="s">
        <v>779</v>
      </c>
      <c r="N71" s="987">
        <f>+Temporaries!AD58</f>
        <v>2.5649999999999999E-2</v>
      </c>
      <c r="O71" s="988">
        <f t="shared" si="2"/>
        <v>0.24485999999999991</v>
      </c>
      <c r="P71" s="972">
        <f>+O71-'Rates in detail'!V58</f>
        <v>0</v>
      </c>
    </row>
    <row r="72" spans="1:16" x14ac:dyDescent="0.25">
      <c r="A72" s="933" t="s">
        <v>800</v>
      </c>
      <c r="B72" s="990"/>
      <c r="C72" s="974" t="s">
        <v>811</v>
      </c>
      <c r="D72" s="1017"/>
      <c r="E72" s="1017"/>
      <c r="F72" s="991"/>
      <c r="G72" s="1017"/>
      <c r="H72" s="1018"/>
      <c r="I72" s="990"/>
      <c r="J72" s="974" t="s">
        <v>811</v>
      </c>
      <c r="K72" s="1008"/>
      <c r="L72" s="1008"/>
      <c r="M72" s="989"/>
      <c r="N72" s="1008"/>
      <c r="O72" s="1010">
        <f>+O63</f>
        <v>3.8739999999999997E-2</v>
      </c>
    </row>
    <row r="73" spans="1:16" ht="13.8" thickBot="1" x14ac:dyDescent="0.3">
      <c r="A73" s="933" t="s">
        <v>800</v>
      </c>
      <c r="B73" s="1019"/>
      <c r="C73" s="1020" t="s">
        <v>808</v>
      </c>
      <c r="D73" s="1021"/>
      <c r="E73" s="1021"/>
      <c r="F73" s="1022"/>
      <c r="G73" s="1021"/>
      <c r="H73" s="1023"/>
      <c r="I73" s="1024"/>
      <c r="J73" s="1025" t="s">
        <v>808</v>
      </c>
      <c r="K73" s="1012"/>
      <c r="L73" s="1012"/>
      <c r="M73" s="1000"/>
      <c r="N73" s="1012"/>
      <c r="O73" s="1026">
        <f>+O64</f>
        <v>0.10208</v>
      </c>
    </row>
    <row r="74" spans="1:16" ht="13.8" thickTop="1" x14ac:dyDescent="0.25">
      <c r="A74" s="933" t="s">
        <v>800</v>
      </c>
      <c r="B74" s="980" t="s">
        <v>812</v>
      </c>
      <c r="C74" s="981" t="s">
        <v>790</v>
      </c>
      <c r="D74" s="1015"/>
      <c r="E74" s="1015"/>
      <c r="F74" s="995"/>
      <c r="G74" s="1015"/>
      <c r="H74" s="1016"/>
      <c r="I74" s="1002" t="s">
        <v>813</v>
      </c>
      <c r="J74" s="1003" t="s">
        <v>790</v>
      </c>
      <c r="K74" s="1004"/>
      <c r="L74" s="1004"/>
      <c r="M74" s="1005"/>
      <c r="N74" s="1004"/>
      <c r="O74" s="1016" t="s">
        <v>779</v>
      </c>
    </row>
    <row r="75" spans="1:16" x14ac:dyDescent="0.25">
      <c r="A75" s="933" t="s">
        <v>800</v>
      </c>
      <c r="B75" s="985"/>
      <c r="C75" s="986" t="s">
        <v>814</v>
      </c>
      <c r="D75" s="1008"/>
      <c r="E75" s="1008"/>
      <c r="F75" s="989"/>
      <c r="G75" s="1008"/>
      <c r="H75" s="1027"/>
      <c r="I75" s="985"/>
      <c r="J75" s="986" t="s">
        <v>814</v>
      </c>
      <c r="K75" s="1008"/>
      <c r="L75" s="1008"/>
      <c r="M75" s="989"/>
      <c r="N75" s="1008"/>
      <c r="O75" s="1028">
        <f>+'Avg Bill by RS'!G48-'Avg Bill by RS'!G41</f>
        <v>250</v>
      </c>
    </row>
    <row r="76" spans="1:16" x14ac:dyDescent="0.25">
      <c r="A76" s="933" t="s">
        <v>800</v>
      </c>
      <c r="B76" s="985"/>
      <c r="C76" s="986" t="s">
        <v>6</v>
      </c>
      <c r="D76" s="987"/>
      <c r="E76" s="987"/>
      <c r="F76" s="989"/>
      <c r="G76" s="987"/>
      <c r="H76" s="988"/>
      <c r="I76" s="985"/>
      <c r="J76" s="986" t="s">
        <v>6</v>
      </c>
      <c r="K76" s="987">
        <f>+'Rates in detail'!V41-Temporaries!AD41</f>
        <v>0.11817999999999999</v>
      </c>
      <c r="L76" s="987">
        <v>0</v>
      </c>
      <c r="M76" s="989" t="s">
        <v>793</v>
      </c>
      <c r="N76" s="987">
        <f>+Temporaries!AD41</f>
        <v>-2.2000000000000001E-4</v>
      </c>
      <c r="O76" s="988">
        <f t="shared" ref="O76:O81" si="3">N76+L76+K76</f>
        <v>0.11796</v>
      </c>
      <c r="P76" s="972">
        <f>+O76-'Rates in detail'!V41</f>
        <v>0</v>
      </c>
    </row>
    <row r="77" spans="1:16" x14ac:dyDescent="0.25">
      <c r="A77" s="933" t="s">
        <v>800</v>
      </c>
      <c r="B77" s="985"/>
      <c r="C77" s="986" t="s">
        <v>7</v>
      </c>
      <c r="D77" s="987"/>
      <c r="E77" s="987"/>
      <c r="F77" s="989"/>
      <c r="G77" s="987"/>
      <c r="H77" s="988"/>
      <c r="I77" s="985"/>
      <c r="J77" s="986" t="s">
        <v>7</v>
      </c>
      <c r="K77" s="987">
        <f>+'Rates in detail'!V42-Temporaries!AD42</f>
        <v>0.10579</v>
      </c>
      <c r="L77" s="987">
        <v>0</v>
      </c>
      <c r="M77" s="989" t="s">
        <v>793</v>
      </c>
      <c r="N77" s="987">
        <f>+Temporaries!AD42</f>
        <v>-2.0000000000000001E-4</v>
      </c>
      <c r="O77" s="988">
        <f t="shared" si="3"/>
        <v>0.10558999999999999</v>
      </c>
      <c r="P77" s="972">
        <f>+O77-'Rates in detail'!V42</f>
        <v>0</v>
      </c>
    </row>
    <row r="78" spans="1:16" x14ac:dyDescent="0.25">
      <c r="A78" s="933" t="s">
        <v>800</v>
      </c>
      <c r="B78" s="985"/>
      <c r="C78" s="986" t="s">
        <v>8</v>
      </c>
      <c r="D78" s="987"/>
      <c r="E78" s="987"/>
      <c r="F78" s="989"/>
      <c r="G78" s="987"/>
      <c r="H78" s="988"/>
      <c r="I78" s="985"/>
      <c r="J78" s="986" t="s">
        <v>8</v>
      </c>
      <c r="K78" s="987">
        <f>+'Rates in detail'!V43-Temporaries!AD43</f>
        <v>8.1119999999999998E-2</v>
      </c>
      <c r="L78" s="987">
        <v>0</v>
      </c>
      <c r="M78" s="989" t="s">
        <v>793</v>
      </c>
      <c r="N78" s="987">
        <f>+Temporaries!AD43</f>
        <v>-1.4999999999999999E-4</v>
      </c>
      <c r="O78" s="988">
        <f t="shared" si="3"/>
        <v>8.097E-2</v>
      </c>
      <c r="P78" s="972">
        <f>+O78-'Rates in detail'!V43</f>
        <v>0</v>
      </c>
    </row>
    <row r="79" spans="1:16" x14ac:dyDescent="0.25">
      <c r="A79" s="933" t="s">
        <v>800</v>
      </c>
      <c r="B79" s="985"/>
      <c r="C79" s="986" t="s">
        <v>9</v>
      </c>
      <c r="D79" s="987"/>
      <c r="E79" s="987"/>
      <c r="F79" s="989"/>
      <c r="G79" s="987"/>
      <c r="H79" s="988"/>
      <c r="I79" s="985"/>
      <c r="J79" s="986" t="s">
        <v>9</v>
      </c>
      <c r="K79" s="987">
        <f>+'Rates in detail'!V44-Temporaries!AD44</f>
        <v>6.4899999999999999E-2</v>
      </c>
      <c r="L79" s="987">
        <v>0</v>
      </c>
      <c r="M79" s="989" t="s">
        <v>793</v>
      </c>
      <c r="N79" s="987">
        <f>+Temporaries!AD44</f>
        <v>-1.2E-4</v>
      </c>
      <c r="O79" s="988">
        <f t="shared" si="3"/>
        <v>6.4780000000000004E-2</v>
      </c>
      <c r="P79" s="972">
        <f>+O79-'Rates in detail'!V44</f>
        <v>0</v>
      </c>
    </row>
    <row r="80" spans="1:16" x14ac:dyDescent="0.25">
      <c r="A80" s="933" t="s">
        <v>800</v>
      </c>
      <c r="B80" s="985"/>
      <c r="C80" s="986" t="s">
        <v>10</v>
      </c>
      <c r="D80" s="987"/>
      <c r="E80" s="987"/>
      <c r="F80" s="989"/>
      <c r="G80" s="987"/>
      <c r="H80" s="988"/>
      <c r="I80" s="985"/>
      <c r="J80" s="986" t="s">
        <v>10</v>
      </c>
      <c r="K80" s="987">
        <f>+'Rates in detail'!V45-Temporaries!AD45</f>
        <v>4.3270000000000003E-2</v>
      </c>
      <c r="L80" s="987">
        <v>0</v>
      </c>
      <c r="M80" s="989" t="s">
        <v>793</v>
      </c>
      <c r="N80" s="987">
        <f>+Temporaries!AD45</f>
        <v>-8.0000000000000007E-5</v>
      </c>
      <c r="O80" s="988">
        <f t="shared" si="3"/>
        <v>4.3190000000000006E-2</v>
      </c>
      <c r="P80" s="972">
        <f>+O80-'Rates in detail'!V45</f>
        <v>0</v>
      </c>
    </row>
    <row r="81" spans="1:16" x14ac:dyDescent="0.25">
      <c r="A81" s="933" t="s">
        <v>800</v>
      </c>
      <c r="B81" s="985"/>
      <c r="C81" s="986" t="s">
        <v>11</v>
      </c>
      <c r="D81" s="987"/>
      <c r="E81" s="987"/>
      <c r="F81" s="989"/>
      <c r="G81" s="987"/>
      <c r="H81" s="988"/>
      <c r="I81" s="985"/>
      <c r="J81" s="986" t="s">
        <v>11</v>
      </c>
      <c r="K81" s="987">
        <f>+'Rates in detail'!V46-Temporaries!AD46</f>
        <v>1.6219999999999998E-2</v>
      </c>
      <c r="L81" s="987">
        <v>0</v>
      </c>
      <c r="M81" s="989" t="s">
        <v>793</v>
      </c>
      <c r="N81" s="987">
        <f>+Temporaries!AD46</f>
        <v>-3.0000000000000001E-5</v>
      </c>
      <c r="O81" s="988">
        <f t="shared" si="3"/>
        <v>1.619E-2</v>
      </c>
      <c r="P81" s="972">
        <f>+O81-'Rates in detail'!V46</f>
        <v>0</v>
      </c>
    </row>
    <row r="82" spans="1:16" ht="13.8" thickBot="1" x14ac:dyDescent="0.3">
      <c r="A82" s="933" t="s">
        <v>800</v>
      </c>
      <c r="B82" s="997"/>
      <c r="C82" s="998" t="s">
        <v>807</v>
      </c>
      <c r="D82" s="1012"/>
      <c r="E82" s="1012"/>
      <c r="F82" s="1000"/>
      <c r="G82" s="1012"/>
      <c r="H82" s="1029"/>
      <c r="I82" s="990"/>
      <c r="J82" s="974" t="s">
        <v>807</v>
      </c>
      <c r="K82" s="1017"/>
      <c r="L82" s="1017"/>
      <c r="M82" s="991"/>
      <c r="N82" s="1017"/>
      <c r="O82" s="1058">
        <f>+Inputs!B24</f>
        <v>0.15748000000000001</v>
      </c>
    </row>
    <row r="83" spans="1:16" ht="13.8" thickTop="1" x14ac:dyDescent="0.25">
      <c r="A83" s="933" t="s">
        <v>800</v>
      </c>
      <c r="B83" s="980" t="s">
        <v>815</v>
      </c>
      <c r="C83" s="981" t="s">
        <v>790</v>
      </c>
      <c r="D83" s="1015"/>
      <c r="E83" s="1015"/>
      <c r="F83" s="995"/>
      <c r="G83" s="1015"/>
      <c r="H83" s="1016"/>
      <c r="I83" s="980" t="s">
        <v>816</v>
      </c>
      <c r="J83" s="981" t="s">
        <v>790</v>
      </c>
      <c r="K83" s="1015"/>
      <c r="L83" s="1015"/>
      <c r="M83" s="995"/>
      <c r="N83" s="1015"/>
      <c r="O83" s="1016" t="s">
        <v>779</v>
      </c>
    </row>
    <row r="84" spans="1:16" x14ac:dyDescent="0.25">
      <c r="A84" s="933" t="s">
        <v>800</v>
      </c>
      <c r="B84" s="985"/>
      <c r="C84" s="986" t="s">
        <v>814</v>
      </c>
      <c r="D84" s="1008"/>
      <c r="E84" s="1008"/>
      <c r="F84" s="989"/>
      <c r="G84" s="1008"/>
      <c r="H84" s="1030"/>
      <c r="I84" s="1031"/>
      <c r="J84" s="986" t="s">
        <v>814</v>
      </c>
      <c r="K84" s="1008"/>
      <c r="L84" s="1008"/>
      <c r="M84" s="989"/>
      <c r="N84" s="1008"/>
      <c r="O84" s="1030" t="s">
        <v>779</v>
      </c>
    </row>
    <row r="85" spans="1:16" x14ac:dyDescent="0.25">
      <c r="A85" s="933" t="s">
        <v>800</v>
      </c>
      <c r="B85" s="985"/>
      <c r="C85" s="986" t="s">
        <v>6</v>
      </c>
      <c r="D85" s="987"/>
      <c r="E85" s="987"/>
      <c r="F85" s="989"/>
      <c r="G85" s="987"/>
      <c r="H85" s="988"/>
      <c r="I85" s="1031"/>
      <c r="J85" s="986" t="s">
        <v>6</v>
      </c>
      <c r="K85" s="987">
        <f>+'Rates in detail'!V59-Temporaries!AD59</f>
        <v>0.11817999999999999</v>
      </c>
      <c r="L85" s="987">
        <v>0</v>
      </c>
      <c r="M85" s="989" t="s">
        <v>793</v>
      </c>
      <c r="N85" s="987">
        <f>+Temporaries!AD59</f>
        <v>-2.0000000000000001E-4</v>
      </c>
      <c r="O85" s="988">
        <f t="shared" ref="O85:O90" si="4">N85+L85+K85</f>
        <v>0.11797999999999999</v>
      </c>
      <c r="P85" s="972">
        <f>+O85-'Rates in detail'!V59</f>
        <v>0</v>
      </c>
    </row>
    <row r="86" spans="1:16" x14ac:dyDescent="0.25">
      <c r="A86" s="933" t="s">
        <v>800</v>
      </c>
      <c r="B86" s="985"/>
      <c r="C86" s="986" t="s">
        <v>7</v>
      </c>
      <c r="D86" s="987"/>
      <c r="E86" s="987"/>
      <c r="F86" s="989"/>
      <c r="G86" s="987"/>
      <c r="H86" s="988"/>
      <c r="I86" s="1031"/>
      <c r="J86" s="986" t="s">
        <v>7</v>
      </c>
      <c r="K86" s="987">
        <f>+'Rates in detail'!V60-Temporaries!AD60</f>
        <v>0.10579</v>
      </c>
      <c r="L86" s="987">
        <v>0</v>
      </c>
      <c r="M86" s="989" t="s">
        <v>793</v>
      </c>
      <c r="N86" s="987">
        <f>+Temporaries!AD60</f>
        <v>-1.8000000000000001E-4</v>
      </c>
      <c r="O86" s="988">
        <f t="shared" si="4"/>
        <v>0.10561</v>
      </c>
      <c r="P86" s="972">
        <f>+O86-'Rates in detail'!V60</f>
        <v>0</v>
      </c>
    </row>
    <row r="87" spans="1:16" x14ac:dyDescent="0.25">
      <c r="A87" s="933" t="s">
        <v>800</v>
      </c>
      <c r="B87" s="985"/>
      <c r="C87" s="986" t="s">
        <v>8</v>
      </c>
      <c r="D87" s="987"/>
      <c r="E87" s="987"/>
      <c r="F87" s="989"/>
      <c r="G87" s="987"/>
      <c r="H87" s="988"/>
      <c r="I87" s="1031"/>
      <c r="J87" s="986" t="s">
        <v>8</v>
      </c>
      <c r="K87" s="987">
        <f>+'Rates in detail'!V61-Temporaries!AD61</f>
        <v>8.1119999999999998E-2</v>
      </c>
      <c r="L87" s="987">
        <v>0</v>
      </c>
      <c r="M87" s="989" t="s">
        <v>793</v>
      </c>
      <c r="N87" s="987">
        <f>+Temporaries!AD61</f>
        <v>-1.3999999999999999E-4</v>
      </c>
      <c r="O87" s="988">
        <f t="shared" si="4"/>
        <v>8.0979999999999996E-2</v>
      </c>
      <c r="P87" s="972">
        <f>+O87-'Rates in detail'!V61</f>
        <v>0</v>
      </c>
    </row>
    <row r="88" spans="1:16" x14ac:dyDescent="0.25">
      <c r="A88" s="933" t="s">
        <v>800</v>
      </c>
      <c r="B88" s="985"/>
      <c r="C88" s="986" t="s">
        <v>9</v>
      </c>
      <c r="D88" s="987"/>
      <c r="E88" s="987"/>
      <c r="F88" s="989"/>
      <c r="G88" s="987"/>
      <c r="H88" s="988"/>
      <c r="I88" s="1031"/>
      <c r="J88" s="986" t="s">
        <v>9</v>
      </c>
      <c r="K88" s="987">
        <f>+'Rates in detail'!V62-Temporaries!AD62</f>
        <v>6.4899999999999999E-2</v>
      </c>
      <c r="L88" s="987">
        <v>0</v>
      </c>
      <c r="M88" s="989" t="s">
        <v>793</v>
      </c>
      <c r="N88" s="987">
        <f>+Temporaries!AD62</f>
        <v>-1.1E-4</v>
      </c>
      <c r="O88" s="988">
        <f t="shared" si="4"/>
        <v>6.479E-2</v>
      </c>
      <c r="P88" s="972">
        <f>+O88-'Rates in detail'!V62</f>
        <v>0</v>
      </c>
    </row>
    <row r="89" spans="1:16" x14ac:dyDescent="0.25">
      <c r="A89" s="933" t="s">
        <v>800</v>
      </c>
      <c r="B89" s="985"/>
      <c r="C89" s="986" t="s">
        <v>10</v>
      </c>
      <c r="D89" s="987"/>
      <c r="E89" s="987"/>
      <c r="F89" s="989"/>
      <c r="G89" s="987"/>
      <c r="H89" s="988"/>
      <c r="I89" s="1031"/>
      <c r="J89" s="986" t="s">
        <v>10</v>
      </c>
      <c r="K89" s="987">
        <f>+'Rates in detail'!V63-Temporaries!AD63</f>
        <v>4.3270000000000003E-2</v>
      </c>
      <c r="L89" s="987">
        <v>0</v>
      </c>
      <c r="M89" s="989" t="s">
        <v>793</v>
      </c>
      <c r="N89" s="987">
        <f>+Temporaries!AD63</f>
        <v>-6.9999999999999994E-5</v>
      </c>
      <c r="O89" s="988">
        <f t="shared" si="4"/>
        <v>4.3200000000000002E-2</v>
      </c>
      <c r="P89" s="972">
        <f>+O89-'Rates in detail'!V63</f>
        <v>0</v>
      </c>
    </row>
    <row r="90" spans="1:16" ht="13.8" thickBot="1" x14ac:dyDescent="0.3">
      <c r="A90" s="933" t="s">
        <v>800</v>
      </c>
      <c r="B90" s="997"/>
      <c r="C90" s="998" t="s">
        <v>11</v>
      </c>
      <c r="D90" s="999"/>
      <c r="E90" s="999"/>
      <c r="F90" s="1000"/>
      <c r="G90" s="999"/>
      <c r="H90" s="1001"/>
      <c r="I90" s="1032"/>
      <c r="J90" s="998" t="s">
        <v>11</v>
      </c>
      <c r="K90" s="999">
        <f>+'Rates in detail'!V64-Temporaries!AD64</f>
        <v>1.6219999999999998E-2</v>
      </c>
      <c r="L90" s="999">
        <v>0</v>
      </c>
      <c r="M90" s="1000" t="s">
        <v>793</v>
      </c>
      <c r="N90" s="999">
        <f>+Temporaries!AD64</f>
        <v>-3.0000000000000001E-5</v>
      </c>
      <c r="O90" s="1001">
        <f t="shared" si="4"/>
        <v>1.619E-2</v>
      </c>
      <c r="P90" s="972">
        <f>+O90-'Rates in detail'!V64</f>
        <v>0</v>
      </c>
    </row>
    <row r="91" spans="1:16" ht="13.8" thickTop="1" x14ac:dyDescent="0.25">
      <c r="H91" s="1033"/>
    </row>
  </sheetData>
  <phoneticPr fontId="2" type="noConversion"/>
  <printOptions horizontalCentered="1"/>
  <pageMargins left="0.5" right="0.5" top="0.25" bottom="0.25" header="0.25" footer="0.25"/>
  <pageSetup scale="4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8"/>
  <sheetViews>
    <sheetView showGridLines="0" topLeftCell="D1" workbookViewId="0">
      <selection activeCell="A10" sqref="A10"/>
    </sheetView>
  </sheetViews>
  <sheetFormatPr defaultColWidth="10.6640625" defaultRowHeight="13.2" x14ac:dyDescent="0.25"/>
  <cols>
    <col min="1" max="1" width="77.109375" style="1" bestFit="1" customWidth="1"/>
    <col min="2" max="16384" width="10.6640625" style="1"/>
  </cols>
  <sheetData>
    <row r="1" spans="1:1" ht="21" customHeight="1" x14ac:dyDescent="0.25">
      <c r="A1" s="840"/>
    </row>
    <row r="2" spans="1:1" ht="40.5" customHeight="1" x14ac:dyDescent="0.25">
      <c r="A2" s="839" t="s">
        <v>475</v>
      </c>
    </row>
    <row r="3" spans="1:1" ht="41.25" customHeight="1" x14ac:dyDescent="0.25">
      <c r="A3" s="839" t="s">
        <v>855</v>
      </c>
    </row>
    <row r="4" spans="1:1" x14ac:dyDescent="0.25">
      <c r="A4" s="1148"/>
    </row>
    <row r="5" spans="1:1" ht="25.2" x14ac:dyDescent="0.25">
      <c r="A5" s="841" t="s">
        <v>229</v>
      </c>
    </row>
    <row r="6" spans="1:1" ht="25.2" x14ac:dyDescent="0.25">
      <c r="A6" s="841" t="s">
        <v>230</v>
      </c>
    </row>
    <row r="7" spans="1:1" ht="21" x14ac:dyDescent="0.25">
      <c r="A7" s="842"/>
    </row>
    <row r="8" spans="1:1" ht="27" customHeight="1" x14ac:dyDescent="0.25">
      <c r="A8" s="1142" t="s">
        <v>742</v>
      </c>
    </row>
    <row r="9" spans="1:1" ht="21" x14ac:dyDescent="0.25">
      <c r="A9" s="1142" t="s">
        <v>1</v>
      </c>
    </row>
    <row r="10" spans="1:1" ht="21" x14ac:dyDescent="0.25">
      <c r="A10" s="1143">
        <f>+EFFDATE</f>
        <v>43770</v>
      </c>
    </row>
    <row r="11" spans="1:1" ht="67.5" customHeight="1" x14ac:dyDescent="0.25">
      <c r="A11" s="838"/>
    </row>
    <row r="12" spans="1:1" ht="25.2" x14ac:dyDescent="0.25">
      <c r="A12" s="841"/>
    </row>
    <row r="13" spans="1:1" ht="25.2" x14ac:dyDescent="0.25">
      <c r="A13" s="841"/>
    </row>
    <row r="14" spans="1:1" ht="21" x14ac:dyDescent="0.25">
      <c r="A14" s="842"/>
    </row>
    <row r="15" spans="1:1" ht="21" x14ac:dyDescent="0.25">
      <c r="A15" s="842"/>
    </row>
    <row r="16" spans="1:1" ht="21" x14ac:dyDescent="0.25">
      <c r="A16" s="1142"/>
    </row>
    <row r="17" spans="1:1" ht="21" x14ac:dyDescent="0.25">
      <c r="A17" s="1143"/>
    </row>
    <row r="18" spans="1:1" ht="30" x14ac:dyDescent="0.25">
      <c r="A18" s="2"/>
    </row>
  </sheetData>
  <phoneticPr fontId="12" type="noConversion"/>
  <printOptions horizontalCentered="1" verticalCentered="1"/>
  <pageMargins left="1" right="1"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5"/>
  <sheetViews>
    <sheetView showGridLines="0" zoomScaleNormal="100" workbookViewId="0">
      <selection activeCell="A10" sqref="A10"/>
    </sheetView>
  </sheetViews>
  <sheetFormatPr defaultColWidth="10.6640625" defaultRowHeight="13.2" x14ac:dyDescent="0.25"/>
  <cols>
    <col min="1" max="1" width="23.109375" style="1" customWidth="1"/>
    <col min="2" max="2" width="26.109375" style="1" customWidth="1"/>
    <col min="3" max="3" width="19" style="1" customWidth="1"/>
    <col min="4" max="4" width="17.109375" style="1" customWidth="1"/>
    <col min="5" max="5" width="18.33203125" style="1" customWidth="1"/>
    <col min="6" max="6" width="15.88671875" style="1" customWidth="1"/>
    <col min="7" max="16384" width="10.6640625" style="1"/>
  </cols>
  <sheetData>
    <row r="3" spans="1:3" ht="39.6" x14ac:dyDescent="0.25">
      <c r="C3" s="3" t="s">
        <v>228</v>
      </c>
    </row>
    <row r="4" spans="1:3" ht="27.6" x14ac:dyDescent="0.25">
      <c r="A4" s="4" t="s">
        <v>231</v>
      </c>
      <c r="C4" s="5"/>
    </row>
    <row r="5" spans="1:3" ht="39" x14ac:dyDescent="0.25">
      <c r="B5" s="6"/>
      <c r="C5" s="5"/>
    </row>
    <row r="7" spans="1:3" ht="20.399999999999999" x14ac:dyDescent="0.25">
      <c r="A7" s="14" t="s">
        <v>232</v>
      </c>
    </row>
    <row r="9" spans="1:3" ht="17.399999999999999" x14ac:dyDescent="0.25">
      <c r="A9" s="466" t="s">
        <v>236</v>
      </c>
      <c r="B9" s="466" t="s">
        <v>102</v>
      </c>
    </row>
    <row r="10" spans="1:3" ht="15" x14ac:dyDescent="0.25">
      <c r="A10" s="15">
        <v>1</v>
      </c>
      <c r="B10" s="10" t="s">
        <v>233</v>
      </c>
    </row>
    <row r="11" spans="1:3" ht="15" x14ac:dyDescent="0.25">
      <c r="A11" s="15">
        <f>+A10+1</f>
        <v>2</v>
      </c>
      <c r="B11" s="10" t="s">
        <v>234</v>
      </c>
    </row>
    <row r="12" spans="1:3" ht="15" x14ac:dyDescent="0.25">
      <c r="A12" s="15">
        <f>+A11+1</f>
        <v>3</v>
      </c>
      <c r="B12" s="10" t="s">
        <v>754</v>
      </c>
    </row>
    <row r="13" spans="1:3" ht="15" x14ac:dyDescent="0.25">
      <c r="A13" s="15"/>
      <c r="B13" s="10" t="s">
        <v>1150</v>
      </c>
    </row>
    <row r="14" spans="1:3" ht="15" x14ac:dyDescent="0.25">
      <c r="A14" s="15">
        <f>+A12+1</f>
        <v>4</v>
      </c>
      <c r="B14" s="10" t="s">
        <v>237</v>
      </c>
    </row>
    <row r="15" spans="1:3" ht="15" x14ac:dyDescent="0.25">
      <c r="A15" s="15">
        <f>+A14+1</f>
        <v>5</v>
      </c>
      <c r="B15" s="10" t="s">
        <v>238</v>
      </c>
    </row>
    <row r="16" spans="1:3" ht="15" x14ac:dyDescent="0.25">
      <c r="A16" s="15">
        <f>+A15+1</f>
        <v>6</v>
      </c>
      <c r="B16" s="10" t="s">
        <v>753</v>
      </c>
    </row>
    <row r="17" spans="1:3" ht="15" x14ac:dyDescent="0.25">
      <c r="A17" s="15">
        <v>7</v>
      </c>
      <c r="B17" s="10" t="s">
        <v>752</v>
      </c>
    </row>
    <row r="19" spans="1:3" ht="20.399999999999999" x14ac:dyDescent="0.25">
      <c r="A19" s="14" t="s">
        <v>235</v>
      </c>
      <c r="B19" s="16"/>
    </row>
    <row r="20" spans="1:3" ht="15" x14ac:dyDescent="0.25">
      <c r="A20" s="17" t="s">
        <v>239</v>
      </c>
      <c r="B20" s="17"/>
      <c r="C20" s="17"/>
    </row>
    <row r="22" spans="1:3" ht="15" x14ac:dyDescent="0.25">
      <c r="A22" s="11" t="s">
        <v>240</v>
      </c>
      <c r="B22" s="18" t="s">
        <v>241</v>
      </c>
    </row>
    <row r="23" spans="1:3" ht="15" x14ac:dyDescent="0.25">
      <c r="A23" s="11" t="s">
        <v>242</v>
      </c>
      <c r="B23" s="18" t="s">
        <v>243</v>
      </c>
    </row>
    <row r="24" spans="1:3" ht="15" x14ac:dyDescent="0.25">
      <c r="A24" s="11" t="s">
        <v>244</v>
      </c>
      <c r="B24" s="18" t="s">
        <v>245</v>
      </c>
    </row>
    <row r="25" spans="1:3" ht="15" x14ac:dyDescent="0.25">
      <c r="A25" s="11" t="s">
        <v>664</v>
      </c>
      <c r="B25" s="18" t="s">
        <v>665</v>
      </c>
    </row>
    <row r="26" spans="1:3" ht="15" x14ac:dyDescent="0.25">
      <c r="A26" s="11" t="s">
        <v>290</v>
      </c>
      <c r="B26" s="18" t="s">
        <v>1083</v>
      </c>
    </row>
    <row r="27" spans="1:3" ht="15" x14ac:dyDescent="0.25">
      <c r="A27" s="11" t="s">
        <v>246</v>
      </c>
      <c r="B27" s="18" t="s">
        <v>247</v>
      </c>
    </row>
    <row r="28" spans="1:3" ht="15" x14ac:dyDescent="0.25">
      <c r="A28" s="11" t="s">
        <v>246</v>
      </c>
      <c r="B28" s="18" t="s">
        <v>248</v>
      </c>
    </row>
    <row r="29" spans="1:3" ht="15" x14ac:dyDescent="0.25">
      <c r="A29" s="11" t="s">
        <v>249</v>
      </c>
      <c r="B29" s="18" t="s">
        <v>666</v>
      </c>
    </row>
    <row r="30" spans="1:3" ht="15" x14ac:dyDescent="0.25">
      <c r="A30" s="11" t="s">
        <v>249</v>
      </c>
      <c r="B30" s="18" t="s">
        <v>667</v>
      </c>
    </row>
    <row r="31" spans="1:3" ht="15" x14ac:dyDescent="0.25">
      <c r="A31" s="11"/>
      <c r="B31" s="18"/>
    </row>
    <row r="32" spans="1:3" ht="15" x14ac:dyDescent="0.25">
      <c r="A32" s="17" t="s">
        <v>250</v>
      </c>
      <c r="B32" s="18"/>
    </row>
    <row r="33" spans="1:2" ht="15" x14ac:dyDescent="0.25">
      <c r="A33" s="11" t="s">
        <v>246</v>
      </c>
      <c r="B33" s="18" t="s">
        <v>251</v>
      </c>
    </row>
    <row r="34" spans="1:2" ht="15" x14ac:dyDescent="0.25">
      <c r="A34" s="11" t="s">
        <v>249</v>
      </c>
      <c r="B34" s="18" t="s">
        <v>252</v>
      </c>
    </row>
    <row r="35" spans="1:2" ht="15" x14ac:dyDescent="0.25">
      <c r="A35" s="11" t="s">
        <v>253</v>
      </c>
      <c r="B35" s="18" t="s">
        <v>668</v>
      </c>
    </row>
  </sheetData>
  <phoneticPr fontId="11" type="noConversion"/>
  <pageMargins left="0.75" right="0.75" top="0.7" bottom="1" header="0.5" footer="0.5"/>
  <pageSetup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zoomScaleNormal="100" workbookViewId="0">
      <selection activeCell="A10" sqref="A10"/>
    </sheetView>
  </sheetViews>
  <sheetFormatPr defaultColWidth="12" defaultRowHeight="13.2" x14ac:dyDescent="0.25"/>
  <cols>
    <col min="1" max="1" width="47" style="1042" customWidth="1"/>
    <col min="2" max="2" width="45.6640625" style="1042" customWidth="1"/>
    <col min="3" max="3" width="22.88671875" style="1733" customWidth="1"/>
    <col min="4" max="4" width="26.109375" style="1733" customWidth="1"/>
    <col min="5" max="5" width="31.109375" style="1042" customWidth="1"/>
    <col min="6" max="6" width="6" style="1042" customWidth="1"/>
    <col min="7" max="7" width="12" style="1042" customWidth="1"/>
    <col min="8" max="8" width="15.44140625" style="1042" customWidth="1"/>
    <col min="9" max="10" width="12" style="1042" customWidth="1"/>
    <col min="11" max="11" width="15.109375" style="1042" customWidth="1"/>
    <col min="12" max="16384" width="12" style="1042"/>
  </cols>
  <sheetData>
    <row r="1" spans="1:13" ht="49.5" customHeight="1" x14ac:dyDescent="0.3">
      <c r="A1" s="1336" t="s">
        <v>231</v>
      </c>
      <c r="B1" s="1504" t="s">
        <v>1188</v>
      </c>
      <c r="C1" s="1729"/>
      <c r="D1" s="1337"/>
      <c r="E1" s="1338"/>
      <c r="F1" s="1041"/>
      <c r="G1" s="1041"/>
      <c r="H1" s="1041"/>
      <c r="I1" s="1041"/>
      <c r="J1" s="1041"/>
      <c r="K1" s="1041"/>
      <c r="L1" s="1041"/>
      <c r="M1" s="1041"/>
    </row>
    <row r="2" spans="1:13" ht="20.25" customHeight="1" x14ac:dyDescent="0.25">
      <c r="A2" s="1339" t="s">
        <v>1146</v>
      </c>
      <c r="B2" s="1340"/>
      <c r="C2" s="1730"/>
      <c r="D2" s="1341"/>
      <c r="E2" s="1342"/>
      <c r="F2" s="396"/>
      <c r="G2" s="1041"/>
      <c r="H2" s="1041"/>
      <c r="I2" s="1041"/>
      <c r="J2" s="1041"/>
      <c r="K2" s="1041"/>
      <c r="L2" s="1041"/>
      <c r="M2" s="1041"/>
    </row>
    <row r="3" spans="1:13" ht="15" customHeight="1" x14ac:dyDescent="0.25">
      <c r="A3" s="1679" t="s">
        <v>1078</v>
      </c>
      <c r="B3" s="1680"/>
      <c r="C3" s="1728"/>
      <c r="D3" s="1728"/>
      <c r="E3" s="1681"/>
      <c r="F3" s="1041"/>
      <c r="G3" s="1041"/>
      <c r="H3" s="1041"/>
      <c r="I3" s="1041"/>
      <c r="J3" s="1041"/>
      <c r="K3" s="1041"/>
      <c r="L3" s="1041"/>
      <c r="M3" s="1041"/>
    </row>
    <row r="4" spans="1:13" ht="34.5" customHeight="1" x14ac:dyDescent="0.25">
      <c r="A4" s="1787" t="s">
        <v>1189</v>
      </c>
      <c r="B4" s="1788"/>
      <c r="C4" s="1788"/>
      <c r="D4" s="1788"/>
      <c r="E4" s="1789"/>
      <c r="F4" s="1043"/>
      <c r="G4" s="1041"/>
      <c r="H4" s="1041"/>
      <c r="I4" s="1041"/>
      <c r="J4" s="1041"/>
      <c r="K4" s="1041"/>
      <c r="L4" s="1041"/>
      <c r="M4" s="1041"/>
    </row>
    <row r="5" spans="1:13" ht="6" customHeight="1" x14ac:dyDescent="0.25">
      <c r="A5" s="1343"/>
      <c r="B5" s="1344"/>
      <c r="C5" s="1344"/>
      <c r="D5" s="1345"/>
      <c r="E5" s="1346"/>
      <c r="F5" s="1043"/>
      <c r="G5" s="1041"/>
      <c r="H5" s="1041"/>
      <c r="I5" s="1041"/>
      <c r="J5" s="1041"/>
      <c r="K5" s="1041"/>
      <c r="L5" s="1041"/>
      <c r="M5" s="1041"/>
    </row>
    <row r="6" spans="1:13" ht="12.75" customHeight="1" x14ac:dyDescent="0.25">
      <c r="A6" s="1347" t="s">
        <v>1118</v>
      </c>
      <c r="B6" s="1348"/>
      <c r="C6" s="1348"/>
      <c r="D6" s="1349"/>
      <c r="E6" s="1750" t="s">
        <v>1191</v>
      </c>
      <c r="F6" s="397"/>
      <c r="G6" s="1041"/>
      <c r="H6" s="1041"/>
      <c r="I6" s="1041"/>
      <c r="J6" s="1041"/>
      <c r="K6" s="1041"/>
      <c r="L6" s="1041"/>
      <c r="M6" s="1041"/>
    </row>
    <row r="7" spans="1:13" ht="16.5" customHeight="1" x14ac:dyDescent="0.25">
      <c r="A7" s="1347" t="s">
        <v>1145</v>
      </c>
      <c r="B7" s="1348"/>
      <c r="C7" s="1348"/>
      <c r="D7" s="1350"/>
      <c r="E7" s="1351"/>
      <c r="F7" s="397"/>
      <c r="G7" s="1041"/>
      <c r="H7" s="1041"/>
      <c r="I7" s="1041"/>
      <c r="J7" s="1041"/>
      <c r="K7" s="1041"/>
      <c r="L7" s="1041"/>
      <c r="M7" s="1041"/>
    </row>
    <row r="8" spans="1:13" ht="11.25" customHeight="1" thickBot="1" x14ac:dyDescent="0.3">
      <c r="A8" s="1352"/>
      <c r="B8" s="1353"/>
      <c r="C8" s="1344"/>
      <c r="D8" s="1353"/>
      <c r="E8" s="1346"/>
      <c r="F8" s="1041"/>
      <c r="G8" s="1041"/>
      <c r="H8" s="1041"/>
      <c r="I8" s="1041"/>
      <c r="J8" s="1041"/>
      <c r="K8" s="1041"/>
      <c r="L8" s="1041"/>
      <c r="M8" s="1041"/>
    </row>
    <row r="9" spans="1:13" ht="14.4" x14ac:dyDescent="0.25">
      <c r="A9" s="1354" t="s">
        <v>324</v>
      </c>
      <c r="B9" s="1355"/>
      <c r="C9" s="1356" t="s">
        <v>325</v>
      </c>
      <c r="D9" s="1356" t="s">
        <v>326</v>
      </c>
      <c r="E9" s="1357" t="s">
        <v>327</v>
      </c>
      <c r="F9" s="1041"/>
      <c r="G9" s="1041"/>
      <c r="H9" s="1041"/>
      <c r="I9" s="1041"/>
      <c r="J9" s="1041"/>
      <c r="K9" s="1041"/>
      <c r="L9" s="1041"/>
      <c r="M9" s="1041"/>
    </row>
    <row r="10" spans="1:13" ht="14.4" x14ac:dyDescent="0.25">
      <c r="A10" s="1358" t="s">
        <v>328</v>
      </c>
      <c r="B10" s="1359" t="s">
        <v>329</v>
      </c>
      <c r="C10" s="1360" t="s">
        <v>330</v>
      </c>
      <c r="D10" s="1360" t="s">
        <v>330</v>
      </c>
      <c r="E10" s="1361" t="s">
        <v>331</v>
      </c>
      <c r="F10" s="1041"/>
      <c r="G10" s="1041"/>
      <c r="H10" s="1041"/>
      <c r="I10" s="1041"/>
      <c r="J10" s="1041"/>
      <c r="K10" s="1041"/>
      <c r="L10" s="1041"/>
      <c r="M10" s="1041"/>
    </row>
    <row r="11" spans="1:13" ht="14.4" x14ac:dyDescent="0.25">
      <c r="A11" s="1362"/>
      <c r="B11" s="1363"/>
      <c r="C11" s="1364" t="str">
        <f>CONCATENATE("Effective "&amp;TEXT('Avg Bill by RS'!H8,"MM/DD/YY"))</f>
        <v>Effective 11/01/18</v>
      </c>
      <c r="D11" s="1478" t="s">
        <v>1187</v>
      </c>
      <c r="E11" s="1365" t="s">
        <v>332</v>
      </c>
      <c r="F11" s="1041"/>
      <c r="G11" s="1041"/>
      <c r="H11" s="1041"/>
      <c r="I11" s="1041"/>
      <c r="J11" s="1041"/>
      <c r="K11" s="1041"/>
      <c r="L11" s="1041"/>
      <c r="M11" s="1041"/>
    </row>
    <row r="12" spans="1:13" ht="13.8" x14ac:dyDescent="0.25">
      <c r="A12" s="1366" t="s">
        <v>240</v>
      </c>
      <c r="B12" s="1367" t="s">
        <v>280</v>
      </c>
      <c r="C12" s="1368">
        <f>+'Avg Bill by RS'!G13</f>
        <v>3.47</v>
      </c>
      <c r="D12" s="1368">
        <f>+C12</f>
        <v>3.47</v>
      </c>
      <c r="E12" s="1369">
        <f t="shared" ref="E12:E20" si="0">SUM(D12-C12)</f>
        <v>0</v>
      </c>
      <c r="F12" s="1041"/>
      <c r="G12" s="1745"/>
      <c r="H12" s="1289"/>
      <c r="I12" s="1041"/>
      <c r="J12" s="1041"/>
      <c r="K12" s="1041"/>
      <c r="L12" s="1041"/>
      <c r="M12" s="1041"/>
    </row>
    <row r="13" spans="1:13" ht="14.4" x14ac:dyDescent="0.25">
      <c r="A13" s="1370" t="s">
        <v>1115</v>
      </c>
      <c r="B13" s="1371" t="s">
        <v>281</v>
      </c>
      <c r="C13" s="1372">
        <f>'Rates in detail'!D13</f>
        <v>1.0291799999999995</v>
      </c>
      <c r="D13" s="1372">
        <f>'Rates in detail'!V13</f>
        <v>1.0801199999999995</v>
      </c>
      <c r="E13" s="1373">
        <f t="shared" si="0"/>
        <v>5.0939999999999985E-2</v>
      </c>
      <c r="F13" s="1041"/>
      <c r="G13" s="1745"/>
      <c r="H13" s="1289"/>
      <c r="I13" s="1041"/>
      <c r="J13" s="1041"/>
      <c r="K13" s="1041"/>
      <c r="L13" s="1041"/>
      <c r="M13" s="1041"/>
    </row>
    <row r="14" spans="1:13" ht="13.8" x14ac:dyDescent="0.25">
      <c r="A14" s="1366" t="s">
        <v>242</v>
      </c>
      <c r="B14" s="1367" t="s">
        <v>280</v>
      </c>
      <c r="C14" s="1368">
        <f>+'Avg Bill by RS'!G15</f>
        <v>7</v>
      </c>
      <c r="D14" s="1368">
        <f>+C14</f>
        <v>7</v>
      </c>
      <c r="E14" s="1369">
        <f t="shared" si="0"/>
        <v>0</v>
      </c>
      <c r="F14" s="1041"/>
      <c r="G14" s="1745"/>
      <c r="H14" s="1289"/>
      <c r="I14" s="1041"/>
      <c r="J14" s="1041"/>
      <c r="K14" s="1041"/>
      <c r="L14" s="1041"/>
      <c r="M14" s="1041"/>
    </row>
    <row r="15" spans="1:13" ht="14.4" x14ac:dyDescent="0.25">
      <c r="A15" s="1370" t="s">
        <v>333</v>
      </c>
      <c r="B15" s="1371" t="s">
        <v>281</v>
      </c>
      <c r="C15" s="1374">
        <f>'Rates in detail'!D15</f>
        <v>0.73545999999999978</v>
      </c>
      <c r="D15" s="1374">
        <f>'Rates in detail'!V15</f>
        <v>0.78120999999999974</v>
      </c>
      <c r="E15" s="1373">
        <f t="shared" si="0"/>
        <v>4.5749999999999957E-2</v>
      </c>
      <c r="F15" s="1041"/>
      <c r="G15" s="1745"/>
      <c r="H15" s="1289"/>
      <c r="I15" s="1041"/>
      <c r="J15" s="1041"/>
      <c r="K15" s="1041"/>
      <c r="L15" s="1041"/>
      <c r="M15" s="1041"/>
    </row>
    <row r="16" spans="1:13" ht="13.8" x14ac:dyDescent="0.25">
      <c r="A16" s="1366" t="s">
        <v>244</v>
      </c>
      <c r="B16" s="1367" t="s">
        <v>280</v>
      </c>
      <c r="C16" s="1368">
        <f>+'Avg Bill by RS'!G16</f>
        <v>15</v>
      </c>
      <c r="D16" s="1368">
        <f>+C16</f>
        <v>15</v>
      </c>
      <c r="E16" s="1369">
        <f t="shared" si="0"/>
        <v>0</v>
      </c>
      <c r="F16" s="1041"/>
      <c r="G16" s="1745"/>
      <c r="H16" s="1289"/>
      <c r="I16" s="1041"/>
      <c r="J16" s="1041"/>
      <c r="K16" s="1041"/>
      <c r="L16" s="1041"/>
      <c r="M16" s="1041"/>
    </row>
    <row r="17" spans="1:13" ht="14.4" x14ac:dyDescent="0.25">
      <c r="A17" s="1366"/>
      <c r="B17" s="1371" t="s">
        <v>1076</v>
      </c>
      <c r="C17" s="1372">
        <f>'Rates in detail'!D16</f>
        <v>0.73534000000000033</v>
      </c>
      <c r="D17" s="1372">
        <f>'Rates in detail'!V16</f>
        <v>0.78024000000000027</v>
      </c>
      <c r="E17" s="1373">
        <f t="shared" si="0"/>
        <v>4.489999999999994E-2</v>
      </c>
      <c r="F17" s="1041"/>
      <c r="G17" s="1745"/>
      <c r="H17" s="1289"/>
      <c r="I17" s="1041"/>
      <c r="J17" s="1041"/>
      <c r="K17" s="1041"/>
      <c r="L17" s="1041"/>
      <c r="M17" s="1041"/>
    </row>
    <row r="18" spans="1:13" ht="14.4" x14ac:dyDescent="0.25">
      <c r="A18" s="1370" t="s">
        <v>300</v>
      </c>
      <c r="B18" s="1371" t="s">
        <v>1077</v>
      </c>
      <c r="C18" s="1372">
        <f>'Rates in detail'!D17</f>
        <v>0.70457999999999954</v>
      </c>
      <c r="D18" s="1372">
        <f>'Rates in detail'!V17</f>
        <v>0.74225999999999948</v>
      </c>
      <c r="E18" s="1373">
        <f t="shared" si="0"/>
        <v>3.7679999999999936E-2</v>
      </c>
      <c r="F18" s="1041"/>
      <c r="G18" s="1745"/>
      <c r="H18" s="1289"/>
      <c r="I18" s="1041"/>
      <c r="J18" s="1041"/>
      <c r="K18" s="1041"/>
      <c r="L18" s="1041"/>
      <c r="M18" s="1041"/>
    </row>
    <row r="19" spans="1:13" ht="13.8" x14ac:dyDescent="0.25">
      <c r="A19" s="1375" t="s">
        <v>246</v>
      </c>
      <c r="B19" s="1376" t="s">
        <v>280</v>
      </c>
      <c r="C19" s="1377">
        <f>+'Avg Bill by RS'!G19</f>
        <v>250</v>
      </c>
      <c r="D19" s="1377">
        <f>+C19</f>
        <v>250</v>
      </c>
      <c r="E19" s="1379">
        <f t="shared" si="0"/>
        <v>0</v>
      </c>
      <c r="F19" s="1041"/>
      <c r="G19" s="1745"/>
      <c r="H19" s="1289"/>
      <c r="I19" s="1041"/>
      <c r="J19" s="1041"/>
      <c r="K19" s="1041"/>
      <c r="L19" s="1041"/>
      <c r="M19" s="1041"/>
    </row>
    <row r="20" spans="1:13" ht="13.8" x14ac:dyDescent="0.25">
      <c r="A20" s="1378"/>
      <c r="B20" s="1376" t="s">
        <v>283</v>
      </c>
      <c r="C20" s="1360">
        <f>+'Avg Bill by RS'!G25-'Avg Bill by RS'!G19</f>
        <v>250</v>
      </c>
      <c r="D20" s="1360">
        <f>+C20</f>
        <v>250</v>
      </c>
      <c r="E20" s="1379">
        <f t="shared" si="0"/>
        <v>0</v>
      </c>
      <c r="F20" s="1041"/>
      <c r="G20" s="1745"/>
      <c r="H20" s="1289"/>
      <c r="I20" s="1041"/>
      <c r="J20" s="1041"/>
      <c r="K20" s="1041"/>
      <c r="L20" s="1041"/>
      <c r="M20" s="1041"/>
    </row>
    <row r="21" spans="1:13" ht="13.8" x14ac:dyDescent="0.25">
      <c r="A21" s="1378"/>
      <c r="B21" s="1380" t="s">
        <v>335</v>
      </c>
      <c r="C21" s="1377">
        <v>1.66</v>
      </c>
      <c r="D21" s="1377">
        <f>Inputs!B22</f>
        <v>1.66</v>
      </c>
      <c r="E21" s="1379">
        <f t="shared" ref="E21:E81" si="1">SUM(D21-C21)</f>
        <v>0</v>
      </c>
      <c r="F21" s="1041"/>
      <c r="G21" s="1745"/>
      <c r="H21" s="1289"/>
      <c r="I21" s="1041"/>
      <c r="J21" s="1041"/>
      <c r="K21" s="1041"/>
      <c r="L21" s="1041"/>
      <c r="M21" s="1041"/>
    </row>
    <row r="22" spans="1:13" ht="13.8" x14ac:dyDescent="0.25">
      <c r="A22" s="1362"/>
      <c r="B22" s="1380" t="s">
        <v>336</v>
      </c>
      <c r="C22" s="1372">
        <v>0.1113</v>
      </c>
      <c r="D22" s="1372">
        <f>Inputs!B18</f>
        <v>0.1109</v>
      </c>
      <c r="E22" s="1373">
        <f t="shared" si="1"/>
        <v>-3.9999999999999758E-4</v>
      </c>
      <c r="F22" s="1041"/>
      <c r="G22" s="1745"/>
      <c r="H22" s="1289"/>
      <c r="I22" s="1041"/>
      <c r="J22" s="1041"/>
      <c r="K22" s="1041"/>
      <c r="L22" s="1041"/>
      <c r="M22" s="1041"/>
    </row>
    <row r="23" spans="1:13" ht="14.4" x14ac:dyDescent="0.25">
      <c r="A23" s="1381" t="s">
        <v>337</v>
      </c>
      <c r="B23" s="1382" t="s">
        <v>878</v>
      </c>
      <c r="C23" s="1383">
        <f>'Rates in detail'!D19</f>
        <v>0.49926000000000026</v>
      </c>
      <c r="D23" s="1383">
        <f>'Rates in detail'!V19</f>
        <v>0.54353000000000029</v>
      </c>
      <c r="E23" s="1384">
        <f t="shared" si="1"/>
        <v>4.4270000000000032E-2</v>
      </c>
      <c r="F23" s="1041"/>
      <c r="G23" s="1745"/>
      <c r="H23" s="1289"/>
      <c r="I23" s="1041"/>
      <c r="J23" s="1041"/>
      <c r="K23" s="1041"/>
      <c r="L23" s="1041"/>
      <c r="M23" s="1041"/>
    </row>
    <row r="24" spans="1:13" ht="14.4" x14ac:dyDescent="0.25">
      <c r="A24" s="1381"/>
      <c r="B24" s="1385" t="s">
        <v>334</v>
      </c>
      <c r="C24" s="1372">
        <f>'Rates in detail'!D20</f>
        <v>0.46017999999999998</v>
      </c>
      <c r="D24" s="1372">
        <f>'Rates in detail'!V20</f>
        <v>0.50379999999999991</v>
      </c>
      <c r="E24" s="1373">
        <f>SUM(D24-C24)</f>
        <v>4.3619999999999937E-2</v>
      </c>
      <c r="F24" s="1041"/>
      <c r="G24" s="1745"/>
      <c r="H24" s="1289"/>
      <c r="I24" s="1041"/>
      <c r="J24" s="1041"/>
      <c r="K24" s="1041"/>
      <c r="L24" s="1041"/>
      <c r="M24" s="1041"/>
    </row>
    <row r="25" spans="1:13" ht="14.4" x14ac:dyDescent="0.25">
      <c r="A25" s="1381"/>
      <c r="B25" s="1386" t="s">
        <v>879</v>
      </c>
      <c r="C25" s="1383">
        <f>'Rates in detail'!D25</f>
        <v>0.47592000000000023</v>
      </c>
      <c r="D25" s="1387">
        <f>'Rates in detail'!V25</f>
        <v>0.51405000000000034</v>
      </c>
      <c r="E25" s="1384">
        <f t="shared" si="1"/>
        <v>3.8130000000000108E-2</v>
      </c>
      <c r="F25" s="1041"/>
      <c r="G25" s="1745"/>
      <c r="H25" s="1289"/>
      <c r="I25" s="1041"/>
      <c r="J25" s="1041"/>
      <c r="K25" s="1041"/>
      <c r="L25" s="1041"/>
      <c r="M25" s="1041"/>
    </row>
    <row r="26" spans="1:13" ht="14.4" x14ac:dyDescent="0.25">
      <c r="A26" s="1388"/>
      <c r="B26" s="1389" t="s">
        <v>334</v>
      </c>
      <c r="C26" s="1372">
        <f>'Rates in detail'!D26</f>
        <v>0.43959999999999988</v>
      </c>
      <c r="D26" s="1372">
        <f>'Rates in detail'!V26</f>
        <v>0.47782999999999987</v>
      </c>
      <c r="E26" s="1373">
        <f>SUM(D26-C26)</f>
        <v>3.8229999999999986E-2</v>
      </c>
      <c r="F26" s="1041"/>
      <c r="G26" s="1745"/>
      <c r="H26" s="1289"/>
      <c r="I26" s="1041"/>
      <c r="J26" s="1041"/>
      <c r="K26" s="1041"/>
      <c r="L26" s="1041"/>
      <c r="M26" s="1041"/>
    </row>
    <row r="27" spans="1:13" ht="13.8" x14ac:dyDescent="0.25">
      <c r="A27" s="1381" t="s">
        <v>339</v>
      </c>
      <c r="B27" s="1390" t="s">
        <v>336</v>
      </c>
      <c r="C27" s="1391">
        <v>3.8879999999999998E-2</v>
      </c>
      <c r="D27" s="1391">
        <f>Inputs!B20</f>
        <v>3.8739999999999997E-2</v>
      </c>
      <c r="E27" s="1392">
        <f t="shared" si="1"/>
        <v>-1.4000000000000123E-4</v>
      </c>
      <c r="F27" s="1041"/>
      <c r="G27" s="1745"/>
      <c r="H27" s="1289"/>
      <c r="I27" s="1041"/>
      <c r="J27" s="1041"/>
      <c r="K27" s="1041"/>
      <c r="L27" s="1041"/>
      <c r="M27" s="1041"/>
    </row>
    <row r="28" spans="1:13" ht="14.4" x14ac:dyDescent="0.25">
      <c r="A28" s="1393"/>
      <c r="B28" s="1386" t="s">
        <v>878</v>
      </c>
      <c r="C28" s="1383">
        <f>'Rates in detail'!D21</f>
        <v>0.51518999999999993</v>
      </c>
      <c r="D28" s="1383">
        <f>'Rates in detail'!V21</f>
        <v>0.56037999999999999</v>
      </c>
      <c r="E28" s="1384">
        <f t="shared" si="1"/>
        <v>4.5190000000000063E-2</v>
      </c>
      <c r="F28" s="1041"/>
      <c r="G28" s="1745"/>
      <c r="H28" s="1289"/>
      <c r="I28" s="1041"/>
      <c r="J28" s="1041"/>
      <c r="K28" s="1041"/>
      <c r="L28" s="1041"/>
      <c r="M28" s="1041"/>
    </row>
    <row r="29" spans="1:13" ht="14.4" x14ac:dyDescent="0.25">
      <c r="A29" s="1393"/>
      <c r="B29" s="1385" t="s">
        <v>334</v>
      </c>
      <c r="C29" s="1372">
        <f>'Rates in detail'!D22</f>
        <v>0.47625999999999991</v>
      </c>
      <c r="D29" s="1372">
        <f>'Rates in detail'!V22</f>
        <v>0.52086999999999994</v>
      </c>
      <c r="E29" s="1373">
        <f>SUM(D29-C29)</f>
        <v>4.4610000000000039E-2</v>
      </c>
      <c r="F29" s="1041"/>
      <c r="G29" s="1745"/>
      <c r="H29" s="1289"/>
      <c r="I29" s="1041"/>
      <c r="J29" s="1041"/>
      <c r="K29" s="1041"/>
      <c r="L29" s="1041"/>
      <c r="M29" s="1041"/>
    </row>
    <row r="30" spans="1:13" ht="14.4" x14ac:dyDescent="0.25">
      <c r="A30" s="1393"/>
      <c r="B30" s="1386" t="s">
        <v>879</v>
      </c>
      <c r="C30" s="1383">
        <f>'Rates in detail'!D27</f>
        <v>0.4930000000000001</v>
      </c>
      <c r="D30" s="1383">
        <f>'Rates in detail'!V27</f>
        <v>0.53268000000000004</v>
      </c>
      <c r="E30" s="1384">
        <f>SUM(D30-C30)</f>
        <v>3.9679999999999938E-2</v>
      </c>
      <c r="F30" s="1041"/>
      <c r="G30" s="1745"/>
      <c r="H30" s="1289"/>
      <c r="I30" s="1041"/>
      <c r="J30" s="1041"/>
      <c r="K30" s="1041"/>
      <c r="L30" s="1041"/>
      <c r="M30" s="1041"/>
    </row>
    <row r="31" spans="1:13" ht="14.4" x14ac:dyDescent="0.25">
      <c r="A31" s="1388"/>
      <c r="B31" s="1394" t="s">
        <v>334</v>
      </c>
      <c r="C31" s="1372">
        <f>'Rates in detail'!D28</f>
        <v>0.45670999999999995</v>
      </c>
      <c r="D31" s="1372">
        <f>'Rates in detail'!V28</f>
        <v>0.49646999999999997</v>
      </c>
      <c r="E31" s="1373">
        <f>SUM(D31-C31)</f>
        <v>3.9760000000000018E-2</v>
      </c>
      <c r="F31" s="1041"/>
      <c r="G31" s="1745"/>
      <c r="H31" s="1289"/>
      <c r="I31" s="1041"/>
      <c r="J31" s="1041"/>
      <c r="K31" s="1041"/>
      <c r="L31" s="1041"/>
      <c r="M31" s="1041"/>
    </row>
    <row r="32" spans="1:13" ht="14.4" x14ac:dyDescent="0.25">
      <c r="A32" s="1381" t="s">
        <v>340</v>
      </c>
      <c r="B32" s="1386" t="s">
        <v>338</v>
      </c>
      <c r="C32" s="1383">
        <f>'Rates in detail'!D23</f>
        <v>0.30018999999999996</v>
      </c>
      <c r="D32" s="1383">
        <f>'Rates in detail'!V23</f>
        <v>0.30027999999999999</v>
      </c>
      <c r="E32" s="1384">
        <f t="shared" si="1"/>
        <v>9.0000000000034497E-5</v>
      </c>
      <c r="F32" s="1041"/>
      <c r="G32" s="1745"/>
      <c r="H32" s="1289"/>
      <c r="I32" s="1041"/>
      <c r="J32" s="1041"/>
      <c r="K32" s="1041"/>
      <c r="L32" s="1041"/>
      <c r="M32" s="1041"/>
    </row>
    <row r="33" spans="1:13" ht="14.4" x14ac:dyDescent="0.25">
      <c r="A33" s="1395"/>
      <c r="B33" s="1386" t="s">
        <v>334</v>
      </c>
      <c r="C33" s="1383">
        <f>'Rates in detail'!D24</f>
        <v>0.26449</v>
      </c>
      <c r="D33" s="1383">
        <f>'Rates in detail'!V24</f>
        <v>0.26457000000000003</v>
      </c>
      <c r="E33" s="1384">
        <f t="shared" si="1"/>
        <v>8.0000000000024496E-5</v>
      </c>
      <c r="F33" s="1041"/>
      <c r="G33" s="1745"/>
      <c r="H33" s="1289"/>
      <c r="I33" s="1041"/>
      <c r="J33" s="1041"/>
      <c r="K33" s="1041"/>
      <c r="L33" s="1041"/>
      <c r="M33" s="1041"/>
    </row>
    <row r="34" spans="1:13" ht="13.8" x14ac:dyDescent="0.25">
      <c r="A34" s="1396" t="s">
        <v>249</v>
      </c>
      <c r="B34" s="1397" t="s">
        <v>280</v>
      </c>
      <c r="C34" s="1731">
        <v>1300</v>
      </c>
      <c r="D34" s="1731">
        <v>1300</v>
      </c>
      <c r="E34" s="1682">
        <f t="shared" si="1"/>
        <v>0</v>
      </c>
      <c r="F34" s="1041"/>
      <c r="G34" s="1745"/>
      <c r="H34" s="1289"/>
      <c r="I34" s="1041"/>
      <c r="J34" s="1041"/>
      <c r="K34" s="1041"/>
      <c r="L34" s="1041"/>
      <c r="M34" s="1041"/>
    </row>
    <row r="35" spans="1:13" ht="13.8" x14ac:dyDescent="0.25">
      <c r="A35" s="1381" t="s">
        <v>337</v>
      </c>
      <c r="B35" s="1398" t="s">
        <v>283</v>
      </c>
      <c r="C35" s="1732">
        <v>250</v>
      </c>
      <c r="D35" s="1732">
        <v>250</v>
      </c>
      <c r="E35" s="1683">
        <f t="shared" si="1"/>
        <v>0</v>
      </c>
      <c r="F35" s="1041"/>
      <c r="G35" s="1745"/>
      <c r="H35" s="1289"/>
      <c r="I35" s="1041"/>
      <c r="J35" s="1041"/>
      <c r="K35" s="1041"/>
      <c r="L35" s="1041"/>
      <c r="M35" s="1041"/>
    </row>
    <row r="36" spans="1:13" ht="13.8" x14ac:dyDescent="0.25">
      <c r="A36" s="1395"/>
      <c r="B36" s="1399" t="s">
        <v>341</v>
      </c>
      <c r="C36" s="1383">
        <v>0.15748000000000001</v>
      </c>
      <c r="D36" s="1383">
        <f>Inputs!B24</f>
        <v>0.15748000000000001</v>
      </c>
      <c r="E36" s="1384">
        <f t="shared" si="1"/>
        <v>0</v>
      </c>
      <c r="F36" s="1041"/>
      <c r="G36" s="1745"/>
      <c r="H36" s="1289"/>
      <c r="I36" s="1041"/>
      <c r="J36" s="1041"/>
      <c r="K36" s="1041"/>
      <c r="L36" s="1041"/>
      <c r="M36" s="1041"/>
    </row>
    <row r="37" spans="1:13" ht="13.8" x14ac:dyDescent="0.25">
      <c r="A37" s="1400"/>
      <c r="B37" s="1399" t="s">
        <v>342</v>
      </c>
      <c r="C37" s="1383">
        <v>0.20415</v>
      </c>
      <c r="D37" s="1383">
        <f>Inputs!B26</f>
        <v>0.20415</v>
      </c>
      <c r="E37" s="1384">
        <f t="shared" si="1"/>
        <v>0</v>
      </c>
      <c r="F37" s="1041"/>
      <c r="G37" s="1745"/>
      <c r="H37" s="1289"/>
      <c r="I37" s="1041"/>
      <c r="J37" s="1041"/>
      <c r="K37" s="1041"/>
      <c r="L37" s="1041"/>
      <c r="M37" s="1041"/>
    </row>
    <row r="38" spans="1:13" ht="13.8" x14ac:dyDescent="0.25">
      <c r="A38" s="1400"/>
      <c r="B38" s="1399" t="s">
        <v>343</v>
      </c>
      <c r="C38" s="1377">
        <f>C21</f>
        <v>1.66</v>
      </c>
      <c r="D38" s="1377">
        <f>Inputs!B22</f>
        <v>1.66</v>
      </c>
      <c r="E38" s="1379">
        <f t="shared" si="1"/>
        <v>0</v>
      </c>
      <c r="F38" s="1041"/>
      <c r="G38" s="1745"/>
      <c r="H38" s="1289"/>
      <c r="I38" s="1041"/>
      <c r="J38" s="1041"/>
      <c r="K38" s="1041"/>
      <c r="L38" s="1041"/>
      <c r="M38" s="1041"/>
    </row>
    <row r="39" spans="1:13" ht="13.8" x14ac:dyDescent="0.25">
      <c r="A39" s="1362"/>
      <c r="B39" s="1398" t="s">
        <v>296</v>
      </c>
      <c r="C39" s="1372">
        <f>C22</f>
        <v>0.1113</v>
      </c>
      <c r="D39" s="1372">
        <f>Inputs!B18</f>
        <v>0.1109</v>
      </c>
      <c r="E39" s="1373">
        <f t="shared" si="1"/>
        <v>-3.9999999999999758E-4</v>
      </c>
      <c r="F39" s="1041"/>
      <c r="G39" s="1745"/>
      <c r="H39" s="1289"/>
      <c r="I39" s="1041"/>
      <c r="J39" s="1041"/>
      <c r="K39" s="1041"/>
      <c r="L39" s="1041"/>
      <c r="M39" s="1041"/>
    </row>
    <row r="40" spans="1:13" ht="14.4" x14ac:dyDescent="0.25">
      <c r="A40" s="1401" t="s">
        <v>740</v>
      </c>
      <c r="B40" s="1402" t="s">
        <v>344</v>
      </c>
      <c r="C40" s="1387">
        <f>'Rates in detail'!D29</f>
        <v>0.30433999999999994</v>
      </c>
      <c r="D40" s="1387">
        <f>'Rates in detail'!V29</f>
        <v>0.34572999999999998</v>
      </c>
      <c r="E40" s="1384">
        <f t="shared" ref="E40:E45" si="2">SUM(D40-C40)</f>
        <v>4.1390000000000038E-2</v>
      </c>
      <c r="F40" s="1041"/>
      <c r="G40" s="1745"/>
      <c r="H40" s="1289"/>
      <c r="I40" s="1041"/>
      <c r="J40" s="1041"/>
      <c r="K40" s="1041"/>
      <c r="L40" s="1041"/>
      <c r="M40" s="1041"/>
    </row>
    <row r="41" spans="1:13" ht="14.4" x14ac:dyDescent="0.25">
      <c r="A41" s="1400"/>
      <c r="B41" s="1402" t="s">
        <v>305</v>
      </c>
      <c r="C41" s="1383">
        <f>'Rates in detail'!D30</f>
        <v>0.29029999999999978</v>
      </c>
      <c r="D41" s="1383">
        <f>'Rates in detail'!V30</f>
        <v>0.33143999999999979</v>
      </c>
      <c r="E41" s="1384">
        <f t="shared" si="2"/>
        <v>4.114000000000001E-2</v>
      </c>
      <c r="F41" s="1041"/>
      <c r="G41" s="1745"/>
      <c r="H41" s="1289"/>
      <c r="I41" s="1041"/>
      <c r="J41" s="1041"/>
      <c r="K41" s="1041"/>
      <c r="L41" s="1041"/>
      <c r="M41" s="1041"/>
    </row>
    <row r="42" spans="1:13" ht="14.4" x14ac:dyDescent="0.25">
      <c r="A42" s="1400"/>
      <c r="B42" s="1402" t="s">
        <v>305</v>
      </c>
      <c r="C42" s="1383">
        <f>'Rates in detail'!D31</f>
        <v>0.26236999999999994</v>
      </c>
      <c r="D42" s="1383">
        <f>'Rates in detail'!V31</f>
        <v>0.30296999999999991</v>
      </c>
      <c r="E42" s="1384">
        <f t="shared" si="2"/>
        <v>4.0599999999999969E-2</v>
      </c>
      <c r="F42" s="1041"/>
      <c r="G42" s="1745"/>
      <c r="H42" s="1289"/>
      <c r="I42" s="1041"/>
      <c r="J42" s="1041"/>
      <c r="K42" s="1041"/>
      <c r="L42" s="1041"/>
      <c r="M42" s="1041"/>
    </row>
    <row r="43" spans="1:13" ht="14.4" x14ac:dyDescent="0.25">
      <c r="A43" s="1400"/>
      <c r="B43" s="1402" t="s">
        <v>306</v>
      </c>
      <c r="C43" s="1383">
        <f>'Rates in detail'!D32</f>
        <v>0.2439800000000002</v>
      </c>
      <c r="D43" s="1383">
        <f>'Rates in detail'!V32</f>
        <v>0.28424000000000021</v>
      </c>
      <c r="E43" s="1384">
        <f t="shared" si="2"/>
        <v>4.0260000000000018E-2</v>
      </c>
      <c r="F43" s="1041"/>
      <c r="G43" s="1745"/>
      <c r="H43" s="1289"/>
      <c r="I43" s="1041"/>
      <c r="J43" s="1041"/>
      <c r="K43" s="1041"/>
      <c r="L43" s="1041"/>
      <c r="M43" s="1041"/>
    </row>
    <row r="44" spans="1:13" ht="14.4" x14ac:dyDescent="0.25">
      <c r="A44" s="1400"/>
      <c r="B44" s="1402" t="s">
        <v>307</v>
      </c>
      <c r="C44" s="1383">
        <f>'Rates in detail'!D33</f>
        <v>0.21944999999999995</v>
      </c>
      <c r="D44" s="1383">
        <f>'Rates in detail'!V33</f>
        <v>0.25923999999999991</v>
      </c>
      <c r="E44" s="1384">
        <f t="shared" si="2"/>
        <v>3.9789999999999964E-2</v>
      </c>
      <c r="F44" s="1041"/>
      <c r="G44" s="1745"/>
      <c r="H44" s="1289"/>
      <c r="I44" s="1041"/>
      <c r="J44" s="1041"/>
      <c r="K44" s="1041"/>
      <c r="L44" s="1041"/>
      <c r="M44" s="1041"/>
    </row>
    <row r="45" spans="1:13" ht="14.4" x14ac:dyDescent="0.25">
      <c r="A45" s="1362"/>
      <c r="B45" s="1403" t="s">
        <v>334</v>
      </c>
      <c r="C45" s="1372">
        <f>'Rates in detail'!D34</f>
        <v>0.18881000000000006</v>
      </c>
      <c r="D45" s="1372">
        <f>'Rates in detail'!V34</f>
        <v>0.22801000000000007</v>
      </c>
      <c r="E45" s="1373">
        <f t="shared" si="2"/>
        <v>3.9200000000000013E-2</v>
      </c>
      <c r="F45" s="1041"/>
      <c r="G45" s="1745"/>
      <c r="H45" s="1289"/>
      <c r="I45" s="1041"/>
      <c r="J45" s="1041"/>
      <c r="K45" s="1041"/>
      <c r="L45" s="1041"/>
      <c r="M45" s="1041"/>
    </row>
    <row r="46" spans="1:13" ht="14.4" x14ac:dyDescent="0.25">
      <c r="A46" s="1401" t="s">
        <v>741</v>
      </c>
      <c r="B46" s="1402" t="s">
        <v>344</v>
      </c>
      <c r="C46" s="1383">
        <f>'Rates in detail'!D35</f>
        <v>0.29139999999999999</v>
      </c>
      <c r="D46" s="1383">
        <f>'Rates in detail'!V35</f>
        <v>0.32991000000000004</v>
      </c>
      <c r="E46" s="1384">
        <f t="shared" si="1"/>
        <v>3.8510000000000044E-2</v>
      </c>
      <c r="F46" s="1041"/>
      <c r="G46" s="1745"/>
      <c r="H46" s="1289"/>
      <c r="I46" s="1041"/>
      <c r="J46" s="1041"/>
      <c r="K46" s="1041"/>
      <c r="L46" s="1041"/>
      <c r="M46" s="1041"/>
    </row>
    <row r="47" spans="1:13" ht="14.4" x14ac:dyDescent="0.25">
      <c r="A47" s="1400"/>
      <c r="B47" s="1402" t="s">
        <v>305</v>
      </c>
      <c r="C47" s="1383">
        <f>'Rates in detail'!D36</f>
        <v>0.27872000000000008</v>
      </c>
      <c r="D47" s="1383">
        <f>'Rates in detail'!V36</f>
        <v>0.31727000000000005</v>
      </c>
      <c r="E47" s="1384">
        <f t="shared" si="1"/>
        <v>3.8549999999999973E-2</v>
      </c>
      <c r="F47" s="1041"/>
      <c r="G47" s="1745"/>
      <c r="H47" s="1289"/>
      <c r="I47" s="1041"/>
      <c r="J47" s="1041"/>
      <c r="K47" s="1041"/>
      <c r="L47" s="1041"/>
      <c r="M47" s="1041"/>
    </row>
    <row r="48" spans="1:13" ht="14.4" x14ac:dyDescent="0.25">
      <c r="A48" s="1400"/>
      <c r="B48" s="1402" t="s">
        <v>305</v>
      </c>
      <c r="C48" s="1383">
        <f>'Rates in detail'!D37</f>
        <v>0.25346999999999992</v>
      </c>
      <c r="D48" s="1383">
        <f>'Rates in detail'!V37</f>
        <v>0.29208999999999991</v>
      </c>
      <c r="E48" s="1384">
        <f t="shared" si="1"/>
        <v>3.8619999999999988E-2</v>
      </c>
      <c r="F48" s="1041"/>
      <c r="G48" s="1745"/>
      <c r="H48" s="1289"/>
      <c r="I48" s="1041"/>
      <c r="J48" s="1041"/>
      <c r="K48" s="1041"/>
      <c r="L48" s="1041"/>
      <c r="M48" s="1041"/>
    </row>
    <row r="49" spans="1:13" ht="14.4" x14ac:dyDescent="0.25">
      <c r="A49" s="1400"/>
      <c r="B49" s="1402" t="s">
        <v>306</v>
      </c>
      <c r="C49" s="1383">
        <f>'Rates in detail'!D38</f>
        <v>0.23686000000000015</v>
      </c>
      <c r="D49" s="1383">
        <f>'Rates in detail'!V38</f>
        <v>0.27553000000000016</v>
      </c>
      <c r="E49" s="1384">
        <f t="shared" si="1"/>
        <v>3.867000000000001E-2</v>
      </c>
      <c r="F49" s="1041"/>
      <c r="G49" s="1745"/>
      <c r="H49" s="1289"/>
      <c r="I49" s="1041"/>
      <c r="J49" s="1041"/>
      <c r="K49" s="1041"/>
      <c r="L49" s="1041"/>
      <c r="M49" s="1041"/>
    </row>
    <row r="50" spans="1:13" ht="14.4" x14ac:dyDescent="0.25">
      <c r="A50" s="1400"/>
      <c r="B50" s="1402" t="s">
        <v>307</v>
      </c>
      <c r="C50" s="1383">
        <f>'Rates in detail'!D39</f>
        <v>0.2147300000000002</v>
      </c>
      <c r="D50" s="1383">
        <f>'Rates in detail'!V39</f>
        <v>0.25346000000000019</v>
      </c>
      <c r="E50" s="1384">
        <f t="shared" si="1"/>
        <v>3.8729999999999987E-2</v>
      </c>
      <c r="F50" s="1041"/>
      <c r="G50" s="1745"/>
      <c r="H50" s="1289"/>
      <c r="I50" s="1041"/>
      <c r="J50" s="1041"/>
      <c r="K50" s="1041"/>
      <c r="L50" s="1041"/>
      <c r="M50" s="1041"/>
    </row>
    <row r="51" spans="1:13" ht="14.4" x14ac:dyDescent="0.25">
      <c r="A51" s="1362"/>
      <c r="B51" s="1404" t="s">
        <v>334</v>
      </c>
      <c r="C51" s="1372">
        <f>'Rates in detail'!D40</f>
        <v>0.18703999999999993</v>
      </c>
      <c r="D51" s="1372">
        <f>'Rates in detail'!V40</f>
        <v>0.22583999999999993</v>
      </c>
      <c r="E51" s="1373">
        <f t="shared" si="1"/>
        <v>3.8800000000000001E-2</v>
      </c>
      <c r="F51" s="1041"/>
      <c r="G51" s="1745"/>
      <c r="H51" s="1289"/>
      <c r="I51" s="1041"/>
      <c r="J51" s="1041"/>
      <c r="K51" s="1041"/>
      <c r="L51" s="1041"/>
      <c r="M51" s="1041"/>
    </row>
    <row r="52" spans="1:13" ht="13.8" x14ac:dyDescent="0.25">
      <c r="A52" s="1396" t="s">
        <v>249</v>
      </c>
      <c r="B52" s="1380" t="s">
        <v>296</v>
      </c>
      <c r="C52" s="1383">
        <f>C27</f>
        <v>3.8879999999999998E-2</v>
      </c>
      <c r="D52" s="1383">
        <f>Inputs!B20</f>
        <v>3.8739999999999997E-2</v>
      </c>
      <c r="E52" s="1384">
        <f t="shared" si="1"/>
        <v>-1.4000000000000123E-4</v>
      </c>
      <c r="F52" s="1041"/>
      <c r="G52" s="1745"/>
      <c r="H52" s="1289"/>
      <c r="I52" s="1041"/>
      <c r="J52" s="1041"/>
      <c r="K52" s="1041"/>
      <c r="L52" s="1041"/>
      <c r="M52" s="1041"/>
    </row>
    <row r="53" spans="1:13" ht="13.8" x14ac:dyDescent="0.25">
      <c r="A53" s="1405" t="s">
        <v>339</v>
      </c>
      <c r="B53" s="1398" t="s">
        <v>256</v>
      </c>
      <c r="C53" s="1372">
        <v>0.10208</v>
      </c>
      <c r="D53" s="1372">
        <f>Inputs!$B$28</f>
        <v>0.10208</v>
      </c>
      <c r="E53" s="1373">
        <f t="shared" si="1"/>
        <v>0</v>
      </c>
      <c r="F53" s="1041"/>
      <c r="G53" s="1745"/>
      <c r="H53" s="1289"/>
      <c r="I53" s="1041"/>
      <c r="J53" s="1041"/>
      <c r="K53" s="1041"/>
      <c r="L53" s="1041"/>
      <c r="M53" s="1041"/>
    </row>
    <row r="54" spans="1:13" ht="14.4" x14ac:dyDescent="0.25">
      <c r="A54" s="1401" t="s">
        <v>740</v>
      </c>
      <c r="B54" s="1406" t="s">
        <v>344</v>
      </c>
      <c r="C54" s="1383">
        <f>'Rates in detail'!D47</f>
        <v>0.31897999999999999</v>
      </c>
      <c r="D54" s="1383">
        <f>'Rates in detail'!V47</f>
        <v>0.36033999999999999</v>
      </c>
      <c r="E54" s="1384">
        <f t="shared" si="1"/>
        <v>4.1360000000000008E-2</v>
      </c>
      <c r="F54" s="1041"/>
      <c r="G54" s="1745"/>
      <c r="H54" s="1289"/>
      <c r="I54" s="1041"/>
      <c r="J54" s="1041"/>
      <c r="K54" s="1041"/>
      <c r="L54" s="1041"/>
      <c r="M54" s="1041"/>
    </row>
    <row r="55" spans="1:13" ht="14.4" x14ac:dyDescent="0.25">
      <c r="A55" s="1381"/>
      <c r="B55" s="1406" t="s">
        <v>305</v>
      </c>
      <c r="C55" s="1383">
        <f>'Rates in detail'!D48</f>
        <v>0.30522999999999989</v>
      </c>
      <c r="D55" s="1383">
        <f>'Rates in detail'!V48</f>
        <v>0.3464799999999999</v>
      </c>
      <c r="E55" s="1384">
        <f t="shared" si="1"/>
        <v>4.1250000000000009E-2</v>
      </c>
      <c r="F55" s="1041"/>
      <c r="G55" s="1745"/>
      <c r="H55" s="1289"/>
      <c r="I55" s="1041"/>
      <c r="J55" s="1041"/>
      <c r="K55" s="1041"/>
      <c r="L55" s="1041"/>
      <c r="M55" s="1041"/>
    </row>
    <row r="56" spans="1:13" ht="14.4" x14ac:dyDescent="0.25">
      <c r="A56" s="1381"/>
      <c r="B56" s="1406" t="s">
        <v>345</v>
      </c>
      <c r="C56" s="1383">
        <f>'Rates in detail'!D49</f>
        <v>0.27787000000000012</v>
      </c>
      <c r="D56" s="1383">
        <f>'Rates in detail'!V49</f>
        <v>0.31891000000000008</v>
      </c>
      <c r="E56" s="1384">
        <f t="shared" si="1"/>
        <v>4.1039999999999965E-2</v>
      </c>
      <c r="F56" s="1041"/>
      <c r="G56" s="1745"/>
      <c r="H56" s="1289"/>
      <c r="I56" s="1041"/>
      <c r="J56" s="1041"/>
      <c r="K56" s="1041"/>
      <c r="L56" s="1041"/>
      <c r="M56" s="1041"/>
    </row>
    <row r="57" spans="1:13" ht="14.4" x14ac:dyDescent="0.25">
      <c r="A57" s="1381"/>
      <c r="B57" s="1406" t="s">
        <v>306</v>
      </c>
      <c r="C57" s="1383">
        <f>'Rates in detail'!D50</f>
        <v>0.25987999999999994</v>
      </c>
      <c r="D57" s="1383">
        <f>'Rates in detail'!V50</f>
        <v>0.30076999999999993</v>
      </c>
      <c r="E57" s="1384">
        <f t="shared" si="1"/>
        <v>4.0889999999999982E-2</v>
      </c>
      <c r="F57" s="1041"/>
      <c r="G57" s="1745"/>
      <c r="H57" s="1289"/>
      <c r="I57" s="1041"/>
      <c r="J57" s="1041"/>
      <c r="K57" s="1041"/>
      <c r="L57" s="1041"/>
      <c r="M57" s="1041"/>
    </row>
    <row r="58" spans="1:13" ht="14.4" x14ac:dyDescent="0.25">
      <c r="A58" s="1381"/>
      <c r="B58" s="1406" t="s">
        <v>307</v>
      </c>
      <c r="C58" s="1383">
        <f>'Rates in detail'!D51</f>
        <v>0.23588000000000003</v>
      </c>
      <c r="D58" s="1383">
        <f>'Rates in detail'!V51</f>
        <v>0.27660000000000001</v>
      </c>
      <c r="E58" s="1384">
        <f t="shared" si="1"/>
        <v>4.0719999999999978E-2</v>
      </c>
      <c r="F58" s="1041"/>
      <c r="G58" s="1745"/>
      <c r="H58" s="1289"/>
      <c r="I58" s="1041"/>
      <c r="J58" s="1041"/>
      <c r="K58" s="1041"/>
      <c r="L58" s="1041"/>
      <c r="M58" s="1041"/>
    </row>
    <row r="59" spans="1:13" ht="14.4" x14ac:dyDescent="0.25">
      <c r="A59" s="1407"/>
      <c r="B59" s="1403" t="s">
        <v>334</v>
      </c>
      <c r="C59" s="1372">
        <f>'Rates in detail'!D52</f>
        <v>0.20589999999999992</v>
      </c>
      <c r="D59" s="1372">
        <f>'Rates in detail'!V52</f>
        <v>0.2463799999999999</v>
      </c>
      <c r="E59" s="1373">
        <f t="shared" si="1"/>
        <v>4.0479999999999988E-2</v>
      </c>
      <c r="F59" s="1041"/>
      <c r="G59" s="1745"/>
      <c r="H59" s="1289"/>
      <c r="I59" s="1041"/>
      <c r="J59" s="1041"/>
      <c r="K59" s="1041"/>
      <c r="L59" s="1041"/>
      <c r="M59" s="1041"/>
    </row>
    <row r="60" spans="1:13" ht="14.4" x14ac:dyDescent="0.25">
      <c r="A60" s="1401" t="s">
        <v>741</v>
      </c>
      <c r="B60" s="1406" t="s">
        <v>344</v>
      </c>
      <c r="C60" s="1383">
        <f>'Rates in detail'!D53</f>
        <v>0.30886999999999998</v>
      </c>
      <c r="D60" s="1383">
        <f>'Rates in detail'!V53</f>
        <v>0.34927999999999992</v>
      </c>
      <c r="E60" s="1384">
        <f t="shared" si="1"/>
        <v>4.0409999999999946E-2</v>
      </c>
      <c r="F60" s="1041"/>
      <c r="G60" s="1745"/>
      <c r="H60" s="1289"/>
      <c r="I60" s="1041"/>
      <c r="J60" s="1041"/>
      <c r="K60" s="1041"/>
      <c r="L60" s="1041"/>
      <c r="M60" s="1041"/>
    </row>
    <row r="61" spans="1:13" ht="14.4" x14ac:dyDescent="0.25">
      <c r="A61" s="1400"/>
      <c r="B61" s="1406" t="s">
        <v>305</v>
      </c>
      <c r="C61" s="1383">
        <f>'Rates in detail'!D54</f>
        <v>0.29617999999999989</v>
      </c>
      <c r="D61" s="1383">
        <f>'Rates in detail'!V54</f>
        <v>0.33658999999999989</v>
      </c>
      <c r="E61" s="1384">
        <f t="shared" si="1"/>
        <v>4.0410000000000001E-2</v>
      </c>
      <c r="F61" s="1041"/>
      <c r="G61" s="1745"/>
      <c r="H61" s="1289"/>
      <c r="I61" s="1041"/>
      <c r="J61" s="1041"/>
      <c r="K61" s="1041"/>
      <c r="L61" s="1041"/>
      <c r="M61" s="1041"/>
    </row>
    <row r="62" spans="1:13" ht="14.4" x14ac:dyDescent="0.25">
      <c r="A62" s="1400"/>
      <c r="B62" s="1406" t="s">
        <v>345</v>
      </c>
      <c r="C62" s="1383">
        <f>'Rates in detail'!D55</f>
        <v>0.27094000000000013</v>
      </c>
      <c r="D62" s="1383">
        <f>'Rates in detail'!V55</f>
        <v>0.31133000000000016</v>
      </c>
      <c r="E62" s="1384">
        <f t="shared" si="1"/>
        <v>4.0390000000000037E-2</v>
      </c>
      <c r="F62" s="1041"/>
      <c r="G62" s="1745"/>
      <c r="H62" s="1289"/>
      <c r="I62" s="1041"/>
      <c r="J62" s="1041"/>
      <c r="K62" s="1041"/>
      <c r="L62" s="1041"/>
      <c r="M62" s="1041"/>
    </row>
    <row r="63" spans="1:13" ht="14.4" x14ac:dyDescent="0.25">
      <c r="A63" s="1400"/>
      <c r="B63" s="1406" t="s">
        <v>306</v>
      </c>
      <c r="C63" s="1383">
        <f>'Rates in detail'!D56</f>
        <v>0.25432999999999983</v>
      </c>
      <c r="D63" s="1383">
        <f>'Rates in detail'!V56</f>
        <v>0.29469999999999985</v>
      </c>
      <c r="E63" s="1384">
        <f t="shared" si="1"/>
        <v>4.0370000000000017E-2</v>
      </c>
      <c r="F63" s="1041"/>
      <c r="G63" s="1745"/>
      <c r="H63" s="1289"/>
      <c r="I63" s="1041"/>
      <c r="J63" s="1041"/>
      <c r="K63" s="1041"/>
      <c r="L63" s="1041"/>
      <c r="M63" s="1041"/>
    </row>
    <row r="64" spans="1:13" ht="14.4" x14ac:dyDescent="0.25">
      <c r="A64" s="1400"/>
      <c r="B64" s="1406" t="s">
        <v>307</v>
      </c>
      <c r="C64" s="1383">
        <f>'Rates in detail'!D57</f>
        <v>0.23218000000000003</v>
      </c>
      <c r="D64" s="1383">
        <f>'Rates in detail'!V57</f>
        <v>0.27254</v>
      </c>
      <c r="E64" s="1384">
        <f t="shared" si="1"/>
        <v>4.0359999999999979E-2</v>
      </c>
      <c r="F64" s="1041"/>
      <c r="G64" s="1745"/>
      <c r="H64" s="1289"/>
      <c r="I64" s="1041"/>
      <c r="J64" s="1041"/>
      <c r="K64" s="1041"/>
      <c r="L64" s="1041"/>
      <c r="M64" s="1041"/>
    </row>
    <row r="65" spans="1:13" ht="14.4" x14ac:dyDescent="0.25">
      <c r="A65" s="1362"/>
      <c r="B65" s="1403" t="s">
        <v>334</v>
      </c>
      <c r="C65" s="1372">
        <f>'Rates in detail'!D58</f>
        <v>0.20451999999999992</v>
      </c>
      <c r="D65" s="1372">
        <f>'Rates in detail'!V58</f>
        <v>0.24485999999999991</v>
      </c>
      <c r="E65" s="1373">
        <f t="shared" si="1"/>
        <v>4.0339999999999987E-2</v>
      </c>
      <c r="F65" s="1041"/>
      <c r="G65" s="1745"/>
      <c r="H65" s="1289"/>
      <c r="I65" s="1041"/>
      <c r="J65" s="1041"/>
      <c r="K65" s="1041"/>
      <c r="L65" s="1041"/>
      <c r="M65" s="1041"/>
    </row>
    <row r="66" spans="1:13" ht="13.8" x14ac:dyDescent="0.25">
      <c r="A66" s="1381" t="s">
        <v>340</v>
      </c>
      <c r="B66" s="1390" t="s">
        <v>341</v>
      </c>
      <c r="C66" s="1391">
        <v>0.15748000000000001</v>
      </c>
      <c r="D66" s="1391">
        <f>Inputs!B24</f>
        <v>0.15748000000000001</v>
      </c>
      <c r="E66" s="1392">
        <f t="shared" si="1"/>
        <v>0</v>
      </c>
      <c r="F66" s="1041"/>
      <c r="G66" s="1745"/>
      <c r="H66" s="1289"/>
      <c r="I66" s="1041"/>
      <c r="J66" s="1041"/>
      <c r="K66" s="1041"/>
      <c r="L66" s="1041"/>
      <c r="M66" s="1041"/>
    </row>
    <row r="67" spans="1:13" ht="14.4" x14ac:dyDescent="0.25">
      <c r="A67" s="1400"/>
      <c r="B67" s="1406" t="s">
        <v>344</v>
      </c>
      <c r="C67" s="1383">
        <f>'Rates in detail'!D41</f>
        <v>0.11795</v>
      </c>
      <c r="D67" s="1383">
        <f>'Rates in detail'!V41</f>
        <v>0.11796</v>
      </c>
      <c r="E67" s="1384">
        <f t="shared" si="1"/>
        <v>9.9999999999961231E-6</v>
      </c>
      <c r="F67" s="1041"/>
      <c r="G67" s="1745"/>
      <c r="H67" s="1289"/>
      <c r="I67" s="1041"/>
      <c r="J67" s="1041"/>
      <c r="K67" s="1041"/>
      <c r="L67" s="1041"/>
      <c r="M67" s="1041"/>
    </row>
    <row r="68" spans="1:13" ht="14.4" x14ac:dyDescent="0.25">
      <c r="A68" s="1400"/>
      <c r="B68" s="1406" t="s">
        <v>305</v>
      </c>
      <c r="C68" s="1383">
        <f>'Rates in detail'!D42</f>
        <v>0.10557999999999999</v>
      </c>
      <c r="D68" s="1383">
        <f>'Rates in detail'!V42</f>
        <v>0.10558999999999999</v>
      </c>
      <c r="E68" s="1384">
        <f t="shared" si="1"/>
        <v>9.9999999999961231E-6</v>
      </c>
      <c r="F68" s="1041"/>
      <c r="G68" s="1745"/>
      <c r="H68" s="1289"/>
      <c r="I68" s="1041"/>
      <c r="J68" s="1041"/>
      <c r="K68" s="1041"/>
      <c r="L68" s="1041"/>
      <c r="M68" s="1041"/>
    </row>
    <row r="69" spans="1:13" ht="14.4" x14ac:dyDescent="0.25">
      <c r="A69" s="1400"/>
      <c r="B69" s="1406" t="s">
        <v>305</v>
      </c>
      <c r="C69" s="1383">
        <f>'Rates in detail'!D43</f>
        <v>8.0960000000000004E-2</v>
      </c>
      <c r="D69" s="1383">
        <f>'Rates in detail'!V43</f>
        <v>8.097E-2</v>
      </c>
      <c r="E69" s="1384">
        <f t="shared" si="1"/>
        <v>9.9999999999961231E-6</v>
      </c>
      <c r="F69" s="1041"/>
      <c r="G69" s="1745"/>
      <c r="H69" s="1289"/>
      <c r="I69" s="1041"/>
      <c r="J69" s="1041"/>
      <c r="K69" s="1041"/>
      <c r="L69" s="1041"/>
      <c r="M69" s="1041"/>
    </row>
    <row r="70" spans="1:13" ht="14.4" x14ac:dyDescent="0.25">
      <c r="A70" s="1400"/>
      <c r="B70" s="1406" t="s">
        <v>306</v>
      </c>
      <c r="C70" s="1383">
        <f>'Rates in detail'!D44</f>
        <v>6.4769999999999994E-2</v>
      </c>
      <c r="D70" s="1383">
        <f>'Rates in detail'!V44</f>
        <v>6.4780000000000004E-2</v>
      </c>
      <c r="E70" s="1384">
        <f t="shared" si="1"/>
        <v>1.0000000000010001E-5</v>
      </c>
      <c r="F70" s="1041"/>
      <c r="G70" s="1745"/>
      <c r="H70" s="1289"/>
      <c r="I70" s="1041"/>
      <c r="J70" s="1041"/>
      <c r="K70" s="1041"/>
      <c r="L70" s="1041"/>
      <c r="M70" s="1041"/>
    </row>
    <row r="71" spans="1:13" ht="14.4" x14ac:dyDescent="0.25">
      <c r="A71" s="1400"/>
      <c r="B71" s="1406" t="s">
        <v>307</v>
      </c>
      <c r="C71" s="1383">
        <f>'Rates in detail'!D45</f>
        <v>4.3180000000000003E-2</v>
      </c>
      <c r="D71" s="1383">
        <f>'Rates in detail'!V45</f>
        <v>4.3190000000000006E-2</v>
      </c>
      <c r="E71" s="1384">
        <f t="shared" si="1"/>
        <v>1.0000000000003062E-5</v>
      </c>
      <c r="F71" s="1041"/>
      <c r="G71" s="1745"/>
      <c r="H71" s="1289"/>
      <c r="I71" s="1041"/>
      <c r="J71" s="1041"/>
      <c r="K71" s="1041"/>
      <c r="L71" s="1041"/>
      <c r="M71" s="1041"/>
    </row>
    <row r="72" spans="1:13" ht="14.4" x14ac:dyDescent="0.25">
      <c r="A72" s="1362"/>
      <c r="B72" s="1403" t="s">
        <v>334</v>
      </c>
      <c r="C72" s="1372">
        <f>'Rates in detail'!D46</f>
        <v>1.619E-2</v>
      </c>
      <c r="D72" s="1372">
        <f>'Rates in detail'!V46</f>
        <v>1.619E-2</v>
      </c>
      <c r="E72" s="1373">
        <f t="shared" si="1"/>
        <v>0</v>
      </c>
      <c r="F72" s="1041"/>
      <c r="G72" s="1745"/>
      <c r="H72" s="1289"/>
      <c r="I72" s="1041"/>
      <c r="J72" s="1041"/>
      <c r="K72" s="1041"/>
      <c r="L72" s="1041"/>
      <c r="M72" s="1041"/>
    </row>
    <row r="73" spans="1:13" ht="14.4" x14ac:dyDescent="0.25">
      <c r="A73" s="1395" t="s">
        <v>346</v>
      </c>
      <c r="B73" s="1406" t="s">
        <v>344</v>
      </c>
      <c r="C73" s="1383">
        <f>'Rates in detail'!D59</f>
        <v>0.11796999999999999</v>
      </c>
      <c r="D73" s="1383">
        <f>'Rates in detail'!V59</f>
        <v>0.11797999999999999</v>
      </c>
      <c r="E73" s="1384">
        <f t="shared" si="1"/>
        <v>9.9999999999961231E-6</v>
      </c>
      <c r="F73" s="1041"/>
      <c r="G73" s="1745"/>
      <c r="H73" s="1289"/>
      <c r="I73" s="1041"/>
      <c r="J73" s="1041"/>
      <c r="K73" s="1041"/>
      <c r="L73" s="1041"/>
      <c r="M73" s="1041"/>
    </row>
    <row r="74" spans="1:13" ht="14.4" x14ac:dyDescent="0.25">
      <c r="A74" s="1400"/>
      <c r="B74" s="1406" t="s">
        <v>305</v>
      </c>
      <c r="C74" s="1383">
        <f>'Rates in detail'!D60</f>
        <v>0.1056</v>
      </c>
      <c r="D74" s="1383">
        <f>'Rates in detail'!V60</f>
        <v>0.10561</v>
      </c>
      <c r="E74" s="1384">
        <f t="shared" si="1"/>
        <v>9.9999999999961231E-6</v>
      </c>
      <c r="F74" s="1041"/>
      <c r="G74" s="1745"/>
      <c r="H74" s="1289"/>
      <c r="I74" s="1041"/>
      <c r="J74" s="1041"/>
      <c r="K74" s="1041"/>
      <c r="L74" s="1041"/>
      <c r="M74" s="1041"/>
    </row>
    <row r="75" spans="1:13" ht="14.4" x14ac:dyDescent="0.25">
      <c r="A75" s="1400"/>
      <c r="B75" s="1406" t="s">
        <v>305</v>
      </c>
      <c r="C75" s="1383">
        <f>'Rates in detail'!D61</f>
        <v>8.0979999999999996E-2</v>
      </c>
      <c r="D75" s="1383">
        <f>'Rates in detail'!V61</f>
        <v>8.0979999999999996E-2</v>
      </c>
      <c r="E75" s="1384">
        <f t="shared" si="1"/>
        <v>0</v>
      </c>
      <c r="F75" s="1041"/>
      <c r="G75" s="1745"/>
      <c r="H75" s="1289"/>
      <c r="I75" s="1041"/>
      <c r="J75" s="1041"/>
      <c r="K75" s="1041"/>
      <c r="L75" s="1041"/>
      <c r="M75" s="1041"/>
    </row>
    <row r="76" spans="1:13" ht="14.4" x14ac:dyDescent="0.25">
      <c r="A76" s="1400"/>
      <c r="B76" s="1406" t="s">
        <v>306</v>
      </c>
      <c r="C76" s="1383">
        <f>'Rates in detail'!D62</f>
        <v>6.479E-2</v>
      </c>
      <c r="D76" s="1383">
        <f>'Rates in detail'!V62</f>
        <v>6.479E-2</v>
      </c>
      <c r="E76" s="1384">
        <f t="shared" si="1"/>
        <v>0</v>
      </c>
      <c r="F76" s="1041"/>
      <c r="G76" s="1745"/>
      <c r="H76" s="1289"/>
      <c r="I76" s="1041"/>
      <c r="J76" s="1041"/>
      <c r="K76" s="1041"/>
      <c r="L76" s="1041"/>
      <c r="M76" s="1041"/>
    </row>
    <row r="77" spans="1:13" ht="14.4" x14ac:dyDescent="0.25">
      <c r="A77" s="1400"/>
      <c r="B77" s="1406" t="s">
        <v>307</v>
      </c>
      <c r="C77" s="1383">
        <f>'Rates in detail'!D63</f>
        <v>4.3190000000000006E-2</v>
      </c>
      <c r="D77" s="1383">
        <f>'Rates in detail'!V63</f>
        <v>4.3200000000000002E-2</v>
      </c>
      <c r="E77" s="1384">
        <f t="shared" si="1"/>
        <v>9.9999999999961231E-6</v>
      </c>
      <c r="F77" s="1041"/>
      <c r="G77" s="1745"/>
      <c r="H77" s="1289"/>
      <c r="I77" s="1041"/>
      <c r="J77" s="1041"/>
      <c r="K77" s="1041"/>
      <c r="L77" s="1041"/>
      <c r="M77" s="1041"/>
    </row>
    <row r="78" spans="1:13" ht="13.5" customHeight="1" x14ac:dyDescent="0.25">
      <c r="A78" s="1362"/>
      <c r="B78" s="1403" t="s">
        <v>334</v>
      </c>
      <c r="C78" s="1372">
        <f>'Rates in detail'!D64</f>
        <v>1.619E-2</v>
      </c>
      <c r="D78" s="1372">
        <f>'Rates in detail'!V64</f>
        <v>1.619E-2</v>
      </c>
      <c r="E78" s="1373">
        <f t="shared" si="1"/>
        <v>0</v>
      </c>
      <c r="F78" s="1041"/>
      <c r="G78" s="1745"/>
      <c r="H78" s="1289"/>
      <c r="I78" s="1041"/>
      <c r="J78" s="1041"/>
      <c r="K78" s="1041"/>
      <c r="L78" s="1041"/>
      <c r="M78" s="1041"/>
    </row>
    <row r="79" spans="1:13" ht="13.8" x14ac:dyDescent="0.25">
      <c r="A79" s="1408" t="s">
        <v>253</v>
      </c>
      <c r="B79" s="1380" t="s">
        <v>280</v>
      </c>
      <c r="C79" s="1377">
        <v>38000</v>
      </c>
      <c r="D79" s="1377">
        <v>38000</v>
      </c>
      <c r="E79" s="1379">
        <f t="shared" si="1"/>
        <v>0</v>
      </c>
      <c r="F79" s="1041"/>
      <c r="G79" s="1745"/>
      <c r="H79" s="1289"/>
      <c r="I79" s="1041"/>
      <c r="J79" s="1041"/>
      <c r="K79" s="1041"/>
      <c r="L79" s="1041"/>
      <c r="M79" s="1041"/>
    </row>
    <row r="80" spans="1:13" ht="33" customHeight="1" x14ac:dyDescent="0.25">
      <c r="A80" s="1378" t="s">
        <v>347</v>
      </c>
      <c r="B80" s="1398" t="s">
        <v>348</v>
      </c>
      <c r="C80" s="1372">
        <v>0.15748000000000001</v>
      </c>
      <c r="D80" s="1372">
        <f>Inputs!B24</f>
        <v>0.15748000000000001</v>
      </c>
      <c r="E80" s="1373">
        <f t="shared" si="1"/>
        <v>0</v>
      </c>
      <c r="F80" s="1041"/>
      <c r="G80" s="1745"/>
      <c r="H80" s="1289"/>
      <c r="I80" s="1041"/>
      <c r="J80" s="1041"/>
      <c r="K80" s="1041"/>
      <c r="L80" s="1041"/>
      <c r="M80" s="1041"/>
    </row>
    <row r="81" spans="1:14" ht="13.8" x14ac:dyDescent="0.25">
      <c r="A81" s="1362"/>
      <c r="B81" s="1398" t="s">
        <v>310</v>
      </c>
      <c r="C81" s="1372">
        <f>'Rates in detail'!D65</f>
        <v>4.9800000000000001E-3</v>
      </c>
      <c r="D81" s="1372">
        <f>'Rates in detail'!V65</f>
        <v>4.9800000000000001E-3</v>
      </c>
      <c r="E81" s="1391">
        <f t="shared" si="1"/>
        <v>0</v>
      </c>
      <c r="F81" s="1041"/>
      <c r="G81" s="1745"/>
      <c r="H81" s="1289"/>
      <c r="I81" s="1041"/>
      <c r="J81" s="1041"/>
      <c r="K81" s="1041"/>
      <c r="L81" s="1041"/>
      <c r="M81" s="1041"/>
    </row>
    <row r="82" spans="1:14" ht="13.8" x14ac:dyDescent="0.25">
      <c r="A82" s="1409" t="s">
        <v>349</v>
      </c>
      <c r="B82" s="1410"/>
      <c r="C82" s="1410"/>
      <c r="D82" s="1410"/>
      <c r="E82" s="1411"/>
      <c r="F82" s="1041"/>
      <c r="G82" s="1041"/>
      <c r="H82" s="1041"/>
      <c r="I82" s="1041"/>
      <c r="J82" s="1041"/>
      <c r="K82" s="1041"/>
      <c r="L82" s="1041"/>
      <c r="M82" s="1041"/>
    </row>
    <row r="83" spans="1:14" ht="13.8" x14ac:dyDescent="0.25">
      <c r="A83" s="1412"/>
      <c r="B83" s="1413"/>
      <c r="C83" s="1414"/>
      <c r="D83" s="1414"/>
      <c r="E83" s="1384"/>
      <c r="F83" s="1041"/>
      <c r="G83" s="1041"/>
      <c r="H83" s="1041"/>
      <c r="I83" s="1041"/>
      <c r="J83" s="1041"/>
      <c r="K83" s="1041"/>
      <c r="L83" s="1041"/>
      <c r="M83" s="1041"/>
    </row>
    <row r="84" spans="1:14" ht="13.8" x14ac:dyDescent="0.25">
      <c r="A84" s="1415" t="s">
        <v>646</v>
      </c>
      <c r="B84" s="1416"/>
      <c r="C84" s="1416"/>
      <c r="D84" s="1416"/>
      <c r="E84" s="1417"/>
      <c r="F84" s="1041"/>
      <c r="G84" s="1041"/>
      <c r="H84" s="1041"/>
      <c r="I84" s="1041"/>
      <c r="J84" s="1041"/>
      <c r="K84" s="1041"/>
      <c r="L84" s="1041"/>
      <c r="M84" s="1041"/>
    </row>
    <row r="85" spans="1:14" ht="14.4" x14ac:dyDescent="0.25">
      <c r="A85" s="1418"/>
      <c r="B85" s="1348" t="s">
        <v>672</v>
      </c>
      <c r="C85" s="1348" t="s">
        <v>670</v>
      </c>
      <c r="D85" s="1348" t="s">
        <v>671</v>
      </c>
      <c r="E85" s="1419" t="s">
        <v>674</v>
      </c>
      <c r="F85" s="1044"/>
      <c r="G85" s="1041"/>
      <c r="H85" s="1041"/>
      <c r="I85" s="1041"/>
      <c r="J85" s="1041"/>
      <c r="K85" s="1041"/>
      <c r="L85" s="1041"/>
      <c r="M85" s="1041"/>
      <c r="N85" s="1041"/>
    </row>
    <row r="86" spans="1:14" ht="15" thickBot="1" x14ac:dyDescent="0.3">
      <c r="A86" s="1420" t="s">
        <v>351</v>
      </c>
      <c r="B86" s="1421" t="s">
        <v>673</v>
      </c>
      <c r="C86" s="1422" t="s">
        <v>1169</v>
      </c>
      <c r="D86" s="1421" t="s">
        <v>1187</v>
      </c>
      <c r="E86" s="1423" t="s">
        <v>675</v>
      </c>
      <c r="F86" s="1044"/>
      <c r="G86" s="1045"/>
      <c r="H86" s="1041"/>
      <c r="I86" s="1041"/>
      <c r="J86" s="1041"/>
      <c r="K86" s="1041"/>
      <c r="L86" s="1041"/>
      <c r="M86" s="1041"/>
      <c r="N86" s="1041"/>
    </row>
    <row r="87" spans="1:14" ht="14.4" x14ac:dyDescent="0.25">
      <c r="A87" s="1418" t="s">
        <v>352</v>
      </c>
      <c r="B87" s="1684">
        <f>'Avg Bill by RS'!F15</f>
        <v>57</v>
      </c>
      <c r="C87" s="1424">
        <f>+'Avg Bill by RS'!I15</f>
        <v>48.92</v>
      </c>
      <c r="D87" s="1424">
        <f>+'Avg Bill by RS'!W15</f>
        <v>51.53</v>
      </c>
      <c r="E87" s="1425">
        <f>+'Avg Bill by RS'!X15</f>
        <v>5.2999999999999999E-2</v>
      </c>
      <c r="F87" s="1044"/>
      <c r="G87" s="1046"/>
      <c r="H87" s="1047"/>
      <c r="I87" s="1048"/>
      <c r="J87" s="1041"/>
      <c r="K87" s="1041"/>
      <c r="L87" s="1041"/>
      <c r="M87" s="1041"/>
      <c r="N87" s="1041"/>
    </row>
    <row r="88" spans="1:14" ht="14.4" x14ac:dyDescent="0.25">
      <c r="A88" s="1418" t="s">
        <v>353</v>
      </c>
      <c r="B88" s="1684">
        <f>'Avg Bill by RS'!F16</f>
        <v>248</v>
      </c>
      <c r="C88" s="1424">
        <f>+'Avg Bill by RS'!I16</f>
        <v>197.36</v>
      </c>
      <c r="D88" s="1424">
        <f>+'Avg Bill by RS'!W16</f>
        <v>208.5</v>
      </c>
      <c r="E88" s="1426">
        <f>+'Avg Bill by RS'!X16</f>
        <v>5.6000000000000001E-2</v>
      </c>
      <c r="F88" s="1044"/>
      <c r="G88" s="1046"/>
      <c r="H88" s="1047"/>
      <c r="I88" s="1048"/>
      <c r="J88" s="1041"/>
      <c r="K88" s="1041"/>
      <c r="L88" s="1041"/>
      <c r="M88" s="1041"/>
      <c r="N88" s="1041"/>
    </row>
    <row r="89" spans="1:14" ht="14.4" x14ac:dyDescent="0.25">
      <c r="A89" s="1418" t="s">
        <v>679</v>
      </c>
      <c r="B89" s="1684">
        <f>'Avg Bill by RS'!F41</f>
        <v>12726</v>
      </c>
      <c r="C89" s="1424">
        <f>+'Avg Bill by RS'!I47</f>
        <v>4973.79</v>
      </c>
      <c r="D89" s="1424">
        <f>+'Avg Bill by RS'!W47</f>
        <v>5463.98</v>
      </c>
      <c r="E89" s="1426">
        <f>+'Avg Bill by RS'!X47</f>
        <v>9.9000000000000005E-2</v>
      </c>
      <c r="F89" s="1044"/>
      <c r="G89" s="1046"/>
      <c r="H89" s="1046"/>
      <c r="I89" s="1048"/>
      <c r="J89" s="1041"/>
      <c r="K89" s="1041"/>
      <c r="L89" s="1041"/>
      <c r="M89" s="1041"/>
      <c r="N89" s="1041"/>
    </row>
    <row r="90" spans="1:14" ht="14.4" x14ac:dyDescent="0.25">
      <c r="A90" s="1418" t="s">
        <v>680</v>
      </c>
      <c r="B90" s="1684">
        <f>'Avg Bill by RS'!F62</f>
        <v>8626</v>
      </c>
      <c r="C90" s="1424">
        <f>+'Avg Bill by RS'!I68</f>
        <v>3964.31</v>
      </c>
      <c r="D90" s="1424">
        <f>+'Avg Bill by RS'!W68</f>
        <v>4312.8899999999994</v>
      </c>
      <c r="E90" s="1426">
        <f>+'Avg Bill by RS'!X68</f>
        <v>8.7999999999999995E-2</v>
      </c>
      <c r="F90" s="1044"/>
      <c r="G90" s="1046"/>
      <c r="H90" s="1046"/>
      <c r="I90" s="1048"/>
      <c r="J90" s="1041"/>
      <c r="K90" s="1041"/>
      <c r="L90" s="1041"/>
      <c r="M90" s="1041"/>
      <c r="N90" s="1041"/>
    </row>
    <row r="91" spans="1:14" ht="14.4" x14ac:dyDescent="0.25">
      <c r="A91" s="1427"/>
      <c r="B91" s="1428"/>
      <c r="C91" s="1429"/>
      <c r="D91" s="1430"/>
      <c r="E91" s="1431"/>
      <c r="F91" s="1045"/>
      <c r="G91" s="1041"/>
      <c r="H91" s="1041"/>
      <c r="I91" s="1041"/>
      <c r="J91" s="1041"/>
      <c r="K91" s="1041"/>
      <c r="L91" s="1041"/>
      <c r="M91" s="1041"/>
    </row>
    <row r="92" spans="1:14" ht="13.8" x14ac:dyDescent="0.25">
      <c r="A92" s="1415"/>
      <c r="B92" s="1415" t="s">
        <v>354</v>
      </c>
      <c r="C92" s="1416"/>
      <c r="D92" s="1416"/>
      <c r="E92" s="1417"/>
      <c r="F92" s="1045"/>
      <c r="G92" s="1041"/>
      <c r="H92" s="1041"/>
      <c r="I92" s="1041"/>
      <c r="J92" s="1041"/>
      <c r="K92" s="1041"/>
      <c r="L92" s="1041"/>
      <c r="M92" s="1041"/>
    </row>
    <row r="93" spans="1:14" ht="13.8" x14ac:dyDescent="0.25">
      <c r="A93" s="1432"/>
      <c r="B93" s="1433" t="s">
        <v>642</v>
      </c>
      <c r="C93" s="1434">
        <v>0.22356000000000001</v>
      </c>
      <c r="D93" s="1344"/>
      <c r="E93" s="1346"/>
      <c r="F93" s="1045"/>
      <c r="G93" s="1049" t="s">
        <v>750</v>
      </c>
      <c r="H93" s="1041"/>
      <c r="I93" s="1041"/>
      <c r="J93" s="1041"/>
      <c r="K93" s="1041"/>
      <c r="L93" s="1041"/>
      <c r="M93" s="1041"/>
    </row>
    <row r="94" spans="1:14" ht="13.8" x14ac:dyDescent="0.25">
      <c r="A94" s="1432"/>
      <c r="B94" s="1433" t="s">
        <v>1063</v>
      </c>
      <c r="C94" s="1434">
        <f>+Inputs!B16</f>
        <v>0.20291000000000001</v>
      </c>
      <c r="D94" s="1344"/>
      <c r="E94" s="1346"/>
      <c r="F94" s="1045"/>
      <c r="G94" s="1049"/>
      <c r="H94" s="1041"/>
      <c r="I94" s="1041"/>
      <c r="J94" s="1041"/>
      <c r="K94" s="1041"/>
      <c r="L94" s="1041"/>
      <c r="M94" s="1041"/>
    </row>
    <row r="95" spans="1:14" ht="14.4" thickBot="1" x14ac:dyDescent="0.3">
      <c r="A95" s="1435"/>
      <c r="B95" s="1436" t="s">
        <v>1064</v>
      </c>
      <c r="C95" s="1437">
        <f>+Inputs!B32</f>
        <v>0.24779999999999999</v>
      </c>
      <c r="D95" s="1436"/>
      <c r="E95" s="1438"/>
    </row>
    <row r="96" spans="1:14" x14ac:dyDescent="0.25">
      <c r="F96" s="1050"/>
    </row>
    <row r="97" spans="6:6" x14ac:dyDescent="0.25">
      <c r="F97" s="1050"/>
    </row>
  </sheetData>
  <dataConsolidate/>
  <mergeCells count="1">
    <mergeCell ref="A4:E4"/>
  </mergeCells>
  <phoneticPr fontId="12" type="noConversion"/>
  <printOptions horizontalCentered="1" verticalCentered="1"/>
  <pageMargins left="0.86" right="0.49" top="0.25" bottom="0.25" header="0.4" footer="0.25"/>
  <pageSetup scale="50" orientation="portrait" r:id="rId1"/>
  <headerFooter alignWithMargins="0"/>
  <rowBreaks count="1" manualBreakCount="1">
    <brk id="51" max="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6"/>
  <sheetViews>
    <sheetView showGridLines="0" zoomScaleNormal="100" workbookViewId="0">
      <pane xSplit="2" ySplit="8" topLeftCell="C9" activePane="bottomRight" state="frozen"/>
      <selection activeCell="A10" sqref="A10"/>
      <selection pane="topRight" activeCell="A10" sqref="A10"/>
      <selection pane="bottomLeft" activeCell="A10" sqref="A10"/>
      <selection pane="bottomRight" activeCell="A10" sqref="A10"/>
    </sheetView>
  </sheetViews>
  <sheetFormatPr defaultColWidth="12" defaultRowHeight="13.2" x14ac:dyDescent="0.25"/>
  <cols>
    <col min="1" max="1" width="36.109375" style="678" customWidth="1"/>
    <col min="2" max="2" width="39.33203125" style="678" customWidth="1"/>
    <col min="3" max="7" width="15.88671875" style="678" customWidth="1"/>
    <col min="8" max="8" width="17.6640625" style="678" bestFit="1" customWidth="1"/>
    <col min="9" max="9" width="15.88671875" style="678" customWidth="1"/>
    <col min="10" max="10" width="4.88671875" style="678" customWidth="1"/>
    <col min="11" max="13" width="16.88671875" style="730" customWidth="1"/>
    <col min="14" max="16384" width="12" style="678"/>
  </cols>
  <sheetData>
    <row r="1" spans="1:256" ht="68.25" customHeight="1" x14ac:dyDescent="0.35">
      <c r="A1" s="674"/>
      <c r="B1" s="675"/>
      <c r="C1" s="676" t="s">
        <v>257</v>
      </c>
      <c r="D1" s="675"/>
      <c r="E1" s="675"/>
      <c r="F1" s="675"/>
      <c r="G1" s="675"/>
      <c r="H1" s="675"/>
      <c r="I1" s="677"/>
    </row>
    <row r="2" spans="1:256" ht="19.5" customHeight="1" x14ac:dyDescent="0.25">
      <c r="A2" s="679" t="s">
        <v>231</v>
      </c>
      <c r="B2" s="680"/>
      <c r="C2" s="681" t="s">
        <v>258</v>
      </c>
      <c r="D2" s="680"/>
      <c r="E2" s="1790">
        <f>+Cover!A10</f>
        <v>43770</v>
      </c>
      <c r="F2" s="1790"/>
      <c r="G2" s="1790"/>
      <c r="H2" s="680"/>
      <c r="I2" s="683"/>
      <c r="J2" s="684"/>
      <c r="K2" s="731"/>
      <c r="L2" s="731"/>
      <c r="M2" s="731"/>
      <c r="N2" s="685"/>
    </row>
    <row r="3" spans="1:256" ht="19.5" customHeight="1" thickBot="1" x14ac:dyDescent="0.3">
      <c r="A3" s="679"/>
      <c r="B3" s="680"/>
      <c r="C3" s="681"/>
      <c r="D3" s="680"/>
      <c r="E3" s="682"/>
      <c r="F3" s="682"/>
      <c r="G3" s="682"/>
      <c r="H3" s="680"/>
      <c r="I3" s="683"/>
      <c r="J3" s="684"/>
      <c r="K3" s="731"/>
      <c r="L3" s="731"/>
      <c r="M3" s="731"/>
      <c r="N3" s="685"/>
    </row>
    <row r="4" spans="1:256" s="680" customFormat="1" ht="42" customHeight="1" x14ac:dyDescent="0.25">
      <c r="A4" s="738"/>
      <c r="B4" s="686"/>
      <c r="C4" s="686"/>
      <c r="D4" s="687"/>
      <c r="E4" s="686"/>
      <c r="F4" s="686"/>
      <c r="G4" s="686"/>
      <c r="H4" s="686"/>
      <c r="I4" s="897" t="s">
        <v>755</v>
      </c>
      <c r="J4" s="681" t="s">
        <v>756</v>
      </c>
      <c r="K4" s="732" t="s">
        <v>725</v>
      </c>
      <c r="L4" s="732" t="s">
        <v>726</v>
      </c>
      <c r="M4" s="732" t="s">
        <v>727</v>
      </c>
      <c r="N4" s="689"/>
    </row>
    <row r="5" spans="1:256" s="686" customFormat="1" ht="12.6" customHeight="1" thickBot="1" x14ac:dyDescent="0.3">
      <c r="A5" s="739"/>
      <c r="B5" s="690"/>
      <c r="C5" s="747" t="s">
        <v>259</v>
      </c>
      <c r="D5" s="740"/>
      <c r="E5" s="751"/>
      <c r="F5" s="740" t="s">
        <v>260</v>
      </c>
      <c r="G5" s="740"/>
      <c r="H5" s="814"/>
      <c r="I5" s="691" t="s">
        <v>261</v>
      </c>
      <c r="J5" s="688"/>
      <c r="K5" s="733" t="s">
        <v>724</v>
      </c>
      <c r="L5" s="733" t="s">
        <v>724</v>
      </c>
      <c r="M5" s="733" t="s">
        <v>724</v>
      </c>
      <c r="N5" s="689"/>
      <c r="O5" s="680"/>
      <c r="P5" s="680"/>
      <c r="Q5" s="680"/>
      <c r="R5" s="680"/>
      <c r="S5" s="680"/>
      <c r="T5" s="680"/>
      <c r="U5" s="680"/>
      <c r="V5" s="680"/>
      <c r="W5" s="680"/>
      <c r="X5" s="680"/>
      <c r="Y5" s="680"/>
      <c r="Z5" s="680"/>
      <c r="AA5" s="680"/>
      <c r="AB5" s="680"/>
      <c r="AC5" s="680"/>
      <c r="AD5" s="680"/>
      <c r="AE5" s="680"/>
      <c r="AF5" s="680"/>
      <c r="AG5" s="680"/>
      <c r="AH5" s="680"/>
      <c r="AI5" s="680"/>
      <c r="AJ5" s="680"/>
      <c r="AK5" s="680"/>
      <c r="AL5" s="680"/>
      <c r="AM5" s="680"/>
      <c r="AN5" s="680"/>
      <c r="AO5" s="680"/>
      <c r="AP5" s="680"/>
      <c r="AQ5" s="680"/>
      <c r="AR5" s="680"/>
      <c r="AS5" s="680"/>
      <c r="AT5" s="680"/>
      <c r="AU5" s="680"/>
      <c r="AV5" s="680"/>
      <c r="AW5" s="680"/>
      <c r="AX5" s="680"/>
      <c r="AY5" s="680"/>
      <c r="AZ5" s="680"/>
      <c r="BA5" s="680"/>
      <c r="BB5" s="680"/>
      <c r="BC5" s="680"/>
      <c r="BD5" s="680"/>
      <c r="BE5" s="680"/>
      <c r="BF5" s="680"/>
      <c r="BG5" s="680"/>
      <c r="BH5" s="680"/>
      <c r="BI5" s="680"/>
      <c r="BJ5" s="680"/>
      <c r="BK5" s="680"/>
      <c r="BL5" s="680"/>
      <c r="BM5" s="680"/>
      <c r="BN5" s="680"/>
      <c r="BO5" s="680"/>
      <c r="BP5" s="680"/>
      <c r="BQ5" s="680"/>
      <c r="BR5" s="680"/>
      <c r="BS5" s="680"/>
      <c r="BT5" s="680"/>
      <c r="BU5" s="680"/>
      <c r="BV5" s="680"/>
      <c r="BW5" s="680"/>
      <c r="BX5" s="680"/>
      <c r="BY5" s="680"/>
      <c r="BZ5" s="680"/>
      <c r="CA5" s="680"/>
      <c r="CB5" s="680"/>
      <c r="CC5" s="680"/>
      <c r="CD5" s="680"/>
      <c r="CE5" s="680"/>
      <c r="CF5" s="680"/>
      <c r="CG5" s="680"/>
      <c r="CH5" s="680"/>
      <c r="CI5" s="680"/>
      <c r="CJ5" s="680"/>
      <c r="CK5" s="680"/>
      <c r="CL5" s="680"/>
      <c r="CM5" s="680"/>
      <c r="CN5" s="680"/>
      <c r="CO5" s="680"/>
      <c r="CP5" s="680"/>
      <c r="CQ5" s="680"/>
      <c r="CR5" s="680"/>
      <c r="CS5" s="680"/>
      <c r="CT5" s="680"/>
      <c r="CU5" s="680"/>
      <c r="CV5" s="680"/>
      <c r="CW5" s="680"/>
      <c r="CX5" s="680"/>
      <c r="CY5" s="680"/>
      <c r="CZ5" s="680"/>
      <c r="DA5" s="680"/>
      <c r="DB5" s="680"/>
      <c r="DC5" s="680"/>
      <c r="DD5" s="680"/>
      <c r="DE5" s="680"/>
      <c r="DF5" s="680"/>
      <c r="DG5" s="680"/>
      <c r="DH5" s="680"/>
      <c r="DI5" s="680"/>
      <c r="DJ5" s="680"/>
      <c r="DK5" s="680"/>
      <c r="DL5" s="680"/>
      <c r="DM5" s="680"/>
      <c r="DN5" s="680"/>
      <c r="DO5" s="680"/>
      <c r="DP5" s="680"/>
      <c r="DQ5" s="680"/>
      <c r="DR5" s="680"/>
      <c r="DS5" s="680"/>
      <c r="DT5" s="680"/>
      <c r="DU5" s="680"/>
      <c r="DV5" s="680"/>
      <c r="DW5" s="680"/>
      <c r="DX5" s="680"/>
      <c r="DY5" s="680"/>
      <c r="DZ5" s="680"/>
      <c r="EA5" s="680"/>
      <c r="EB5" s="680"/>
      <c r="EC5" s="680"/>
      <c r="ED5" s="680"/>
      <c r="EE5" s="680"/>
      <c r="EF5" s="680"/>
      <c r="EG5" s="680"/>
      <c r="EH5" s="680"/>
      <c r="EI5" s="680"/>
      <c r="EJ5" s="680"/>
      <c r="EK5" s="680"/>
      <c r="EL5" s="680"/>
      <c r="EM5" s="680"/>
      <c r="EN5" s="680"/>
      <c r="EO5" s="680"/>
      <c r="EP5" s="680"/>
      <c r="EQ5" s="680"/>
      <c r="ER5" s="680"/>
      <c r="ES5" s="680"/>
      <c r="ET5" s="680"/>
      <c r="EU5" s="680"/>
      <c r="EV5" s="680"/>
      <c r="EW5" s="680"/>
      <c r="EX5" s="680"/>
      <c r="EY5" s="680"/>
      <c r="EZ5" s="680"/>
      <c r="FA5" s="680"/>
      <c r="FB5" s="680"/>
      <c r="FC5" s="680"/>
      <c r="FD5" s="680"/>
      <c r="FE5" s="680"/>
      <c r="FF5" s="680"/>
      <c r="FG5" s="680"/>
      <c r="FH5" s="680"/>
      <c r="FI5" s="680"/>
      <c r="FJ5" s="680"/>
      <c r="FK5" s="680"/>
      <c r="FL5" s="680"/>
      <c r="FM5" s="680"/>
      <c r="FN5" s="680"/>
      <c r="FO5" s="680"/>
      <c r="FP5" s="680"/>
      <c r="FQ5" s="680"/>
      <c r="FR5" s="680"/>
      <c r="FS5" s="680"/>
      <c r="FT5" s="680"/>
      <c r="FU5" s="680"/>
      <c r="FV5" s="680"/>
      <c r="FW5" s="680"/>
      <c r="FX5" s="680"/>
      <c r="FY5" s="680"/>
      <c r="FZ5" s="680"/>
      <c r="GA5" s="680"/>
      <c r="GB5" s="680"/>
      <c r="GC5" s="680"/>
      <c r="GD5" s="680"/>
      <c r="GE5" s="680"/>
      <c r="GF5" s="680"/>
      <c r="GG5" s="680"/>
      <c r="GH5" s="680"/>
      <c r="GI5" s="680"/>
      <c r="GJ5" s="680"/>
      <c r="GK5" s="680"/>
      <c r="GL5" s="680"/>
      <c r="GM5" s="680"/>
      <c r="GN5" s="680"/>
      <c r="GO5" s="680"/>
      <c r="GP5" s="680"/>
      <c r="GQ5" s="680"/>
      <c r="GR5" s="680"/>
      <c r="GS5" s="680"/>
      <c r="GT5" s="680"/>
      <c r="GU5" s="680"/>
      <c r="GV5" s="680"/>
      <c r="GW5" s="680"/>
      <c r="GX5" s="680"/>
      <c r="GY5" s="680"/>
      <c r="GZ5" s="680"/>
      <c r="HA5" s="680"/>
      <c r="HB5" s="680"/>
      <c r="HC5" s="680"/>
      <c r="HD5" s="680"/>
      <c r="HE5" s="680"/>
      <c r="HF5" s="680"/>
      <c r="HG5" s="680"/>
      <c r="HH5" s="680"/>
      <c r="HI5" s="680"/>
      <c r="HJ5" s="680"/>
      <c r="HK5" s="680"/>
      <c r="HL5" s="680"/>
      <c r="HM5" s="680"/>
      <c r="HN5" s="680"/>
      <c r="HO5" s="680"/>
      <c r="HP5" s="680"/>
      <c r="HQ5" s="680"/>
      <c r="HR5" s="680"/>
      <c r="HS5" s="680"/>
      <c r="HT5" s="680"/>
      <c r="HU5" s="680"/>
      <c r="HV5" s="680"/>
      <c r="HW5" s="680"/>
      <c r="HX5" s="680"/>
      <c r="HY5" s="680"/>
      <c r="HZ5" s="680"/>
      <c r="IA5" s="680"/>
      <c r="IB5" s="680"/>
      <c r="IC5" s="680"/>
      <c r="ID5" s="680"/>
      <c r="IE5" s="680"/>
      <c r="IF5" s="680"/>
      <c r="IG5" s="680"/>
      <c r="IH5" s="680"/>
      <c r="II5" s="680"/>
      <c r="IJ5" s="680"/>
      <c r="IK5" s="680"/>
      <c r="IL5" s="680"/>
      <c r="IM5" s="680"/>
      <c r="IN5" s="680"/>
      <c r="IO5" s="680"/>
      <c r="IP5" s="680"/>
      <c r="IQ5" s="680"/>
      <c r="IR5" s="680"/>
      <c r="IS5" s="680"/>
      <c r="IT5" s="680"/>
      <c r="IU5" s="680"/>
      <c r="IV5" s="680"/>
    </row>
    <row r="6" spans="1:256" s="680" customFormat="1" ht="12.6" customHeight="1" x14ac:dyDescent="0.25">
      <c r="A6" s="692"/>
      <c r="B6" s="741"/>
      <c r="C6" s="763" t="s">
        <v>59</v>
      </c>
      <c r="D6" s="743" t="s">
        <v>31</v>
      </c>
      <c r="E6" s="752" t="s">
        <v>262</v>
      </c>
      <c r="F6" s="783" t="s">
        <v>59</v>
      </c>
      <c r="G6" s="696" t="s">
        <v>31</v>
      </c>
      <c r="H6" s="752" t="s">
        <v>263</v>
      </c>
      <c r="I6" s="798"/>
      <c r="J6" s="688"/>
      <c r="K6" s="732"/>
      <c r="L6" s="732"/>
      <c r="M6" s="732"/>
      <c r="N6" s="689"/>
    </row>
    <row r="7" spans="1:256" s="680" customFormat="1" ht="12.6" customHeight="1" x14ac:dyDescent="0.25">
      <c r="A7" s="693"/>
      <c r="B7" s="741"/>
      <c r="C7" s="764" t="s">
        <v>264</v>
      </c>
      <c r="D7" s="743" t="s">
        <v>56</v>
      </c>
      <c r="E7" s="694" t="s">
        <v>53</v>
      </c>
      <c r="F7" s="784" t="s">
        <v>264</v>
      </c>
      <c r="G7" s="741" t="s">
        <v>56</v>
      </c>
      <c r="H7" s="694" t="s">
        <v>265</v>
      </c>
      <c r="I7" s="798"/>
      <c r="J7" s="688"/>
      <c r="K7" s="732"/>
      <c r="L7" s="732"/>
      <c r="M7" s="732"/>
      <c r="N7" s="689"/>
    </row>
    <row r="8" spans="1:256" s="680" customFormat="1" ht="12.6" customHeight="1" x14ac:dyDescent="0.25">
      <c r="A8" s="775" t="s">
        <v>266</v>
      </c>
      <c r="B8" s="782" t="s">
        <v>102</v>
      </c>
      <c r="C8" s="765" t="s">
        <v>53</v>
      </c>
      <c r="D8" s="744" t="s">
        <v>267</v>
      </c>
      <c r="E8" s="691" t="s">
        <v>268</v>
      </c>
      <c r="F8" s="785" t="s">
        <v>53</v>
      </c>
      <c r="G8" s="742" t="s">
        <v>267</v>
      </c>
      <c r="H8" s="691" t="s">
        <v>269</v>
      </c>
      <c r="I8" s="691" t="s">
        <v>270</v>
      </c>
      <c r="J8" s="695"/>
      <c r="K8" s="732"/>
      <c r="L8" s="732"/>
      <c r="M8" s="732"/>
      <c r="N8" s="689"/>
    </row>
    <row r="9" spans="1:256" s="680" customFormat="1" ht="12.6" customHeight="1" x14ac:dyDescent="0.25">
      <c r="A9" s="693" t="s">
        <v>271</v>
      </c>
      <c r="B9" s="763" t="s">
        <v>272</v>
      </c>
      <c r="C9" s="764" t="s">
        <v>273</v>
      </c>
      <c r="D9" s="743" t="s">
        <v>274</v>
      </c>
      <c r="E9" s="694" t="s">
        <v>275</v>
      </c>
      <c r="F9" s="784" t="s">
        <v>276</v>
      </c>
      <c r="G9" s="741" t="s">
        <v>277</v>
      </c>
      <c r="H9" s="694" t="s">
        <v>278</v>
      </c>
      <c r="I9" s="697" t="s">
        <v>279</v>
      </c>
      <c r="J9" s="688"/>
      <c r="K9" s="732"/>
      <c r="L9" s="732"/>
      <c r="M9" s="732"/>
      <c r="N9" s="689"/>
    </row>
    <row r="10" spans="1:256" s="680" customFormat="1" ht="12.6" customHeight="1" x14ac:dyDescent="0.25">
      <c r="A10" s="692"/>
      <c r="B10" s="766"/>
      <c r="C10" s="766"/>
      <c r="D10" s="695"/>
      <c r="E10" s="699"/>
      <c r="F10" s="748"/>
      <c r="G10" s="698"/>
      <c r="H10" s="699"/>
      <c r="I10" s="799"/>
      <c r="J10" s="688"/>
      <c r="K10" s="732"/>
      <c r="L10" s="732"/>
      <c r="M10" s="732"/>
      <c r="N10" s="689"/>
    </row>
    <row r="11" spans="1:256" s="680" customFormat="1" ht="12.6" customHeight="1" x14ac:dyDescent="0.25">
      <c r="A11" s="700" t="s">
        <v>240</v>
      </c>
      <c r="B11" s="766" t="s">
        <v>280</v>
      </c>
      <c r="C11" s="767">
        <f>+'Avg Bill by RS'!G13</f>
        <v>3.47</v>
      </c>
      <c r="D11" s="734"/>
      <c r="E11" s="718">
        <f>+C11+D11</f>
        <v>3.47</v>
      </c>
      <c r="F11" s="786"/>
      <c r="G11" s="803"/>
      <c r="H11" s="702"/>
      <c r="I11" s="718">
        <f>+E11</f>
        <v>3.47</v>
      </c>
      <c r="J11" s="688"/>
      <c r="K11" s="732" t="str">
        <f>IF(D11="N/A","",IF(C11+D11=E11,"","check rates"))</f>
        <v/>
      </c>
      <c r="L11" s="732" t="str">
        <f>IF(G11="N/A","",IF(F11+G11=H11,"","check rates"))</f>
        <v/>
      </c>
      <c r="M11" s="732" t="str">
        <f>IF(I11&gt;=1,"",IF(I11=C11-$E$84,"","check rates"))</f>
        <v/>
      </c>
      <c r="N11" s="689"/>
    </row>
    <row r="12" spans="1:256" s="680" customFormat="1" ht="12.6" customHeight="1" x14ac:dyDescent="0.25">
      <c r="A12" s="714" t="s">
        <v>241</v>
      </c>
      <c r="B12" s="766" t="s">
        <v>745</v>
      </c>
      <c r="C12" s="772">
        <f>'Rates in detail'!AI13</f>
        <v>0.99828999999999957</v>
      </c>
      <c r="D12" s="707">
        <f>'Rates in detail'!AF13</f>
        <v>8.183E-2</v>
      </c>
      <c r="E12" s="705">
        <f>'Rates in detail'!$V$13</f>
        <v>1.0801199999999995</v>
      </c>
      <c r="F12" s="786"/>
      <c r="G12" s="803"/>
      <c r="H12" s="702"/>
      <c r="I12" s="705">
        <f>+C12-$E$84</f>
        <v>0.79537999999999953</v>
      </c>
      <c r="J12" s="688"/>
      <c r="K12" s="732"/>
      <c r="L12" s="732"/>
      <c r="M12" s="732"/>
      <c r="N12" s="689"/>
    </row>
    <row r="13" spans="1:256" s="680" customFormat="1" ht="12.6" customHeight="1" x14ac:dyDescent="0.25">
      <c r="A13" s="703"/>
      <c r="B13" s="770" t="s">
        <v>746</v>
      </c>
      <c r="C13" s="769">
        <f>'Rates in detail'!AI14</f>
        <v>0.99787999999999955</v>
      </c>
      <c r="D13" s="708">
        <f>'Rates in detail'!AF14</f>
        <v>6.8720000000000003E-2</v>
      </c>
      <c r="E13" s="710">
        <f>'Rates in detail'!$V$14</f>
        <v>1.0665999999999995</v>
      </c>
      <c r="F13" s="787"/>
      <c r="G13" s="804"/>
      <c r="H13" s="704"/>
      <c r="I13" s="710">
        <f>+C13-$E$84</f>
        <v>0.79496999999999951</v>
      </c>
      <c r="J13" s="688"/>
      <c r="K13" s="732" t="str">
        <f t="shared" ref="K13:K78" si="0">IF(D13="N/A","",IF(C13+D13=E13,"","check rates"))</f>
        <v/>
      </c>
      <c r="L13" s="732" t="str">
        <f t="shared" ref="L13:L76" si="1">IF(G13="N/A","",IF(F13+G13=H13,"","check rates"))</f>
        <v/>
      </c>
      <c r="M13" s="1631" t="str">
        <f t="shared" ref="M13:M37" si="2">IF(I13&gt;=1,"",IF(I13=C13-$E$84,"","check rates"))</f>
        <v/>
      </c>
      <c r="N13" s="689"/>
    </row>
    <row r="14" spans="1:256" s="680" customFormat="1" ht="12.6" customHeight="1" x14ac:dyDescent="0.25">
      <c r="A14" s="700" t="s">
        <v>242</v>
      </c>
      <c r="B14" s="766" t="s">
        <v>280</v>
      </c>
      <c r="C14" s="767">
        <f>+'Avg Bill by RS'!G15</f>
        <v>7</v>
      </c>
      <c r="D14" s="734"/>
      <c r="E14" s="718">
        <f>+C14+D14</f>
        <v>7</v>
      </c>
      <c r="F14" s="786"/>
      <c r="G14" s="803"/>
      <c r="H14" s="702"/>
      <c r="I14" s="718">
        <f>+C14</f>
        <v>7</v>
      </c>
      <c r="J14" s="688"/>
      <c r="K14" s="732" t="str">
        <f t="shared" si="0"/>
        <v/>
      </c>
      <c r="L14" s="732" t="str">
        <f t="shared" si="1"/>
        <v/>
      </c>
      <c r="M14" s="1631" t="str">
        <f t="shared" si="2"/>
        <v/>
      </c>
      <c r="N14" s="689"/>
    </row>
    <row r="15" spans="1:256" s="680" customFormat="1" ht="12.6" customHeight="1" x14ac:dyDescent="0.25">
      <c r="A15" s="692" t="s">
        <v>731</v>
      </c>
      <c r="B15" s="766" t="s">
        <v>281</v>
      </c>
      <c r="C15" s="769">
        <f>'Rates in detail'!AI15</f>
        <v>0.72834999999999972</v>
      </c>
      <c r="D15" s="707">
        <f>'Rates in detail'!AF15</f>
        <v>5.285999999999999E-2</v>
      </c>
      <c r="E15" s="705">
        <f>'Rates in detail'!$V$15</f>
        <v>0.78120999999999974</v>
      </c>
      <c r="F15" s="786"/>
      <c r="G15" s="803"/>
      <c r="H15" s="702"/>
      <c r="I15" s="710">
        <f>+C15-$E$84</f>
        <v>0.52543999999999969</v>
      </c>
      <c r="J15" s="688"/>
      <c r="K15" s="732" t="str">
        <f t="shared" si="0"/>
        <v/>
      </c>
      <c r="L15" s="732" t="str">
        <f t="shared" si="1"/>
        <v/>
      </c>
      <c r="M15" s="1631" t="str">
        <f t="shared" si="2"/>
        <v/>
      </c>
      <c r="N15" s="689"/>
    </row>
    <row r="16" spans="1:256" s="680" customFormat="1" ht="12.6" customHeight="1" x14ac:dyDescent="0.25">
      <c r="A16" s="736" t="s">
        <v>244</v>
      </c>
      <c r="B16" s="776" t="s">
        <v>282</v>
      </c>
      <c r="C16" s="898">
        <f>+'Avg Bill by RS'!G16</f>
        <v>15</v>
      </c>
      <c r="D16" s="706"/>
      <c r="E16" s="753">
        <f>+C16+D16</f>
        <v>15</v>
      </c>
      <c r="F16" s="788"/>
      <c r="G16" s="805"/>
      <c r="H16" s="815"/>
      <c r="I16" s="718">
        <f>+E16</f>
        <v>15</v>
      </c>
      <c r="J16" s="688"/>
      <c r="K16" s="732" t="str">
        <f t="shared" si="0"/>
        <v/>
      </c>
      <c r="L16" s="732" t="str">
        <f t="shared" si="1"/>
        <v/>
      </c>
      <c r="M16" s="1631" t="str">
        <f t="shared" si="2"/>
        <v/>
      </c>
      <c r="N16" s="689"/>
    </row>
    <row r="17" spans="1:14" s="680" customFormat="1" ht="12.6" customHeight="1" x14ac:dyDescent="0.25">
      <c r="A17" s="853" t="s">
        <v>715</v>
      </c>
      <c r="B17" s="766" t="s">
        <v>728</v>
      </c>
      <c r="C17" s="898">
        <v>5</v>
      </c>
      <c r="D17" s="899">
        <v>0</v>
      </c>
      <c r="E17" s="718">
        <f>+C17+D17</f>
        <v>5</v>
      </c>
      <c r="F17" s="789"/>
      <c r="G17" s="806"/>
      <c r="H17" s="702"/>
      <c r="I17" s="800">
        <f>+E17</f>
        <v>5</v>
      </c>
      <c r="J17" s="688"/>
      <c r="K17" s="732" t="str">
        <f t="shared" si="0"/>
        <v/>
      </c>
      <c r="L17" s="732" t="str">
        <f t="shared" si="1"/>
        <v/>
      </c>
      <c r="M17" s="1631" t="str">
        <f t="shared" si="2"/>
        <v/>
      </c>
      <c r="N17" s="689"/>
    </row>
    <row r="18" spans="1:14" s="680" customFormat="1" ht="12.6" customHeight="1" x14ac:dyDescent="0.25">
      <c r="A18" s="854"/>
      <c r="B18" s="777" t="s">
        <v>717</v>
      </c>
      <c r="C18" s="768">
        <f>'Rates in detail'!AI16</f>
        <v>0.73239000000000032</v>
      </c>
      <c r="D18" s="707">
        <f>'Rates in detail'!AF16</f>
        <v>4.7849999999999997E-2</v>
      </c>
      <c r="E18" s="705">
        <f>'Rates in detail'!$V$16</f>
        <v>0.78024000000000027</v>
      </c>
      <c r="F18" s="789"/>
      <c r="G18" s="806"/>
      <c r="H18" s="702"/>
      <c r="I18" s="710">
        <f>+C18-$E$84</f>
        <v>0.52948000000000028</v>
      </c>
      <c r="J18" s="688"/>
      <c r="K18" s="732" t="str">
        <f t="shared" si="0"/>
        <v/>
      </c>
      <c r="L18" s="732" t="str">
        <f t="shared" si="1"/>
        <v/>
      </c>
      <c r="M18" s="1631" t="str">
        <f t="shared" si="2"/>
        <v/>
      </c>
      <c r="N18" s="689"/>
    </row>
    <row r="19" spans="1:14" s="680" customFormat="1" ht="12.6" customHeight="1" x14ac:dyDescent="0.25">
      <c r="A19" s="855"/>
      <c r="B19" s="778" t="s">
        <v>718</v>
      </c>
      <c r="C19" s="769">
        <f>'Rates in detail'!AI17</f>
        <v>0.73225999999999947</v>
      </c>
      <c r="D19" s="708">
        <f>'Rates in detail'!AF17</f>
        <v>9.9999999999999967E-3</v>
      </c>
      <c r="E19" s="710">
        <f>'Rates in detail'!$V$17</f>
        <v>0.74225999999999948</v>
      </c>
      <c r="F19" s="790"/>
      <c r="G19" s="807"/>
      <c r="H19" s="704"/>
      <c r="I19" s="710">
        <f>+C19-$E$84</f>
        <v>0.52934999999999943</v>
      </c>
      <c r="J19" s="695"/>
      <c r="K19" s="732" t="str">
        <f t="shared" si="0"/>
        <v/>
      </c>
      <c r="L19" s="732" t="str">
        <f t="shared" si="1"/>
        <v/>
      </c>
      <c r="M19" s="1631" t="str">
        <f t="shared" si="2"/>
        <v/>
      </c>
      <c r="N19" s="689"/>
    </row>
    <row r="20" spans="1:14" s="680" customFormat="1" ht="12.6" customHeight="1" x14ac:dyDescent="0.25">
      <c r="A20" s="700" t="s">
        <v>284</v>
      </c>
      <c r="B20" s="766" t="s">
        <v>285</v>
      </c>
      <c r="C20" s="772">
        <v>0.40627999999999997</v>
      </c>
      <c r="D20" s="735" t="s">
        <v>70</v>
      </c>
      <c r="E20" s="705">
        <v>0.40627999999999997</v>
      </c>
      <c r="F20" s="791"/>
      <c r="G20" s="808"/>
      <c r="H20" s="711"/>
      <c r="I20" s="711"/>
      <c r="J20" s="688"/>
      <c r="K20" s="732" t="str">
        <f t="shared" si="0"/>
        <v/>
      </c>
      <c r="L20" s="732" t="str">
        <f t="shared" si="1"/>
        <v/>
      </c>
      <c r="M20" s="1631"/>
      <c r="N20" s="689"/>
    </row>
    <row r="21" spans="1:14" s="680" customFormat="1" ht="12.6" customHeight="1" x14ac:dyDescent="0.25">
      <c r="A21" s="692" t="s">
        <v>732</v>
      </c>
      <c r="B21" s="1644" t="s">
        <v>1161</v>
      </c>
      <c r="C21" s="772">
        <v>0.16525000000000001</v>
      </c>
      <c r="D21" s="735" t="s">
        <v>70</v>
      </c>
      <c r="E21" s="705">
        <v>1.6525000000000001E-3</v>
      </c>
      <c r="F21" s="791"/>
      <c r="G21" s="808"/>
      <c r="H21" s="711"/>
      <c r="I21" s="711"/>
      <c r="J21" s="688"/>
      <c r="K21" s="732" t="str">
        <f t="shared" si="0"/>
        <v/>
      </c>
      <c r="L21" s="732" t="str">
        <f t="shared" si="1"/>
        <v/>
      </c>
      <c r="M21" s="1631"/>
      <c r="N21" s="689"/>
    </row>
    <row r="22" spans="1:14" s="680" customFormat="1" ht="12.6" customHeight="1" x14ac:dyDescent="0.25">
      <c r="A22" s="701"/>
      <c r="B22" s="766" t="s">
        <v>286</v>
      </c>
      <c r="C22" s="772">
        <v>0.24102999999999999</v>
      </c>
      <c r="D22" s="735" t="s">
        <v>70</v>
      </c>
      <c r="E22" s="705">
        <v>2.4103000000000002E-3</v>
      </c>
      <c r="F22" s="791"/>
      <c r="G22" s="808"/>
      <c r="H22" s="711"/>
      <c r="I22" s="711"/>
      <c r="J22" s="688"/>
      <c r="K22" s="732" t="str">
        <f t="shared" si="0"/>
        <v/>
      </c>
      <c r="L22" s="732" t="str">
        <f t="shared" si="1"/>
        <v/>
      </c>
      <c r="M22" s="1631"/>
      <c r="N22" s="689"/>
    </row>
    <row r="23" spans="1:14" s="680" customFormat="1" ht="12.6" customHeight="1" x14ac:dyDescent="0.25">
      <c r="A23" s="709"/>
      <c r="B23" s="770" t="s">
        <v>287</v>
      </c>
      <c r="C23" s="900">
        <v>0.36</v>
      </c>
      <c r="D23" s="745" t="s">
        <v>70</v>
      </c>
      <c r="E23" s="754">
        <v>0.36</v>
      </c>
      <c r="F23" s="792"/>
      <c r="G23" s="809"/>
      <c r="H23" s="712"/>
      <c r="I23" s="712"/>
      <c r="J23" s="688"/>
      <c r="K23" s="732" t="str">
        <f t="shared" si="0"/>
        <v/>
      </c>
      <c r="L23" s="732" t="str">
        <f t="shared" si="1"/>
        <v/>
      </c>
      <c r="M23" s="1631"/>
      <c r="N23" s="689"/>
    </row>
    <row r="24" spans="1:14" s="680" customFormat="1" ht="12.6" customHeight="1" x14ac:dyDescent="0.25">
      <c r="A24" s="736" t="s">
        <v>290</v>
      </c>
      <c r="B24" s="776" t="s">
        <v>280</v>
      </c>
      <c r="C24" s="898">
        <f>+'Avg Bill by RS'!G18</f>
        <v>6</v>
      </c>
      <c r="D24" s="706"/>
      <c r="E24" s="753">
        <f>+C24+D24</f>
        <v>6</v>
      </c>
      <c r="F24" s="715"/>
      <c r="G24" s="810"/>
      <c r="H24" s="801"/>
      <c r="I24" s="801"/>
      <c r="J24" s="713"/>
      <c r="K24" s="732" t="str">
        <f t="shared" si="0"/>
        <v/>
      </c>
      <c r="L24" s="732" t="str">
        <f t="shared" si="1"/>
        <v/>
      </c>
      <c r="M24" s="1631"/>
      <c r="N24" s="689"/>
    </row>
    <row r="25" spans="1:14" s="680" customFormat="1" ht="12.6" customHeight="1" x14ac:dyDescent="0.25">
      <c r="A25" s="692" t="s">
        <v>733</v>
      </c>
      <c r="B25" s="766" t="s">
        <v>281</v>
      </c>
      <c r="C25" s="772">
        <f>'Rates in detail'!AI18</f>
        <v>0.5680099999999999</v>
      </c>
      <c r="D25" s="707">
        <f>'Rates in detail'!AF18</f>
        <v>3.8009999999999995E-2</v>
      </c>
      <c r="E25" s="705">
        <f>'Rates in detail'!$V$18</f>
        <v>0.60601999999999989</v>
      </c>
      <c r="F25" s="786"/>
      <c r="G25" s="803"/>
      <c r="H25" s="702"/>
      <c r="I25" s="802"/>
      <c r="J25" s="688"/>
      <c r="K25" s="732" t="str">
        <f t="shared" si="0"/>
        <v/>
      </c>
      <c r="L25" s="732" t="str">
        <f t="shared" si="1"/>
        <v/>
      </c>
      <c r="M25" s="1631"/>
      <c r="N25" s="689"/>
    </row>
    <row r="26" spans="1:14" s="680" customFormat="1" ht="12.6" customHeight="1" x14ac:dyDescent="0.25">
      <c r="A26" s="703"/>
      <c r="B26" s="770"/>
      <c r="C26" s="770"/>
      <c r="D26" s="716"/>
      <c r="E26" s="755"/>
      <c r="F26" s="825"/>
      <c r="G26" s="826"/>
      <c r="H26" s="827"/>
      <c r="I26" s="828"/>
      <c r="J26" s="688"/>
      <c r="K26" s="732" t="str">
        <f t="shared" si="0"/>
        <v/>
      </c>
      <c r="L26" s="732" t="str">
        <f t="shared" si="1"/>
        <v/>
      </c>
      <c r="M26" s="1631"/>
      <c r="N26" s="689"/>
    </row>
    <row r="27" spans="1:14" s="680" customFormat="1" ht="12.6" customHeight="1" x14ac:dyDescent="0.25">
      <c r="A27" s="700" t="s">
        <v>291</v>
      </c>
      <c r="B27" s="766" t="s">
        <v>292</v>
      </c>
      <c r="C27" s="767">
        <f>+'Avg Bill by RS'!G19</f>
        <v>250</v>
      </c>
      <c r="D27" s="735"/>
      <c r="E27" s="718">
        <f>+C27+D27</f>
        <v>250</v>
      </c>
      <c r="F27" s="793">
        <f>+C27</f>
        <v>250</v>
      </c>
      <c r="G27" s="749"/>
      <c r="H27" s="717">
        <f>+F27+G27</f>
        <v>250</v>
      </c>
      <c r="I27" s="718">
        <f>+E27</f>
        <v>250</v>
      </c>
      <c r="J27" s="688"/>
      <c r="K27" s="732" t="str">
        <f t="shared" si="0"/>
        <v/>
      </c>
      <c r="L27" s="732" t="str">
        <f t="shared" si="1"/>
        <v/>
      </c>
      <c r="M27" s="1631" t="str">
        <f t="shared" si="2"/>
        <v/>
      </c>
      <c r="N27" s="689"/>
    </row>
    <row r="28" spans="1:14" s="680" customFormat="1" ht="12.6" customHeight="1" x14ac:dyDescent="0.25">
      <c r="A28" s="692" t="s">
        <v>716</v>
      </c>
      <c r="B28" s="766" t="s">
        <v>283</v>
      </c>
      <c r="C28" s="771"/>
      <c r="D28" s="759"/>
      <c r="E28" s="756"/>
      <c r="F28" s="793">
        <f>+'Avg Bill by RS'!G25-'Avg Bill by RS'!G19</f>
        <v>250</v>
      </c>
      <c r="G28" s="749"/>
      <c r="H28" s="717">
        <f>+F28+G28</f>
        <v>250</v>
      </c>
      <c r="I28" s="901" t="s">
        <v>70</v>
      </c>
      <c r="J28" s="695"/>
      <c r="K28" s="732" t="str">
        <f t="shared" si="0"/>
        <v/>
      </c>
      <c r="L28" s="732" t="str">
        <f t="shared" si="1"/>
        <v/>
      </c>
      <c r="M28" s="1631" t="str">
        <f t="shared" si="2"/>
        <v/>
      </c>
      <c r="N28" s="689"/>
    </row>
    <row r="29" spans="1:14" s="680" customFormat="1" ht="12.6" customHeight="1" x14ac:dyDescent="0.25">
      <c r="A29" s="737"/>
      <c r="B29" s="766" t="s">
        <v>294</v>
      </c>
      <c r="C29" s="767">
        <f>Inputs!B22</f>
        <v>1.66</v>
      </c>
      <c r="D29" s="821" t="s">
        <v>70</v>
      </c>
      <c r="E29" s="718">
        <f>+C29</f>
        <v>1.66</v>
      </c>
      <c r="F29" s="746" t="s">
        <v>70</v>
      </c>
      <c r="G29" s="749" t="s">
        <v>70</v>
      </c>
      <c r="H29" s="719" t="s">
        <v>70</v>
      </c>
      <c r="I29" s="718">
        <f>+C29</f>
        <v>1.66</v>
      </c>
      <c r="J29" s="720" t="s">
        <v>295</v>
      </c>
      <c r="K29" s="732" t="str">
        <f t="shared" si="0"/>
        <v/>
      </c>
      <c r="L29" s="732" t="str">
        <f t="shared" si="1"/>
        <v/>
      </c>
      <c r="M29" s="1631" t="str">
        <f t="shared" si="2"/>
        <v/>
      </c>
      <c r="N29" s="689"/>
    </row>
    <row r="30" spans="1:14" s="680" customFormat="1" ht="12.6" customHeight="1" x14ac:dyDescent="0.25">
      <c r="A30" s="692"/>
      <c r="B30" s="770" t="s">
        <v>296</v>
      </c>
      <c r="C30" s="772">
        <f>Inputs!B18</f>
        <v>0.1109</v>
      </c>
      <c r="D30" s="821" t="s">
        <v>70</v>
      </c>
      <c r="E30" s="705">
        <f>Inputs!B18</f>
        <v>0.1109</v>
      </c>
      <c r="F30" s="746" t="s">
        <v>70</v>
      </c>
      <c r="G30" s="749" t="s">
        <v>70</v>
      </c>
      <c r="H30" s="719" t="s">
        <v>70</v>
      </c>
      <c r="I30" s="710">
        <f>+C30</f>
        <v>0.1109</v>
      </c>
      <c r="J30" s="720" t="s">
        <v>295</v>
      </c>
      <c r="K30" s="732" t="str">
        <f t="shared" si="0"/>
        <v/>
      </c>
      <c r="L30" s="732" t="str">
        <f t="shared" si="1"/>
        <v/>
      </c>
      <c r="M30" s="1631"/>
      <c r="N30" s="689"/>
    </row>
    <row r="31" spans="1:14" s="680" customFormat="1" ht="12.6" customHeight="1" x14ac:dyDescent="0.25">
      <c r="A31" s="1178"/>
      <c r="B31" s="1186" t="s">
        <v>883</v>
      </c>
      <c r="C31" s="822">
        <f>'Rates in detail'!AI19</f>
        <v>0.50455000000000028</v>
      </c>
      <c r="D31" s="760">
        <f>'Rates in detail'!AF19</f>
        <v>3.8980000000000001E-2</v>
      </c>
      <c r="E31" s="820">
        <f>'Rates in detail'!$V$19</f>
        <v>0.54353000000000029</v>
      </c>
      <c r="F31" s="823">
        <f>'Rates in detail'!AI23</f>
        <v>0.30076999999999998</v>
      </c>
      <c r="G31" s="811">
        <f>'Rates in detail'!N23</f>
        <v>-4.8999999999999998E-4</v>
      </c>
      <c r="H31" s="824">
        <f>'Rates in detail'!V23</f>
        <v>0.30027999999999999</v>
      </c>
      <c r="I31" s="820">
        <f>+C31-$E$84</f>
        <v>0.30164000000000024</v>
      </c>
      <c r="J31" s="688"/>
      <c r="K31" s="732" t="str">
        <f t="shared" si="0"/>
        <v/>
      </c>
      <c r="L31" s="732" t="str">
        <f t="shared" si="1"/>
        <v/>
      </c>
      <c r="M31" s="1631" t="str">
        <f t="shared" si="2"/>
        <v/>
      </c>
      <c r="N31" s="689"/>
    </row>
    <row r="32" spans="1:14" s="680" customFormat="1" ht="12.6" customHeight="1" x14ac:dyDescent="0.25">
      <c r="A32" s="692"/>
      <c r="B32" s="770" t="s">
        <v>298</v>
      </c>
      <c r="C32" s="769">
        <f>'Rates in detail'!AI20</f>
        <v>0.46869999999999989</v>
      </c>
      <c r="D32" s="708">
        <f>'Rates in detail'!AF20</f>
        <v>3.5099999999999999E-2</v>
      </c>
      <c r="E32" s="710">
        <f>'Rates in detail'!$V$20</f>
        <v>0.50379999999999991</v>
      </c>
      <c r="F32" s="796">
        <f>'Rates in detail'!AI24</f>
        <v>0.26500000000000001</v>
      </c>
      <c r="G32" s="812">
        <f>'Rates in detail'!N24</f>
        <v>-4.2999999999999999E-4</v>
      </c>
      <c r="H32" s="723">
        <f>'Rates in detail'!V24</f>
        <v>0.26457000000000003</v>
      </c>
      <c r="I32" s="710">
        <f>+C32-$E$84</f>
        <v>0.26578999999999986</v>
      </c>
      <c r="J32" s="688"/>
      <c r="K32" s="732"/>
      <c r="L32" s="732"/>
      <c r="M32" s="1631"/>
      <c r="N32" s="689"/>
    </row>
    <row r="33" spans="1:14" s="680" customFormat="1" ht="12.6" customHeight="1" x14ac:dyDescent="0.25">
      <c r="A33" s="1178"/>
      <c r="B33" s="1179" t="s">
        <v>884</v>
      </c>
      <c r="C33" s="822">
        <f>'Rates in detail'!AI25</f>
        <v>0.50459000000000032</v>
      </c>
      <c r="D33" s="760">
        <f>'Rates in detail'!AF25</f>
        <v>9.4599999999999962E-3</v>
      </c>
      <c r="E33" s="820">
        <f>'Rates in detail'!$V$25</f>
        <v>0.51405000000000034</v>
      </c>
      <c r="F33" s="823">
        <f>'Rates in detail'!AI23</f>
        <v>0.30076999999999998</v>
      </c>
      <c r="G33" s="811">
        <f>'Rates in detail'!N23</f>
        <v>-4.8999999999999998E-4</v>
      </c>
      <c r="H33" s="824">
        <f>'Rates in detail'!V23</f>
        <v>0.30027999999999999</v>
      </c>
      <c r="I33" s="820">
        <f>+C33-$E$84</f>
        <v>0.30168000000000028</v>
      </c>
      <c r="J33" s="688"/>
      <c r="K33" s="732"/>
      <c r="L33" s="732"/>
      <c r="M33" s="1631"/>
      <c r="N33" s="689"/>
    </row>
    <row r="34" spans="1:14" s="680" customFormat="1" ht="12.6" customHeight="1" x14ac:dyDescent="0.25">
      <c r="A34" s="703"/>
      <c r="B34" s="770" t="s">
        <v>298</v>
      </c>
      <c r="C34" s="769">
        <f>'Rates in detail'!AI26</f>
        <v>0.46872999999999987</v>
      </c>
      <c r="D34" s="708">
        <f>'Rates in detail'!AF26</f>
        <v>9.099999999999997E-3</v>
      </c>
      <c r="E34" s="710">
        <f>'Rates in detail'!$V$26</f>
        <v>0.47782999999999987</v>
      </c>
      <c r="F34" s="796">
        <f>'Rates in detail'!AI24</f>
        <v>0.26500000000000001</v>
      </c>
      <c r="G34" s="812">
        <f>'Rates in detail'!N24</f>
        <v>-4.2999999999999999E-4</v>
      </c>
      <c r="H34" s="723">
        <f>'Rates in detail'!V24</f>
        <v>0.26457000000000003</v>
      </c>
      <c r="I34" s="710">
        <f>+C34-$E$84</f>
        <v>0.26581999999999983</v>
      </c>
      <c r="J34" s="688"/>
      <c r="K34" s="732" t="str">
        <f t="shared" si="0"/>
        <v/>
      </c>
      <c r="L34" s="732" t="str">
        <f t="shared" si="1"/>
        <v/>
      </c>
      <c r="M34" s="1631" t="str">
        <f t="shared" si="2"/>
        <v/>
      </c>
      <c r="N34" s="689"/>
    </row>
    <row r="35" spans="1:14" s="680" customFormat="1" ht="12.6" customHeight="1" x14ac:dyDescent="0.25">
      <c r="A35" s="700" t="s">
        <v>299</v>
      </c>
      <c r="B35" s="766" t="s">
        <v>292</v>
      </c>
      <c r="C35" s="767">
        <f>+'Avg Bill by RS'!G31</f>
        <v>250</v>
      </c>
      <c r="D35" s="821"/>
      <c r="E35" s="718">
        <f>+C35+D35</f>
        <v>250</v>
      </c>
      <c r="F35" s="791"/>
      <c r="G35" s="808"/>
      <c r="H35" s="711"/>
      <c r="I35" s="718">
        <f>+E35</f>
        <v>250</v>
      </c>
      <c r="J35" s="688"/>
      <c r="K35" s="732" t="str">
        <f t="shared" si="0"/>
        <v/>
      </c>
      <c r="L35" s="732" t="str">
        <f t="shared" si="1"/>
        <v/>
      </c>
      <c r="M35" s="1631" t="str">
        <f t="shared" si="2"/>
        <v/>
      </c>
      <c r="N35" s="689"/>
    </row>
    <row r="36" spans="1:14" s="680" customFormat="1" ht="12.6" customHeight="1" x14ac:dyDescent="0.25">
      <c r="A36" s="692" t="s">
        <v>300</v>
      </c>
      <c r="B36" s="770" t="s">
        <v>729</v>
      </c>
      <c r="C36" s="769">
        <f>Inputs!B20</f>
        <v>3.8739999999999997E-2</v>
      </c>
      <c r="D36" s="821" t="s">
        <v>70</v>
      </c>
      <c r="E36" s="710">
        <f>+C36</f>
        <v>3.8739999999999997E-2</v>
      </c>
      <c r="F36" s="792"/>
      <c r="G36" s="809"/>
      <c r="H36" s="712"/>
      <c r="I36" s="902" t="s">
        <v>70</v>
      </c>
      <c r="J36" s="695"/>
      <c r="K36" s="732" t="str">
        <f t="shared" si="0"/>
        <v/>
      </c>
      <c r="L36" s="732" t="str">
        <f t="shared" si="1"/>
        <v/>
      </c>
      <c r="M36" s="1631" t="str">
        <f t="shared" si="2"/>
        <v/>
      </c>
      <c r="N36" s="689"/>
    </row>
    <row r="37" spans="1:14" s="680" customFormat="1" ht="12.6" customHeight="1" x14ac:dyDescent="0.25">
      <c r="A37" s="692"/>
      <c r="B37" s="1179" t="s">
        <v>889</v>
      </c>
      <c r="C37" s="822">
        <f>'Rates in detail'!AI21</f>
        <v>0.50431999999999999</v>
      </c>
      <c r="D37" s="760">
        <f>'Rates in detail'!AF21</f>
        <v>5.6059999999999999E-2</v>
      </c>
      <c r="E37" s="820">
        <f>'Rates in detail'!$V$21</f>
        <v>0.56037999999999999</v>
      </c>
      <c r="F37" s="791"/>
      <c r="G37" s="808"/>
      <c r="H37" s="711"/>
      <c r="I37" s="820">
        <f>+C37-$E$84</f>
        <v>0.30140999999999996</v>
      </c>
      <c r="J37" s="688"/>
      <c r="K37" s="732" t="str">
        <f t="shared" si="0"/>
        <v/>
      </c>
      <c r="L37" s="732" t="str">
        <f t="shared" si="1"/>
        <v/>
      </c>
      <c r="M37" s="1631" t="str">
        <f t="shared" si="2"/>
        <v/>
      </c>
      <c r="N37" s="689"/>
    </row>
    <row r="38" spans="1:14" s="680" customFormat="1" ht="12.6" customHeight="1" x14ac:dyDescent="0.25">
      <c r="A38" s="692"/>
      <c r="B38" s="1195" t="s">
        <v>298</v>
      </c>
      <c r="C38" s="769">
        <f>'Rates in detail'!AI22</f>
        <v>0.46846999999999994</v>
      </c>
      <c r="D38" s="708">
        <f>'Rates in detail'!AF22</f>
        <v>5.2400000000000002E-2</v>
      </c>
      <c r="E38" s="710">
        <f>'Rates in detail'!$V$22</f>
        <v>0.52086999999999994</v>
      </c>
      <c r="F38" s="792"/>
      <c r="G38" s="809"/>
      <c r="H38" s="712"/>
      <c r="I38" s="710">
        <f>+C38-$E$84</f>
        <v>0.26555999999999991</v>
      </c>
      <c r="J38" s="688"/>
      <c r="K38" s="732" t="str">
        <f t="shared" si="0"/>
        <v/>
      </c>
      <c r="L38" s="732" t="str">
        <f t="shared" si="1"/>
        <v/>
      </c>
      <c r="M38" s="1631" t="str">
        <f t="shared" ref="M38:M74" si="3">IF(I38&gt;=1,"",IF(I38=C38-$E$84,"","check rates"))</f>
        <v/>
      </c>
      <c r="N38" s="689"/>
    </row>
    <row r="39" spans="1:14" s="680" customFormat="1" ht="12.6" customHeight="1" x14ac:dyDescent="0.25">
      <c r="A39" s="1193"/>
      <c r="B39" s="1179" t="s">
        <v>884</v>
      </c>
      <c r="C39" s="822">
        <f>'Rates in detail'!AI27</f>
        <v>0.5043200000000001</v>
      </c>
      <c r="D39" s="760">
        <f>'Rates in detail'!AF27</f>
        <v>2.8359999999999996E-2</v>
      </c>
      <c r="E39" s="820">
        <f>'Rates in detail'!$V$27</f>
        <v>0.53268000000000004</v>
      </c>
      <c r="F39" s="791"/>
      <c r="G39" s="808"/>
      <c r="H39" s="711"/>
      <c r="I39" s="820">
        <f>+C39-$E$84</f>
        <v>0.30141000000000007</v>
      </c>
      <c r="J39" s="688"/>
      <c r="K39" s="732"/>
      <c r="L39" s="732"/>
      <c r="M39" s="1631"/>
      <c r="N39" s="689"/>
    </row>
    <row r="40" spans="1:14" s="680" customFormat="1" ht="12.6" customHeight="1" x14ac:dyDescent="0.25">
      <c r="A40" s="692"/>
      <c r="B40" s="779" t="s">
        <v>298</v>
      </c>
      <c r="C40" s="769">
        <f>'Rates in detail'!AI28</f>
        <v>0.46846999999999994</v>
      </c>
      <c r="D40" s="708">
        <f>'Rates in detail'!AF28</f>
        <v>2.7999999999999997E-2</v>
      </c>
      <c r="E40" s="710">
        <f>'Rates in detail'!$V$28</f>
        <v>0.49646999999999997</v>
      </c>
      <c r="F40" s="792"/>
      <c r="G40" s="809"/>
      <c r="H40" s="712"/>
      <c r="I40" s="710">
        <f>+C40-$E$84</f>
        <v>0.26555999999999991</v>
      </c>
      <c r="J40" s="688"/>
      <c r="K40" s="732"/>
      <c r="L40" s="732"/>
      <c r="M40" s="1631"/>
      <c r="N40" s="689"/>
    </row>
    <row r="41" spans="1:14" s="680" customFormat="1" ht="12.6" customHeight="1" x14ac:dyDescent="0.25">
      <c r="A41" s="1194" t="s">
        <v>301</v>
      </c>
      <c r="B41" s="766" t="s">
        <v>292</v>
      </c>
      <c r="C41" s="767">
        <f>+'Avg Bill by RS'!G34</f>
        <v>1300</v>
      </c>
      <c r="D41" s="735"/>
      <c r="E41" s="718">
        <f>+C41+D41</f>
        <v>1300</v>
      </c>
      <c r="F41" s="793">
        <f>+C41</f>
        <v>1300</v>
      </c>
      <c r="G41" s="749"/>
      <c r="H41" s="717">
        <f>+F41+G41</f>
        <v>1300</v>
      </c>
      <c r="I41" s="718">
        <f>+E41</f>
        <v>1300</v>
      </c>
      <c r="J41" s="688"/>
      <c r="K41" s="732" t="str">
        <f t="shared" si="0"/>
        <v/>
      </c>
      <c r="L41" s="732" t="str">
        <f t="shared" si="1"/>
        <v/>
      </c>
      <c r="M41" s="1631" t="str">
        <f t="shared" si="3"/>
        <v/>
      </c>
      <c r="N41" s="689"/>
    </row>
    <row r="42" spans="1:14" s="680" customFormat="1" ht="12.6" customHeight="1" x14ac:dyDescent="0.25">
      <c r="A42" s="692" t="s">
        <v>716</v>
      </c>
      <c r="B42" s="766" t="s">
        <v>283</v>
      </c>
      <c r="C42" s="771"/>
      <c r="D42" s="759"/>
      <c r="E42" s="756"/>
      <c r="F42" s="793">
        <f>+'Avg Bill by RS'!G48-'Statement of Rates'!F41</f>
        <v>250</v>
      </c>
      <c r="G42" s="749"/>
      <c r="H42" s="717">
        <f>+F42+G42</f>
        <v>250</v>
      </c>
      <c r="I42" s="705"/>
      <c r="J42" s="695"/>
      <c r="K42" s="732" t="str">
        <f t="shared" si="0"/>
        <v/>
      </c>
      <c r="L42" s="732" t="str">
        <f t="shared" si="1"/>
        <v/>
      </c>
      <c r="M42" s="1631"/>
      <c r="N42" s="689"/>
    </row>
    <row r="43" spans="1:14" s="680" customFormat="1" ht="12.6" customHeight="1" x14ac:dyDescent="0.25">
      <c r="A43" s="692"/>
      <c r="B43" s="766" t="s">
        <v>302</v>
      </c>
      <c r="C43" s="772">
        <f>Inputs!B24</f>
        <v>0.15748000000000001</v>
      </c>
      <c r="D43" s="735" t="s">
        <v>70</v>
      </c>
      <c r="E43" s="705">
        <f>+C43</f>
        <v>0.15748000000000001</v>
      </c>
      <c r="F43" s="795">
        <f>Inputs!B24</f>
        <v>0.15748000000000001</v>
      </c>
      <c r="G43" s="749" t="s">
        <v>70</v>
      </c>
      <c r="H43" s="722">
        <f>+F43</f>
        <v>0.15748000000000001</v>
      </c>
      <c r="I43" s="705">
        <f>+H43</f>
        <v>0.15748000000000001</v>
      </c>
      <c r="J43" s="695"/>
      <c r="K43" s="732" t="str">
        <f t="shared" si="0"/>
        <v/>
      </c>
      <c r="L43" s="732" t="str">
        <f t="shared" si="1"/>
        <v/>
      </c>
      <c r="M43" s="1631"/>
      <c r="N43" s="689"/>
    </row>
    <row r="44" spans="1:14" s="680" customFormat="1" ht="12.6" customHeight="1" x14ac:dyDescent="0.25">
      <c r="A44" s="692"/>
      <c r="B44" s="770" t="s">
        <v>303</v>
      </c>
      <c r="C44" s="769">
        <f>Inputs!B26</f>
        <v>0.20415</v>
      </c>
      <c r="D44" s="745" t="s">
        <v>70</v>
      </c>
      <c r="E44" s="710">
        <f>+C44</f>
        <v>0.20415</v>
      </c>
      <c r="F44" s="746" t="s">
        <v>70</v>
      </c>
      <c r="G44" s="749" t="s">
        <v>70</v>
      </c>
      <c r="H44" s="719" t="s">
        <v>70</v>
      </c>
      <c r="I44" s="705">
        <f>+E44</f>
        <v>0.20415</v>
      </c>
      <c r="J44" s="720"/>
      <c r="K44" s="732" t="str">
        <f t="shared" si="0"/>
        <v/>
      </c>
      <c r="L44" s="732" t="str">
        <f t="shared" si="1"/>
        <v/>
      </c>
      <c r="M44" s="1631"/>
      <c r="N44" s="689"/>
    </row>
    <row r="45" spans="1:14" s="680" customFormat="1" ht="12.6" customHeight="1" x14ac:dyDescent="0.25">
      <c r="A45" s="692"/>
      <c r="B45" s="766" t="s">
        <v>304</v>
      </c>
      <c r="C45" s="767">
        <f>Inputs!B22</f>
        <v>1.66</v>
      </c>
      <c r="D45" s="735" t="s">
        <v>70</v>
      </c>
      <c r="E45" s="718">
        <f>+C45</f>
        <v>1.66</v>
      </c>
      <c r="F45" s="746" t="s">
        <v>70</v>
      </c>
      <c r="G45" s="749" t="s">
        <v>70</v>
      </c>
      <c r="H45" s="719" t="s">
        <v>70</v>
      </c>
      <c r="I45" s="718">
        <f>+E45</f>
        <v>1.66</v>
      </c>
      <c r="J45" s="720" t="s">
        <v>295</v>
      </c>
      <c r="K45" s="732" t="str">
        <f t="shared" si="0"/>
        <v/>
      </c>
      <c r="L45" s="732" t="str">
        <f t="shared" si="1"/>
        <v/>
      </c>
      <c r="M45" s="1631" t="str">
        <f t="shared" si="3"/>
        <v/>
      </c>
      <c r="N45" s="689"/>
    </row>
    <row r="46" spans="1:14" s="680" customFormat="1" ht="13.5" customHeight="1" x14ac:dyDescent="0.25">
      <c r="A46" s="692"/>
      <c r="B46" s="770" t="s">
        <v>296</v>
      </c>
      <c r="C46" s="769">
        <f>Inputs!B18</f>
        <v>0.1109</v>
      </c>
      <c r="D46" s="745" t="s">
        <v>70</v>
      </c>
      <c r="E46" s="710">
        <f>+C46</f>
        <v>0.1109</v>
      </c>
      <c r="F46" s="794" t="s">
        <v>70</v>
      </c>
      <c r="G46" s="750" t="s">
        <v>70</v>
      </c>
      <c r="H46" s="721" t="s">
        <v>70</v>
      </c>
      <c r="I46" s="710">
        <f>+E46</f>
        <v>0.1109</v>
      </c>
      <c r="J46" s="720" t="s">
        <v>295</v>
      </c>
      <c r="K46" s="732" t="str">
        <f t="shared" si="0"/>
        <v/>
      </c>
      <c r="L46" s="732" t="str">
        <f t="shared" si="1"/>
        <v/>
      </c>
      <c r="M46" s="1631"/>
      <c r="N46" s="689"/>
    </row>
    <row r="47" spans="1:14" s="680" customFormat="1" ht="13.5" customHeight="1" x14ac:dyDescent="0.25">
      <c r="A47" s="692"/>
      <c r="B47" s="1185" t="s">
        <v>882</v>
      </c>
      <c r="C47" s="772">
        <f>'Rates in detail'!AI29</f>
        <v>0.32167999999999997</v>
      </c>
      <c r="D47" s="707">
        <f>'Rates in detail'!AF29</f>
        <v>2.4049999999999995E-2</v>
      </c>
      <c r="E47" s="705">
        <f>'Rates in detail'!$V$29</f>
        <v>0.34572999999999998</v>
      </c>
      <c r="F47" s="795">
        <f>+'Rates in detail'!AI41</f>
        <v>0.11817999999999999</v>
      </c>
      <c r="G47" s="813">
        <f>+'Rates in detail'!N41</f>
        <v>-2.2000000000000001E-4</v>
      </c>
      <c r="H47" s="722">
        <f>'Rates in detail'!V41</f>
        <v>0.11796</v>
      </c>
      <c r="I47" s="705">
        <f t="shared" ref="I47:I58" si="4">+C47-$E$84</f>
        <v>0.11876999999999996</v>
      </c>
      <c r="J47" s="720"/>
      <c r="K47" s="732" t="str">
        <f t="shared" si="0"/>
        <v/>
      </c>
      <c r="L47" s="732" t="str">
        <f t="shared" si="1"/>
        <v/>
      </c>
      <c r="M47" s="1631" t="str">
        <f t="shared" si="3"/>
        <v/>
      </c>
      <c r="N47" s="689"/>
    </row>
    <row r="48" spans="1:14" s="680" customFormat="1" ht="13.5" customHeight="1" x14ac:dyDescent="0.25">
      <c r="A48" s="692"/>
      <c r="B48" s="780" t="s">
        <v>305</v>
      </c>
      <c r="C48" s="772">
        <f>'Rates in detail'!AI30</f>
        <v>0.30922999999999978</v>
      </c>
      <c r="D48" s="707">
        <f>'Rates in detail'!AF30</f>
        <v>2.2209999999999997E-2</v>
      </c>
      <c r="E48" s="705">
        <f>'Rates in detail'!$V$30</f>
        <v>0.33143999999999979</v>
      </c>
      <c r="F48" s="795">
        <f>+'Rates in detail'!AI42</f>
        <v>0.10579</v>
      </c>
      <c r="G48" s="813">
        <f>+'Rates in detail'!N42</f>
        <v>-2.0000000000000001E-4</v>
      </c>
      <c r="H48" s="722">
        <f>'Rates in detail'!V42</f>
        <v>0.10558999999999999</v>
      </c>
      <c r="I48" s="705">
        <f t="shared" si="4"/>
        <v>0.10631999999999978</v>
      </c>
      <c r="J48" s="720"/>
      <c r="K48" s="732" t="str">
        <f t="shared" si="0"/>
        <v/>
      </c>
      <c r="L48" s="732" t="str">
        <f t="shared" si="1"/>
        <v/>
      </c>
      <c r="M48" s="1631" t="str">
        <f t="shared" si="3"/>
        <v/>
      </c>
      <c r="N48" s="689"/>
    </row>
    <row r="49" spans="1:14" s="680" customFormat="1" ht="13.5" customHeight="1" x14ac:dyDescent="0.25">
      <c r="A49" s="692"/>
      <c r="B49" s="780" t="s">
        <v>305</v>
      </c>
      <c r="C49" s="772">
        <f>'Rates in detail'!AI31</f>
        <v>0.28444999999999993</v>
      </c>
      <c r="D49" s="707">
        <f>'Rates in detail'!AF31</f>
        <v>1.8519999999999995E-2</v>
      </c>
      <c r="E49" s="705">
        <f>'Rates in detail'!$V$31</f>
        <v>0.30296999999999991</v>
      </c>
      <c r="F49" s="795">
        <f>+'Rates in detail'!AI43</f>
        <v>8.1119999999999998E-2</v>
      </c>
      <c r="G49" s="813">
        <f>+'Rates in detail'!N43</f>
        <v>-1.4999999999999999E-4</v>
      </c>
      <c r="H49" s="722">
        <f>'Rates in detail'!V43</f>
        <v>8.097E-2</v>
      </c>
      <c r="I49" s="705">
        <f t="shared" si="4"/>
        <v>8.1539999999999918E-2</v>
      </c>
      <c r="J49" s="720"/>
      <c r="K49" s="732" t="str">
        <f t="shared" si="0"/>
        <v/>
      </c>
      <c r="L49" s="732" t="str">
        <f t="shared" si="1"/>
        <v/>
      </c>
      <c r="M49" s="1631" t="str">
        <f t="shared" si="3"/>
        <v/>
      </c>
      <c r="N49" s="689"/>
    </row>
    <row r="50" spans="1:14" s="680" customFormat="1" ht="13.5" customHeight="1" x14ac:dyDescent="0.25">
      <c r="A50" s="692"/>
      <c r="B50" s="780" t="s">
        <v>306</v>
      </c>
      <c r="C50" s="772">
        <f>'Rates in detail'!AI32</f>
        <v>0.26814000000000021</v>
      </c>
      <c r="D50" s="707">
        <f>'Rates in detail'!AF32</f>
        <v>1.6099999999999996E-2</v>
      </c>
      <c r="E50" s="705">
        <f>'Rates in detail'!$V$32</f>
        <v>0.28424000000000021</v>
      </c>
      <c r="F50" s="795">
        <f>+'Rates in detail'!AI44</f>
        <v>6.4899999999999999E-2</v>
      </c>
      <c r="G50" s="813">
        <f>+'Rates in detail'!N44</f>
        <v>-1.2E-4</v>
      </c>
      <c r="H50" s="722">
        <f>'Rates in detail'!V44</f>
        <v>6.4780000000000004E-2</v>
      </c>
      <c r="I50" s="705">
        <f t="shared" si="4"/>
        <v>6.5230000000000204E-2</v>
      </c>
      <c r="J50" s="720"/>
      <c r="K50" s="732" t="str">
        <f t="shared" si="0"/>
        <v/>
      </c>
      <c r="L50" s="732" t="str">
        <f t="shared" si="1"/>
        <v/>
      </c>
      <c r="M50" s="1631" t="str">
        <f t="shared" si="3"/>
        <v/>
      </c>
      <c r="N50" s="689"/>
    </row>
    <row r="51" spans="1:14" s="680" customFormat="1" ht="13.5" customHeight="1" x14ac:dyDescent="0.25">
      <c r="A51" s="692"/>
      <c r="B51" s="780" t="s">
        <v>307</v>
      </c>
      <c r="C51" s="772">
        <f>'Rates in detail'!AI33</f>
        <v>0.24638999999999991</v>
      </c>
      <c r="D51" s="707">
        <f>'Rates in detail'!AF33</f>
        <v>1.2849999999999997E-2</v>
      </c>
      <c r="E51" s="705">
        <f>'Rates in detail'!$V$33</f>
        <v>0.25923999999999991</v>
      </c>
      <c r="F51" s="795">
        <f>+'Rates in detail'!AI45</f>
        <v>4.3270000000000003E-2</v>
      </c>
      <c r="G51" s="813">
        <f>+'Rates in detail'!N45</f>
        <v>-8.0000000000000007E-5</v>
      </c>
      <c r="H51" s="722">
        <f>'Rates in detail'!V45</f>
        <v>4.3190000000000006E-2</v>
      </c>
      <c r="I51" s="705">
        <f t="shared" si="4"/>
        <v>4.3479999999999908E-2</v>
      </c>
      <c r="J51" s="720"/>
      <c r="K51" s="732" t="str">
        <f t="shared" si="0"/>
        <v/>
      </c>
      <c r="L51" s="732" t="str">
        <f t="shared" si="1"/>
        <v/>
      </c>
      <c r="M51" s="1631" t="str">
        <f t="shared" si="3"/>
        <v/>
      </c>
      <c r="N51" s="689"/>
    </row>
    <row r="52" spans="1:14" s="680" customFormat="1" ht="13.5" customHeight="1" x14ac:dyDescent="0.25">
      <c r="A52" s="692"/>
      <c r="B52" s="781" t="s">
        <v>298</v>
      </c>
      <c r="C52" s="769">
        <f>'Rates in detail'!AI34</f>
        <v>0.21921000000000007</v>
      </c>
      <c r="D52" s="708">
        <f>'Rates in detail'!AF34</f>
        <v>8.7999999999999971E-3</v>
      </c>
      <c r="E52" s="710">
        <f>'Rates in detail'!$V$34</f>
        <v>0.22801000000000007</v>
      </c>
      <c r="F52" s="796">
        <f>+'Rates in detail'!AI46</f>
        <v>1.6219999999999998E-2</v>
      </c>
      <c r="G52" s="812">
        <f>+'Rates in detail'!N46</f>
        <v>-3.0000000000000001E-5</v>
      </c>
      <c r="H52" s="723">
        <f>'Rates in detail'!V46</f>
        <v>1.619E-2</v>
      </c>
      <c r="I52" s="710">
        <f t="shared" si="4"/>
        <v>1.6300000000000064E-2</v>
      </c>
      <c r="J52" s="720"/>
      <c r="K52" s="732" t="str">
        <f t="shared" si="0"/>
        <v/>
      </c>
      <c r="L52" s="732" t="str">
        <f t="shared" si="1"/>
        <v/>
      </c>
      <c r="M52" s="1631" t="str">
        <f t="shared" si="3"/>
        <v/>
      </c>
      <c r="N52" s="689"/>
    </row>
    <row r="53" spans="1:14" s="680" customFormat="1" ht="14.25" customHeight="1" x14ac:dyDescent="0.25">
      <c r="A53" s="692"/>
      <c r="B53" s="1185" t="s">
        <v>852</v>
      </c>
      <c r="C53" s="772">
        <f>'Rates in detail'!AI35</f>
        <v>0.32162000000000002</v>
      </c>
      <c r="D53" s="707">
        <f>'Rates in detail'!AF35</f>
        <v>8.289999999999997E-3</v>
      </c>
      <c r="E53" s="705">
        <f>'Rates in detail'!$V$35</f>
        <v>0.32991000000000004</v>
      </c>
      <c r="F53" s="795">
        <f>+F47</f>
        <v>0.11817999999999999</v>
      </c>
      <c r="G53" s="813">
        <f>+G47</f>
        <v>-2.2000000000000001E-4</v>
      </c>
      <c r="H53" s="722">
        <f>+H47</f>
        <v>0.11796</v>
      </c>
      <c r="I53" s="705">
        <f t="shared" si="4"/>
        <v>0.11871000000000001</v>
      </c>
      <c r="J53" s="720"/>
      <c r="K53" s="732" t="str">
        <f t="shared" si="0"/>
        <v/>
      </c>
      <c r="L53" s="732" t="str">
        <f t="shared" si="1"/>
        <v/>
      </c>
      <c r="M53" s="1631" t="str">
        <f t="shared" si="3"/>
        <v/>
      </c>
      <c r="N53" s="689"/>
    </row>
    <row r="54" spans="1:14" s="680" customFormat="1" ht="13.5" customHeight="1" x14ac:dyDescent="0.25">
      <c r="A54" s="692"/>
      <c r="B54" s="780" t="s">
        <v>305</v>
      </c>
      <c r="C54" s="772">
        <f>'Rates in detail'!AI36</f>
        <v>0.30917000000000006</v>
      </c>
      <c r="D54" s="707">
        <f>'Rates in detail'!AF36</f>
        <v>8.0999999999999961E-3</v>
      </c>
      <c r="E54" s="705">
        <f>'Rates in detail'!$V$36</f>
        <v>0.31727000000000005</v>
      </c>
      <c r="F54" s="795">
        <f t="shared" ref="F54:H58" si="5">+F48</f>
        <v>0.10579</v>
      </c>
      <c r="G54" s="813">
        <f t="shared" si="5"/>
        <v>-2.0000000000000001E-4</v>
      </c>
      <c r="H54" s="722">
        <f t="shared" si="5"/>
        <v>0.10558999999999999</v>
      </c>
      <c r="I54" s="705">
        <f t="shared" si="4"/>
        <v>0.10626000000000005</v>
      </c>
      <c r="J54" s="720"/>
      <c r="K54" s="732" t="str">
        <f t="shared" si="0"/>
        <v/>
      </c>
      <c r="L54" s="732" t="str">
        <f t="shared" si="1"/>
        <v/>
      </c>
      <c r="M54" s="1631" t="str">
        <f t="shared" si="3"/>
        <v/>
      </c>
      <c r="N54" s="689"/>
    </row>
    <row r="55" spans="1:14" s="680" customFormat="1" ht="13.5" customHeight="1" x14ac:dyDescent="0.25">
      <c r="A55" s="692"/>
      <c r="B55" s="780" t="s">
        <v>305</v>
      </c>
      <c r="C55" s="772">
        <f>'Rates in detail'!AI37</f>
        <v>0.28439999999999993</v>
      </c>
      <c r="D55" s="707">
        <f>'Rates in detail'!AF37</f>
        <v>7.6899999999999972E-3</v>
      </c>
      <c r="E55" s="705">
        <f>'Rates in detail'!$V$37</f>
        <v>0.29208999999999991</v>
      </c>
      <c r="F55" s="795">
        <f t="shared" si="5"/>
        <v>8.1119999999999998E-2</v>
      </c>
      <c r="G55" s="813">
        <f t="shared" si="5"/>
        <v>-1.4999999999999999E-4</v>
      </c>
      <c r="H55" s="722">
        <f t="shared" si="5"/>
        <v>8.097E-2</v>
      </c>
      <c r="I55" s="705">
        <f t="shared" si="4"/>
        <v>8.1489999999999924E-2</v>
      </c>
      <c r="J55" s="720"/>
      <c r="K55" s="732" t="str">
        <f t="shared" si="0"/>
        <v/>
      </c>
      <c r="L55" s="732" t="str">
        <f t="shared" si="1"/>
        <v/>
      </c>
      <c r="M55" s="1631" t="str">
        <f t="shared" si="3"/>
        <v/>
      </c>
      <c r="N55" s="689"/>
    </row>
    <row r="56" spans="1:14" s="680" customFormat="1" ht="12.6" customHeight="1" x14ac:dyDescent="0.25">
      <c r="A56" s="692"/>
      <c r="B56" s="780" t="s">
        <v>306</v>
      </c>
      <c r="C56" s="772">
        <f>'Rates in detail'!AI38</f>
        <v>0.26810000000000017</v>
      </c>
      <c r="D56" s="707">
        <f>'Rates in detail'!AF38</f>
        <v>7.4299999999999965E-3</v>
      </c>
      <c r="E56" s="705">
        <f>'Rates in detail'!$V$38</f>
        <v>0.27553000000000016</v>
      </c>
      <c r="F56" s="795">
        <f t="shared" si="5"/>
        <v>6.4899999999999999E-2</v>
      </c>
      <c r="G56" s="813">
        <f t="shared" si="5"/>
        <v>-1.2E-4</v>
      </c>
      <c r="H56" s="722">
        <f t="shared" si="5"/>
        <v>6.4780000000000004E-2</v>
      </c>
      <c r="I56" s="705">
        <f t="shared" si="4"/>
        <v>6.5190000000000164E-2</v>
      </c>
      <c r="J56" s="720"/>
      <c r="K56" s="732" t="str">
        <f t="shared" si="0"/>
        <v/>
      </c>
      <c r="L56" s="732" t="str">
        <f t="shared" si="1"/>
        <v/>
      </c>
      <c r="M56" s="1631" t="str">
        <f t="shared" si="3"/>
        <v/>
      </c>
      <c r="N56" s="689"/>
    </row>
    <row r="57" spans="1:14" s="680" customFormat="1" ht="12.6" customHeight="1" x14ac:dyDescent="0.25">
      <c r="A57" s="692"/>
      <c r="B57" s="780" t="s">
        <v>307</v>
      </c>
      <c r="C57" s="772">
        <f>'Rates in detail'!AI39</f>
        <v>0.24638000000000018</v>
      </c>
      <c r="D57" s="707">
        <f>'Rates in detail'!AF39</f>
        <v>7.0799999999999969E-3</v>
      </c>
      <c r="E57" s="705">
        <f>'Rates in detail'!V39</f>
        <v>0.25346000000000019</v>
      </c>
      <c r="F57" s="795">
        <f t="shared" si="5"/>
        <v>4.3270000000000003E-2</v>
      </c>
      <c r="G57" s="813">
        <f t="shared" si="5"/>
        <v>-8.0000000000000007E-5</v>
      </c>
      <c r="H57" s="722">
        <f t="shared" si="5"/>
        <v>4.3190000000000006E-2</v>
      </c>
      <c r="I57" s="705">
        <f t="shared" si="4"/>
        <v>4.3470000000000175E-2</v>
      </c>
      <c r="J57" s="720"/>
      <c r="K57" s="732" t="str">
        <f t="shared" si="0"/>
        <v/>
      </c>
      <c r="L57" s="732" t="str">
        <f t="shared" si="1"/>
        <v/>
      </c>
      <c r="M57" s="1631" t="str">
        <f t="shared" si="3"/>
        <v/>
      </c>
      <c r="N57" s="689"/>
    </row>
    <row r="58" spans="1:14" s="680" customFormat="1" ht="12.6" customHeight="1" x14ac:dyDescent="0.25">
      <c r="A58" s="703"/>
      <c r="B58" s="781" t="s">
        <v>298</v>
      </c>
      <c r="C58" s="769">
        <f>'Rates in detail'!AI40</f>
        <v>0.21919999999999992</v>
      </c>
      <c r="D58" s="708">
        <f>'Rates in detail'!AF40</f>
        <v>6.6399999999999966E-3</v>
      </c>
      <c r="E58" s="710">
        <f>'Rates in detail'!$V$40</f>
        <v>0.22583999999999993</v>
      </c>
      <c r="F58" s="796">
        <f t="shared" si="5"/>
        <v>1.6219999999999998E-2</v>
      </c>
      <c r="G58" s="812">
        <f t="shared" si="5"/>
        <v>-3.0000000000000001E-5</v>
      </c>
      <c r="H58" s="723">
        <f t="shared" si="5"/>
        <v>1.619E-2</v>
      </c>
      <c r="I58" s="710">
        <f t="shared" si="4"/>
        <v>1.6289999999999916E-2</v>
      </c>
      <c r="J58" s="720"/>
      <c r="K58" s="732" t="str">
        <f t="shared" si="0"/>
        <v/>
      </c>
      <c r="L58" s="732" t="str">
        <f t="shared" si="1"/>
        <v/>
      </c>
      <c r="M58" s="1631" t="str">
        <f t="shared" si="3"/>
        <v/>
      </c>
      <c r="N58" s="689"/>
    </row>
    <row r="59" spans="1:14" s="680" customFormat="1" ht="12.6" customHeight="1" x14ac:dyDescent="0.25">
      <c r="A59" s="700" t="s">
        <v>308</v>
      </c>
      <c r="B59" s="766" t="s">
        <v>292</v>
      </c>
      <c r="C59" s="767">
        <f>+'Avg Bill by RS'!G62</f>
        <v>1300</v>
      </c>
      <c r="D59" s="735" t="s">
        <v>70</v>
      </c>
      <c r="E59" s="718">
        <v>1300</v>
      </c>
      <c r="F59" s="793">
        <f>+C59</f>
        <v>1300</v>
      </c>
      <c r="G59" s="749"/>
      <c r="H59" s="717">
        <f>+F59+G59</f>
        <v>1300</v>
      </c>
      <c r="I59" s="717">
        <f>+E59</f>
        <v>1300</v>
      </c>
      <c r="J59" s="695"/>
      <c r="K59" s="732" t="str">
        <f t="shared" si="0"/>
        <v/>
      </c>
      <c r="L59" s="732" t="str">
        <f t="shared" si="1"/>
        <v/>
      </c>
      <c r="M59" s="1631" t="str">
        <f t="shared" si="3"/>
        <v/>
      </c>
      <c r="N59" s="689"/>
    </row>
    <row r="60" spans="1:14" s="680" customFormat="1" ht="13.5" customHeight="1" x14ac:dyDescent="0.25">
      <c r="A60" s="692" t="s">
        <v>716</v>
      </c>
      <c r="B60" s="766" t="s">
        <v>283</v>
      </c>
      <c r="C60" s="771"/>
      <c r="D60" s="759"/>
      <c r="E60" s="756"/>
      <c r="F60" s="793">
        <f>+'Avg Bill by RS'!G69-'Statement of Rates'!F59</f>
        <v>250</v>
      </c>
      <c r="G60" s="749"/>
      <c r="H60" s="717">
        <f>+F60+G60</f>
        <v>250</v>
      </c>
      <c r="I60" s="717">
        <f>+E60</f>
        <v>0</v>
      </c>
      <c r="J60" s="695"/>
      <c r="K60" s="732" t="str">
        <f t="shared" si="0"/>
        <v/>
      </c>
      <c r="L60" s="732" t="str">
        <f t="shared" si="1"/>
        <v/>
      </c>
      <c r="M60" s="1631"/>
      <c r="N60" s="689"/>
    </row>
    <row r="61" spans="1:14" s="680" customFormat="1" ht="13.5" customHeight="1" x14ac:dyDescent="0.25">
      <c r="A61" s="692"/>
      <c r="B61" s="770" t="s">
        <v>303</v>
      </c>
      <c r="C61" s="769">
        <f>Inputs!B28</f>
        <v>0.10208</v>
      </c>
      <c r="D61" s="745" t="s">
        <v>70</v>
      </c>
      <c r="E61" s="710">
        <f>C61</f>
        <v>0.10208</v>
      </c>
      <c r="F61" s="746" t="s">
        <v>70</v>
      </c>
      <c r="G61" s="749" t="s">
        <v>70</v>
      </c>
      <c r="H61" s="819" t="s">
        <v>70</v>
      </c>
      <c r="I61" s="705">
        <f>C61</f>
        <v>0.10208</v>
      </c>
      <c r="J61" s="695"/>
      <c r="K61" s="732" t="str">
        <f t="shared" si="0"/>
        <v/>
      </c>
      <c r="L61" s="732" t="str">
        <f t="shared" si="1"/>
        <v/>
      </c>
      <c r="M61" s="1631"/>
      <c r="N61" s="689"/>
    </row>
    <row r="62" spans="1:14" s="680" customFormat="1" ht="13.5" customHeight="1" x14ac:dyDescent="0.25">
      <c r="A62" s="701"/>
      <c r="B62" s="770" t="s">
        <v>296</v>
      </c>
      <c r="C62" s="769">
        <f>Inputs!B20</f>
        <v>3.8739999999999997E-2</v>
      </c>
      <c r="D62" s="745" t="s">
        <v>70</v>
      </c>
      <c r="E62" s="710">
        <f>+C62</f>
        <v>3.8739999999999997E-2</v>
      </c>
      <c r="F62" s="794" t="s">
        <v>70</v>
      </c>
      <c r="G62" s="750" t="s">
        <v>70</v>
      </c>
      <c r="H62" s="721" t="s">
        <v>70</v>
      </c>
      <c r="I62" s="710">
        <f>+E62</f>
        <v>3.8739999999999997E-2</v>
      </c>
      <c r="J62" s="720"/>
      <c r="K62" s="732" t="str">
        <f t="shared" si="0"/>
        <v/>
      </c>
      <c r="L62" s="732" t="str">
        <f t="shared" si="1"/>
        <v/>
      </c>
      <c r="M62" s="1631"/>
      <c r="N62" s="689"/>
    </row>
    <row r="63" spans="1:14" s="680" customFormat="1" ht="13.5" customHeight="1" x14ac:dyDescent="0.25">
      <c r="A63" s="701"/>
      <c r="B63" s="1179" t="s">
        <v>890</v>
      </c>
      <c r="C63" s="772">
        <f>'Rates in detail'!AI47</f>
        <v>0.32146999999999998</v>
      </c>
      <c r="D63" s="707">
        <f>'Rates in detail'!AF47</f>
        <v>3.8870000000000002E-2</v>
      </c>
      <c r="E63" s="845">
        <f>'Rates in detail'!$V$47</f>
        <v>0.36033999999999999</v>
      </c>
      <c r="F63" s="846">
        <f>+'Rates in detail'!AI59</f>
        <v>0.11817999999999999</v>
      </c>
      <c r="G63" s="813">
        <f>'Rates in detail'!N59</f>
        <v>-2.0000000000000001E-4</v>
      </c>
      <c r="H63" s="722">
        <f>'Rates in detail'!V59</f>
        <v>0.11797999999999999</v>
      </c>
      <c r="I63" s="705">
        <f t="shared" ref="I63:I68" si="6">+C63-$E$84</f>
        <v>0.11855999999999997</v>
      </c>
      <c r="J63" s="720"/>
      <c r="K63" s="732"/>
      <c r="L63" s="732"/>
      <c r="M63" s="1631"/>
      <c r="N63" s="689"/>
    </row>
    <row r="64" spans="1:14" s="680" customFormat="1" ht="13.5" customHeight="1" x14ac:dyDescent="0.25">
      <c r="A64" s="701"/>
      <c r="B64" s="1196" t="s">
        <v>305</v>
      </c>
      <c r="C64" s="772">
        <f>'Rates in detail'!AI48</f>
        <v>0.30902999999999992</v>
      </c>
      <c r="D64" s="707">
        <f>'Rates in detail'!AF48</f>
        <v>3.7449999999999997E-2</v>
      </c>
      <c r="E64" s="845">
        <f>'Rates in detail'!$V$48</f>
        <v>0.3464799999999999</v>
      </c>
      <c r="F64" s="847">
        <f>+'Rates in detail'!AI60</f>
        <v>0.10579</v>
      </c>
      <c r="G64" s="813">
        <f>'Rates in detail'!N60</f>
        <v>-1.8000000000000001E-4</v>
      </c>
      <c r="H64" s="722">
        <f>'Rates in detail'!V60</f>
        <v>0.10561</v>
      </c>
      <c r="I64" s="705">
        <f t="shared" si="6"/>
        <v>0.10611999999999991</v>
      </c>
      <c r="J64" s="720"/>
      <c r="K64" s="732"/>
      <c r="L64" s="732"/>
      <c r="M64" s="1631"/>
      <c r="N64" s="689"/>
    </row>
    <row r="65" spans="1:14" s="680" customFormat="1" ht="13.5" customHeight="1" x14ac:dyDescent="0.25">
      <c r="A65" s="701"/>
      <c r="B65" s="780" t="s">
        <v>305</v>
      </c>
      <c r="C65" s="772">
        <f>'Rates in detail'!AI49</f>
        <v>0.2842900000000001</v>
      </c>
      <c r="D65" s="707">
        <f>'Rates in detail'!AF49</f>
        <v>3.4619999999999998E-2</v>
      </c>
      <c r="E65" s="845">
        <f>'Rates in detail'!$V$49</f>
        <v>0.31891000000000008</v>
      </c>
      <c r="F65" s="847">
        <f>+'Rates in detail'!AI61</f>
        <v>8.1119999999999998E-2</v>
      </c>
      <c r="G65" s="813">
        <f>'Rates in detail'!N61</f>
        <v>-1.3999999999999999E-4</v>
      </c>
      <c r="H65" s="722">
        <f>'Rates in detail'!V61</f>
        <v>8.0979999999999996E-2</v>
      </c>
      <c r="I65" s="705">
        <f t="shared" si="6"/>
        <v>8.1380000000000091E-2</v>
      </c>
      <c r="J65" s="720"/>
      <c r="K65" s="732"/>
      <c r="L65" s="732"/>
      <c r="M65" s="1631"/>
      <c r="N65" s="689"/>
    </row>
    <row r="66" spans="1:14" s="680" customFormat="1" ht="13.5" customHeight="1" x14ac:dyDescent="0.25">
      <c r="A66" s="701"/>
      <c r="B66" s="780" t="s">
        <v>306</v>
      </c>
      <c r="C66" s="772">
        <f>'Rates in detail'!AI50</f>
        <v>0.26800999999999991</v>
      </c>
      <c r="D66" s="707">
        <f>'Rates in detail'!AF50</f>
        <v>3.2759999999999997E-2</v>
      </c>
      <c r="E66" s="845">
        <f>'Rates in detail'!$V$50</f>
        <v>0.30076999999999993</v>
      </c>
      <c r="F66" s="847">
        <f>+'Rates in detail'!AI62</f>
        <v>6.4899999999999999E-2</v>
      </c>
      <c r="G66" s="813">
        <f>'Rates in detail'!N62</f>
        <v>-1.1E-4</v>
      </c>
      <c r="H66" s="722">
        <f>'Rates in detail'!V62</f>
        <v>6.479E-2</v>
      </c>
      <c r="I66" s="705">
        <f t="shared" si="6"/>
        <v>6.5099999999999908E-2</v>
      </c>
      <c r="J66" s="720"/>
      <c r="K66" s="732"/>
      <c r="L66" s="732"/>
      <c r="M66" s="1631"/>
      <c r="N66" s="689"/>
    </row>
    <row r="67" spans="1:14" s="680" customFormat="1" ht="13.5" customHeight="1" x14ac:dyDescent="0.25">
      <c r="A67" s="701"/>
      <c r="B67" s="780" t="s">
        <v>307</v>
      </c>
      <c r="C67" s="772">
        <f>'Rates in detail'!AI51</f>
        <v>0.24631000000000003</v>
      </c>
      <c r="D67" s="707">
        <f>'Rates in detail'!AF51</f>
        <v>3.0289999999999997E-2</v>
      </c>
      <c r="E67" s="845">
        <f>'Rates in detail'!$V$51</f>
        <v>0.27660000000000001</v>
      </c>
      <c r="F67" s="847">
        <f>+'Rates in detail'!AI63</f>
        <v>4.3270000000000003E-2</v>
      </c>
      <c r="G67" s="813">
        <f>'Rates in detail'!N63</f>
        <v>-6.9999999999999994E-5</v>
      </c>
      <c r="H67" s="722">
        <f>'Rates in detail'!V63</f>
        <v>4.3200000000000002E-2</v>
      </c>
      <c r="I67" s="705">
        <f t="shared" si="6"/>
        <v>4.3400000000000022E-2</v>
      </c>
      <c r="J67" s="720"/>
      <c r="K67" s="732"/>
      <c r="L67" s="732"/>
      <c r="M67" s="1631"/>
      <c r="N67" s="689"/>
    </row>
    <row r="68" spans="1:14" s="680" customFormat="1" ht="13.5" customHeight="1" x14ac:dyDescent="0.25">
      <c r="A68" s="701"/>
      <c r="B68" s="781" t="s">
        <v>298</v>
      </c>
      <c r="C68" s="769">
        <f>'Rates in detail'!AI52</f>
        <v>0.21918999999999991</v>
      </c>
      <c r="D68" s="708">
        <f>'Rates in detail'!AF52</f>
        <v>2.7189999999999999E-2</v>
      </c>
      <c r="E68" s="1197">
        <f>'Rates in detail'!$V$52</f>
        <v>0.2463799999999999</v>
      </c>
      <c r="F68" s="848">
        <f>+'Rates in detail'!AI64</f>
        <v>1.6219999999999998E-2</v>
      </c>
      <c r="G68" s="812">
        <f>'Rates in detail'!N64</f>
        <v>-3.0000000000000001E-5</v>
      </c>
      <c r="H68" s="723">
        <f>'Rates in detail'!V64</f>
        <v>1.619E-2</v>
      </c>
      <c r="I68" s="710">
        <f t="shared" si="6"/>
        <v>1.6279999999999906E-2</v>
      </c>
      <c r="J68" s="720"/>
      <c r="K68" s="732"/>
      <c r="L68" s="732"/>
      <c r="M68" s="1631"/>
      <c r="N68" s="689"/>
    </row>
    <row r="69" spans="1:14" s="680" customFormat="1" ht="12.6" customHeight="1" x14ac:dyDescent="0.25">
      <c r="A69" s="692"/>
      <c r="B69" s="1179" t="s">
        <v>1179</v>
      </c>
      <c r="C69" s="772">
        <f>'Rates in detail'!AI53</f>
        <v>0.32160999999999995</v>
      </c>
      <c r="D69" s="707">
        <f>'Rates in detail'!AF53</f>
        <v>2.7669999999999997E-2</v>
      </c>
      <c r="E69" s="845">
        <f>'Rates in detail'!$V$53</f>
        <v>0.34927999999999992</v>
      </c>
      <c r="F69" s="846">
        <f>+'Rates in detail'!AI59</f>
        <v>0.11817999999999999</v>
      </c>
      <c r="G69" s="813">
        <f>'Rates in detail'!N59</f>
        <v>-2.0000000000000001E-4</v>
      </c>
      <c r="H69" s="722">
        <f>'Rates in detail'!V59</f>
        <v>0.11797999999999999</v>
      </c>
      <c r="I69" s="705">
        <f t="shared" ref="I69:I74" si="7">+C69-$E$84</f>
        <v>0.11869999999999994</v>
      </c>
      <c r="J69" s="720"/>
      <c r="K69" s="732" t="str">
        <f t="shared" si="0"/>
        <v/>
      </c>
      <c r="L69" s="732" t="str">
        <f t="shared" si="1"/>
        <v/>
      </c>
      <c r="M69" s="1631" t="str">
        <f t="shared" si="3"/>
        <v/>
      </c>
      <c r="N69" s="689"/>
    </row>
    <row r="70" spans="1:14" s="680" customFormat="1" ht="12.6" customHeight="1" x14ac:dyDescent="0.25">
      <c r="A70" s="692"/>
      <c r="B70" s="780" t="s">
        <v>305</v>
      </c>
      <c r="C70" s="772">
        <f>'Rates in detail'!AI54</f>
        <v>0.30915999999999988</v>
      </c>
      <c r="D70" s="707">
        <f>'Rates in detail'!AF54</f>
        <v>2.743E-2</v>
      </c>
      <c r="E70" s="845">
        <f>'Rates in detail'!$V$54</f>
        <v>0.33658999999999989</v>
      </c>
      <c r="F70" s="847">
        <f>+'Rates in detail'!AI60</f>
        <v>0.10579</v>
      </c>
      <c r="G70" s="813">
        <f>'Rates in detail'!N60</f>
        <v>-1.8000000000000001E-4</v>
      </c>
      <c r="H70" s="722">
        <f>'Rates in detail'!V60</f>
        <v>0.10561</v>
      </c>
      <c r="I70" s="705">
        <f t="shared" si="7"/>
        <v>0.10624999999999987</v>
      </c>
      <c r="J70" s="720"/>
      <c r="K70" s="732" t="str">
        <f t="shared" si="0"/>
        <v/>
      </c>
      <c r="L70" s="732" t="str">
        <f t="shared" si="1"/>
        <v/>
      </c>
      <c r="M70" s="1631" t="str">
        <f t="shared" si="3"/>
        <v/>
      </c>
      <c r="N70" s="689"/>
    </row>
    <row r="71" spans="1:14" s="680" customFormat="1" ht="12.6" customHeight="1" x14ac:dyDescent="0.25">
      <c r="A71" s="692"/>
      <c r="B71" s="780" t="s">
        <v>305</v>
      </c>
      <c r="C71" s="772">
        <f>'Rates in detail'!AI55</f>
        <v>0.28439000000000014</v>
      </c>
      <c r="D71" s="707">
        <f>'Rates in detail'!AF55</f>
        <v>2.6939999999999999E-2</v>
      </c>
      <c r="E71" s="845">
        <f>'Rates in detail'!$V$55</f>
        <v>0.31133000000000016</v>
      </c>
      <c r="F71" s="847">
        <f>+'Rates in detail'!AI61</f>
        <v>8.1119999999999998E-2</v>
      </c>
      <c r="G71" s="813">
        <f>'Rates in detail'!N61</f>
        <v>-1.3999999999999999E-4</v>
      </c>
      <c r="H71" s="722">
        <f>'Rates in detail'!V61</f>
        <v>8.0979999999999996E-2</v>
      </c>
      <c r="I71" s="705">
        <f t="shared" si="7"/>
        <v>8.1480000000000136E-2</v>
      </c>
      <c r="J71" s="720"/>
      <c r="K71" s="732" t="str">
        <f t="shared" si="0"/>
        <v/>
      </c>
      <c r="L71" s="732" t="str">
        <f t="shared" si="1"/>
        <v/>
      </c>
      <c r="M71" s="1631" t="str">
        <f t="shared" si="3"/>
        <v/>
      </c>
      <c r="N71" s="689"/>
    </row>
    <row r="72" spans="1:14" s="680" customFormat="1" ht="12.6" customHeight="1" x14ac:dyDescent="0.25">
      <c r="A72" s="692"/>
      <c r="B72" s="780" t="s">
        <v>306</v>
      </c>
      <c r="C72" s="772">
        <f>'Rates in detail'!AI56</f>
        <v>0.26808999999999983</v>
      </c>
      <c r="D72" s="707">
        <f>'Rates in detail'!AF56</f>
        <v>2.6609999999999998E-2</v>
      </c>
      <c r="E72" s="845">
        <f>'Rates in detail'!$V$56</f>
        <v>0.29469999999999985</v>
      </c>
      <c r="F72" s="847">
        <f>+'Rates in detail'!AI62</f>
        <v>6.4899999999999999E-2</v>
      </c>
      <c r="G72" s="813">
        <f>'Rates in detail'!N62</f>
        <v>-1.1E-4</v>
      </c>
      <c r="H72" s="722">
        <f>'Rates in detail'!V62</f>
        <v>6.479E-2</v>
      </c>
      <c r="I72" s="705">
        <f t="shared" si="7"/>
        <v>6.5179999999999821E-2</v>
      </c>
      <c r="J72" s="720"/>
      <c r="K72" s="732" t="str">
        <f t="shared" si="0"/>
        <v/>
      </c>
      <c r="L72" s="732" t="str">
        <f t="shared" si="1"/>
        <v/>
      </c>
      <c r="M72" s="1631" t="str">
        <f t="shared" si="3"/>
        <v/>
      </c>
      <c r="N72" s="689"/>
    </row>
    <row r="73" spans="1:14" s="680" customFormat="1" ht="13.5" customHeight="1" x14ac:dyDescent="0.25">
      <c r="A73" s="692"/>
      <c r="B73" s="780" t="s">
        <v>307</v>
      </c>
      <c r="C73" s="772">
        <f>'Rates in detail'!AI57</f>
        <v>0.24636</v>
      </c>
      <c r="D73" s="707">
        <f>'Rates in detail'!AF57</f>
        <v>2.6179999999999998E-2</v>
      </c>
      <c r="E73" s="845">
        <f>'Rates in detail'!$V$57</f>
        <v>0.27254</v>
      </c>
      <c r="F73" s="847">
        <f>+'Rates in detail'!AI63</f>
        <v>4.3270000000000003E-2</v>
      </c>
      <c r="G73" s="813">
        <f>'Rates in detail'!N63</f>
        <v>-6.9999999999999994E-5</v>
      </c>
      <c r="H73" s="722">
        <f>'Rates in detail'!V63</f>
        <v>4.3200000000000002E-2</v>
      </c>
      <c r="I73" s="705">
        <f t="shared" si="7"/>
        <v>4.3449999999999989E-2</v>
      </c>
      <c r="J73" s="720"/>
      <c r="K73" s="732" t="str">
        <f t="shared" si="0"/>
        <v/>
      </c>
      <c r="L73" s="732" t="str">
        <f t="shared" si="1"/>
        <v/>
      </c>
      <c r="M73" s="1631" t="str">
        <f t="shared" si="3"/>
        <v/>
      </c>
      <c r="N73" s="689"/>
    </row>
    <row r="74" spans="1:14" s="680" customFormat="1" ht="13.5" customHeight="1" x14ac:dyDescent="0.25">
      <c r="A74" s="703"/>
      <c r="B74" s="781" t="s">
        <v>298</v>
      </c>
      <c r="C74" s="772">
        <f>'Rates in detail'!AI58</f>
        <v>0.2192099999999999</v>
      </c>
      <c r="D74" s="707">
        <f>'Rates in detail'!AF58</f>
        <v>2.5649999999999999E-2</v>
      </c>
      <c r="E74" s="845">
        <f>'Rates in detail'!$V$58</f>
        <v>0.24485999999999991</v>
      </c>
      <c r="F74" s="848">
        <f>+'Rates in detail'!AI64</f>
        <v>1.6219999999999998E-2</v>
      </c>
      <c r="G74" s="812">
        <f>'Rates in detail'!N64</f>
        <v>-3.0000000000000001E-5</v>
      </c>
      <c r="H74" s="723">
        <f>'Rates in detail'!V64</f>
        <v>1.619E-2</v>
      </c>
      <c r="I74" s="710">
        <f t="shared" si="7"/>
        <v>1.6299999999999898E-2</v>
      </c>
      <c r="J74" s="720"/>
      <c r="K74" s="732" t="str">
        <f t="shared" si="0"/>
        <v/>
      </c>
      <c r="L74" s="732" t="str">
        <f t="shared" si="1"/>
        <v/>
      </c>
      <c r="M74" s="1631" t="str">
        <f t="shared" si="3"/>
        <v/>
      </c>
      <c r="N74" s="689"/>
    </row>
    <row r="75" spans="1:14" s="680" customFormat="1" ht="13.5" customHeight="1" x14ac:dyDescent="0.25">
      <c r="A75" s="700" t="s">
        <v>730</v>
      </c>
      <c r="B75" s="766" t="s">
        <v>280</v>
      </c>
      <c r="C75" s="773"/>
      <c r="D75" s="761"/>
      <c r="E75" s="757"/>
      <c r="F75" s="797">
        <f>+'Avg Bill by RS'!G76</f>
        <v>38000</v>
      </c>
      <c r="G75" s="749" t="s">
        <v>70</v>
      </c>
      <c r="H75" s="717">
        <v>38000</v>
      </c>
      <c r="I75" s="817"/>
      <c r="J75" s="695"/>
      <c r="K75" s="732" t="str">
        <f t="shared" si="0"/>
        <v/>
      </c>
      <c r="L75" s="732" t="str">
        <f t="shared" si="1"/>
        <v/>
      </c>
      <c r="M75" s="1631"/>
      <c r="N75" s="689"/>
    </row>
    <row r="76" spans="1:14" s="680" customFormat="1" ht="13.5" customHeight="1" x14ac:dyDescent="0.25">
      <c r="A76" s="692" t="s">
        <v>309</v>
      </c>
      <c r="B76" s="766" t="s">
        <v>283</v>
      </c>
      <c r="C76" s="774"/>
      <c r="D76" s="762"/>
      <c r="E76" s="758"/>
      <c r="F76" s="793">
        <v>250</v>
      </c>
      <c r="G76" s="749" t="s">
        <v>70</v>
      </c>
      <c r="H76" s="717">
        <f>+F76</f>
        <v>250</v>
      </c>
      <c r="I76" s="817"/>
      <c r="J76" s="695"/>
      <c r="K76" s="732" t="str">
        <f t="shared" si="0"/>
        <v/>
      </c>
      <c r="L76" s="732" t="str">
        <f t="shared" si="1"/>
        <v/>
      </c>
      <c r="M76" s="1631"/>
      <c r="N76" s="689"/>
    </row>
    <row r="77" spans="1:14" s="680" customFormat="1" ht="13.5" customHeight="1" x14ac:dyDescent="0.25">
      <c r="A77" s="692"/>
      <c r="B77" s="766" t="s">
        <v>735</v>
      </c>
      <c r="C77" s="774"/>
      <c r="D77" s="762"/>
      <c r="E77" s="758"/>
      <c r="F77" s="795">
        <f>Inputs!B24</f>
        <v>0.15748000000000001</v>
      </c>
      <c r="G77" s="749" t="s">
        <v>70</v>
      </c>
      <c r="H77" s="722">
        <f>+F77</f>
        <v>0.15748000000000001</v>
      </c>
      <c r="I77" s="818"/>
      <c r="J77" s="695"/>
      <c r="K77" s="732" t="str">
        <f t="shared" si="0"/>
        <v/>
      </c>
      <c r="L77" s="732" t="str">
        <f>IF(G77="N/A","",IF(F77+G77=H77,"","check rates"))</f>
        <v/>
      </c>
      <c r="M77" s="1631"/>
      <c r="N77" s="689"/>
    </row>
    <row r="78" spans="1:14" s="680" customFormat="1" ht="13.5" customHeight="1" thickBot="1" x14ac:dyDescent="0.3">
      <c r="A78" s="1124"/>
      <c r="B78" s="816" t="s">
        <v>310</v>
      </c>
      <c r="C78" s="1125"/>
      <c r="D78" s="1126"/>
      <c r="E78" s="1127"/>
      <c r="F78" s="1128">
        <f>'Rates in detail'!AI65</f>
        <v>4.9899999999999996E-3</v>
      </c>
      <c r="G78" s="1129">
        <f>'Rates in detail'!N65</f>
        <v>-1.0000000000000001E-5</v>
      </c>
      <c r="H78" s="1130">
        <f>'Rates in detail'!V65</f>
        <v>4.9800000000000001E-3</v>
      </c>
      <c r="I78" s="1131"/>
      <c r="J78" s="695"/>
      <c r="K78" s="732" t="str">
        <f t="shared" si="0"/>
        <v/>
      </c>
      <c r="L78" s="732" t="str">
        <f>IF(G78="N/A","",IF(F78+G78=H78,"","check rates"))</f>
        <v/>
      </c>
      <c r="M78" s="1631"/>
      <c r="N78" s="689"/>
    </row>
    <row r="79" spans="1:14" s="680" customFormat="1" ht="12.6" customHeight="1" x14ac:dyDescent="0.25">
      <c r="B79" s="724"/>
      <c r="C79" s="724"/>
      <c r="D79" s="724"/>
      <c r="E79" s="724"/>
      <c r="F79" s="724"/>
      <c r="G79" s="724"/>
      <c r="H79" s="724"/>
      <c r="I79" s="724"/>
      <c r="J79" s="695"/>
      <c r="K79" s="732"/>
      <c r="L79" s="732"/>
      <c r="M79" s="1631"/>
      <c r="N79" s="689"/>
    </row>
    <row r="80" spans="1:14" s="680" customFormat="1" ht="12.6" customHeight="1" x14ac:dyDescent="0.25">
      <c r="A80" s="724" t="s">
        <v>757</v>
      </c>
      <c r="C80" s="724"/>
      <c r="D80" s="724"/>
      <c r="E80" s="724"/>
      <c r="F80" s="724"/>
      <c r="G80" s="724"/>
      <c r="H80" s="724"/>
      <c r="I80" s="724"/>
      <c r="J80" s="695"/>
      <c r="K80" s="732"/>
      <c r="L80" s="732"/>
      <c r="M80" s="732"/>
      <c r="N80" s="689"/>
    </row>
    <row r="81" spans="1:14" s="680" customFormat="1" ht="12.6" customHeight="1" x14ac:dyDescent="0.25">
      <c r="A81" s="680" t="s">
        <v>758</v>
      </c>
      <c r="B81" s="724"/>
      <c r="C81" s="724"/>
      <c r="D81" s="724"/>
      <c r="E81" s="724"/>
      <c r="F81" s="724"/>
      <c r="G81" s="724"/>
      <c r="H81" s="724"/>
      <c r="I81" s="724"/>
      <c r="J81" s="695"/>
      <c r="K81" s="732"/>
      <c r="L81" s="732"/>
      <c r="M81" s="732"/>
      <c r="N81" s="689"/>
    </row>
    <row r="82" spans="1:14" s="680" customFormat="1" ht="12.6" customHeight="1" x14ac:dyDescent="0.25">
      <c r="B82" s="725"/>
      <c r="C82" s="724"/>
      <c r="D82" s="724"/>
      <c r="E82" s="724"/>
      <c r="F82" s="724"/>
      <c r="G82" s="724"/>
      <c r="H82" s="724"/>
      <c r="I82" s="724"/>
      <c r="J82" s="695"/>
      <c r="K82" s="732"/>
      <c r="L82" s="732"/>
      <c r="M82" s="732"/>
      <c r="N82" s="689"/>
    </row>
    <row r="83" spans="1:14" s="680" customFormat="1" ht="12.6" customHeight="1" x14ac:dyDescent="0.25">
      <c r="B83" s="725"/>
      <c r="C83" s="724"/>
      <c r="D83" s="724"/>
      <c r="E83" s="724"/>
      <c r="F83" s="724"/>
      <c r="G83" s="724"/>
      <c r="H83" s="724"/>
      <c r="I83" s="724"/>
      <c r="J83" s="695"/>
      <c r="K83" s="732"/>
      <c r="L83" s="732"/>
      <c r="M83" s="732"/>
      <c r="N83" s="689"/>
    </row>
    <row r="84" spans="1:14" s="680" customFormat="1" ht="13.5" customHeight="1" x14ac:dyDescent="0.25">
      <c r="A84" s="724"/>
      <c r="B84" s="724" t="s">
        <v>644</v>
      </c>
      <c r="C84" s="724"/>
      <c r="D84" s="724"/>
      <c r="E84" s="726">
        <f>Inputs!B16</f>
        <v>0.20291000000000001</v>
      </c>
      <c r="F84" s="724"/>
      <c r="G84" s="724"/>
      <c r="H84" s="724"/>
      <c r="I84" s="724"/>
      <c r="J84" s="695"/>
      <c r="K84" s="732"/>
      <c r="L84" s="732"/>
      <c r="M84" s="732"/>
      <c r="N84" s="689"/>
    </row>
    <row r="85" spans="1:14" s="680" customFormat="1" ht="13.5" customHeight="1" x14ac:dyDescent="0.25">
      <c r="A85" s="724"/>
      <c r="B85" s="678" t="s">
        <v>645</v>
      </c>
      <c r="C85" s="724"/>
      <c r="D85" s="724"/>
      <c r="E85" s="726">
        <f>+Inputs!B32</f>
        <v>0.24779999999999999</v>
      </c>
      <c r="F85" s="678"/>
      <c r="G85" s="678"/>
      <c r="H85" s="678"/>
      <c r="I85" s="678"/>
      <c r="J85" s="695"/>
      <c r="K85" s="732"/>
      <c r="L85" s="732"/>
      <c r="M85" s="732"/>
      <c r="N85" s="689"/>
    </row>
    <row r="86" spans="1:14" s="680" customFormat="1" ht="12.75" customHeight="1" x14ac:dyDescent="0.25">
      <c r="A86" s="724"/>
      <c r="B86" s="724"/>
      <c r="C86" s="724"/>
      <c r="D86" s="724"/>
      <c r="E86" s="727"/>
      <c r="F86" s="678"/>
      <c r="G86" s="678"/>
      <c r="H86" s="678"/>
      <c r="I86" s="728"/>
      <c r="J86" s="695"/>
      <c r="K86" s="732"/>
      <c r="L86" s="732"/>
      <c r="M86" s="732"/>
      <c r="N86" s="689"/>
    </row>
    <row r="87" spans="1:14" s="680" customFormat="1" ht="12.6" customHeight="1" x14ac:dyDescent="0.25">
      <c r="A87" s="724"/>
      <c r="B87" s="724"/>
      <c r="C87" s="724"/>
      <c r="D87" s="724"/>
      <c r="E87" s="727"/>
      <c r="F87" s="678"/>
      <c r="G87" s="678"/>
      <c r="H87" s="678"/>
      <c r="I87" s="728"/>
      <c r="J87" s="695"/>
      <c r="K87" s="732"/>
      <c r="L87" s="732"/>
      <c r="M87" s="732"/>
      <c r="N87" s="689"/>
    </row>
    <row r="88" spans="1:14" s="680" customFormat="1" ht="15" x14ac:dyDescent="0.25">
      <c r="A88" s="724"/>
      <c r="B88" s="724"/>
      <c r="C88" s="724"/>
      <c r="D88" s="724"/>
      <c r="E88" s="727"/>
      <c r="F88" s="678"/>
      <c r="G88" s="678"/>
      <c r="H88" s="678"/>
      <c r="I88" s="728"/>
      <c r="J88" s="695"/>
      <c r="K88" s="732"/>
      <c r="L88" s="732"/>
      <c r="M88" s="732"/>
      <c r="N88" s="689"/>
    </row>
    <row r="89" spans="1:14" s="680" customFormat="1" ht="12.6" customHeight="1" x14ac:dyDescent="0.25">
      <c r="A89" s="724"/>
      <c r="B89" s="724"/>
      <c r="C89" s="724"/>
      <c r="D89" s="724"/>
      <c r="E89" s="727"/>
      <c r="F89" s="678"/>
      <c r="G89" s="678"/>
      <c r="H89" s="678"/>
      <c r="I89" s="728"/>
      <c r="J89" s="695"/>
      <c r="K89" s="732"/>
      <c r="L89" s="732"/>
      <c r="M89" s="732"/>
      <c r="N89" s="689"/>
    </row>
    <row r="90" spans="1:14" s="680" customFormat="1" ht="12.6" customHeight="1" x14ac:dyDescent="0.25">
      <c r="A90" s="724"/>
      <c r="B90" s="724"/>
      <c r="C90" s="724"/>
      <c r="D90" s="724"/>
      <c r="E90" s="724"/>
      <c r="F90" s="678"/>
      <c r="G90" s="678"/>
      <c r="H90" s="678"/>
      <c r="I90" s="724"/>
      <c r="J90" s="695"/>
      <c r="K90" s="732"/>
      <c r="L90" s="732"/>
      <c r="M90" s="732"/>
      <c r="N90" s="689"/>
    </row>
    <row r="91" spans="1:14" s="680" customFormat="1" ht="12.6" customHeight="1" x14ac:dyDescent="0.25">
      <c r="A91" s="724"/>
      <c r="B91" s="724"/>
      <c r="C91" s="724"/>
      <c r="D91" s="724"/>
      <c r="E91" s="724"/>
      <c r="F91" s="724"/>
      <c r="G91" s="724"/>
      <c r="H91" s="724"/>
      <c r="I91" s="724"/>
      <c r="J91" s="695"/>
      <c r="K91" s="732"/>
      <c r="L91" s="732"/>
      <c r="M91" s="732"/>
      <c r="N91" s="689"/>
    </row>
    <row r="92" spans="1:14" s="680" customFormat="1" ht="12.6" customHeight="1" x14ac:dyDescent="0.25">
      <c r="A92" s="724"/>
      <c r="B92" s="678"/>
      <c r="C92" s="724"/>
      <c r="D92" s="724"/>
      <c r="E92" s="724"/>
      <c r="F92" s="724"/>
      <c r="G92" s="724"/>
      <c r="H92" s="724"/>
      <c r="I92" s="724"/>
      <c r="J92" s="695"/>
      <c r="K92" s="732"/>
      <c r="L92" s="732"/>
      <c r="M92" s="732"/>
      <c r="N92" s="689"/>
    </row>
    <row r="93" spans="1:14" s="680" customFormat="1" ht="13.5" customHeight="1" x14ac:dyDescent="0.25">
      <c r="A93" s="724"/>
      <c r="B93" s="729"/>
      <c r="C93" s="724"/>
      <c r="D93" s="724"/>
      <c r="E93" s="724"/>
      <c r="F93" s="724"/>
      <c r="G93" s="724"/>
      <c r="H93" s="724"/>
      <c r="I93" s="724"/>
      <c r="J93" s="695"/>
      <c r="K93" s="732"/>
      <c r="L93" s="732"/>
      <c r="M93" s="732"/>
      <c r="N93" s="689"/>
    </row>
    <row r="94" spans="1:14" s="680" customFormat="1" ht="13.5" customHeight="1" x14ac:dyDescent="0.25">
      <c r="A94" s="724"/>
      <c r="B94" s="678"/>
      <c r="C94" s="678"/>
      <c r="D94" s="678"/>
      <c r="E94" s="678"/>
      <c r="F94" s="678"/>
      <c r="G94" s="678"/>
      <c r="H94" s="678"/>
      <c r="I94" s="678"/>
      <c r="J94" s="695"/>
      <c r="K94" s="732"/>
      <c r="L94" s="732"/>
      <c r="M94" s="732"/>
      <c r="N94" s="689"/>
    </row>
    <row r="95" spans="1:14" s="680" customFormat="1" ht="13.5" customHeight="1" x14ac:dyDescent="0.25">
      <c r="A95" s="724"/>
      <c r="B95" s="678"/>
      <c r="C95" s="678"/>
      <c r="D95" s="678"/>
      <c r="E95" s="678"/>
      <c r="F95" s="678"/>
      <c r="G95" s="678"/>
      <c r="H95" s="678"/>
      <c r="I95" s="678"/>
      <c r="J95" s="695"/>
      <c r="K95" s="732"/>
      <c r="L95" s="732"/>
      <c r="M95" s="732"/>
      <c r="N95" s="689"/>
    </row>
    <row r="96" spans="1:14" s="680" customFormat="1" ht="13.5" customHeight="1" x14ac:dyDescent="0.25">
      <c r="A96" s="724"/>
      <c r="B96" s="678"/>
      <c r="C96" s="678"/>
      <c r="D96" s="678"/>
      <c r="E96" s="678"/>
      <c r="F96" s="678"/>
      <c r="G96" s="678"/>
      <c r="H96" s="678"/>
      <c r="I96" s="678"/>
      <c r="J96" s="688"/>
      <c r="K96" s="732"/>
      <c r="L96" s="732"/>
      <c r="M96" s="732"/>
      <c r="N96" s="689"/>
    </row>
    <row r="97" spans="1:14" s="680" customFormat="1" ht="13.5" customHeight="1" x14ac:dyDescent="0.25">
      <c r="A97" s="724"/>
      <c r="B97" s="678"/>
      <c r="C97" s="678"/>
      <c r="D97" s="678"/>
      <c r="E97" s="678"/>
      <c r="F97" s="678"/>
      <c r="G97" s="678"/>
      <c r="H97" s="678"/>
      <c r="I97" s="678"/>
      <c r="J97" s="688"/>
      <c r="K97" s="732"/>
      <c r="L97" s="732"/>
      <c r="M97" s="732"/>
      <c r="N97" s="689"/>
    </row>
    <row r="98" spans="1:14" s="680" customFormat="1" ht="12.75" customHeight="1" x14ac:dyDescent="0.25">
      <c r="A98" s="685"/>
      <c r="B98" s="678"/>
      <c r="C98" s="678"/>
      <c r="D98" s="678"/>
      <c r="E98" s="678"/>
      <c r="F98" s="678"/>
      <c r="G98" s="678"/>
      <c r="H98" s="678"/>
      <c r="I98" s="678"/>
      <c r="J98" s="688"/>
      <c r="K98" s="732"/>
      <c r="L98" s="732"/>
      <c r="M98" s="732"/>
      <c r="N98" s="689"/>
    </row>
    <row r="99" spans="1:14" s="680" customFormat="1" ht="12.75" customHeight="1" x14ac:dyDescent="0.25">
      <c r="A99" s="685"/>
      <c r="B99" s="678"/>
      <c r="C99" s="678"/>
      <c r="D99" s="678"/>
      <c r="E99" s="678"/>
      <c r="F99" s="678"/>
      <c r="G99" s="678"/>
      <c r="H99" s="678"/>
      <c r="I99" s="678"/>
      <c r="J99" s="684"/>
      <c r="K99" s="732"/>
      <c r="L99" s="732"/>
      <c r="M99" s="732"/>
      <c r="N99" s="689"/>
    </row>
    <row r="100" spans="1:14" s="680" customFormat="1" ht="12.6" customHeight="1" x14ac:dyDescent="0.25">
      <c r="A100" s="685"/>
      <c r="B100" s="678"/>
      <c r="C100" s="678"/>
      <c r="D100" s="678"/>
      <c r="E100" s="678"/>
      <c r="F100" s="678"/>
      <c r="G100" s="678"/>
      <c r="H100" s="678"/>
      <c r="I100" s="678"/>
      <c r="J100" s="684"/>
      <c r="K100" s="732"/>
      <c r="L100" s="732"/>
      <c r="M100" s="732"/>
      <c r="N100" s="689"/>
    </row>
    <row r="101" spans="1:14" s="680" customFormat="1" ht="15" customHeight="1" x14ac:dyDescent="0.25">
      <c r="A101" s="685"/>
      <c r="B101" s="678"/>
      <c r="C101" s="678"/>
      <c r="D101" s="678"/>
      <c r="E101" s="678"/>
      <c r="F101" s="678"/>
      <c r="G101" s="678"/>
      <c r="H101" s="678"/>
      <c r="I101" s="678"/>
      <c r="J101" s="684"/>
      <c r="K101" s="732"/>
      <c r="L101" s="732"/>
      <c r="M101" s="732"/>
      <c r="N101" s="689"/>
    </row>
    <row r="102" spans="1:14" s="680" customFormat="1" ht="12.6" customHeight="1" x14ac:dyDescent="0.25">
      <c r="A102" s="685"/>
      <c r="B102" s="678"/>
      <c r="C102" s="678"/>
      <c r="D102" s="678"/>
      <c r="E102" s="678"/>
      <c r="F102" s="678"/>
      <c r="G102" s="678"/>
      <c r="H102" s="678"/>
      <c r="I102" s="678"/>
      <c r="J102" s="684"/>
      <c r="K102" s="732"/>
      <c r="L102" s="732"/>
      <c r="M102" s="732"/>
      <c r="N102" s="689"/>
    </row>
    <row r="103" spans="1:14" ht="15" customHeight="1" x14ac:dyDescent="0.25">
      <c r="A103" s="685"/>
      <c r="J103" s="684"/>
      <c r="K103" s="731"/>
      <c r="L103" s="731"/>
      <c r="M103" s="731"/>
      <c r="N103" s="685"/>
    </row>
    <row r="104" spans="1:14" ht="12.6" customHeight="1" x14ac:dyDescent="0.25">
      <c r="A104" s="685"/>
      <c r="J104" s="684"/>
      <c r="K104" s="731"/>
      <c r="L104" s="731"/>
      <c r="M104" s="731"/>
      <c r="N104" s="685"/>
    </row>
    <row r="105" spans="1:14" ht="15" customHeight="1" x14ac:dyDescent="0.25">
      <c r="A105" s="685"/>
      <c r="J105" s="684"/>
      <c r="K105" s="731"/>
      <c r="L105" s="731"/>
      <c r="M105" s="731"/>
      <c r="N105" s="685"/>
    </row>
    <row r="106" spans="1:14" ht="12.6" customHeight="1" x14ac:dyDescent="0.25">
      <c r="J106" s="684"/>
      <c r="K106" s="731"/>
      <c r="L106" s="731"/>
      <c r="M106" s="731"/>
      <c r="N106" s="685"/>
    </row>
    <row r="107" spans="1:14" ht="15" customHeight="1" x14ac:dyDescent="0.25">
      <c r="J107" s="684"/>
      <c r="K107" s="731"/>
      <c r="L107" s="731"/>
      <c r="M107" s="731"/>
      <c r="N107" s="685"/>
    </row>
    <row r="108" spans="1:14" ht="12.6" customHeight="1" x14ac:dyDescent="0.25">
      <c r="J108" s="684"/>
      <c r="K108" s="731"/>
      <c r="L108" s="731"/>
      <c r="M108" s="731"/>
      <c r="N108" s="685"/>
    </row>
    <row r="109" spans="1:14" ht="12.6" customHeight="1" x14ac:dyDescent="0.25">
      <c r="J109" s="684"/>
      <c r="K109" s="731"/>
      <c r="L109" s="731"/>
      <c r="M109" s="731"/>
      <c r="N109" s="685"/>
    </row>
    <row r="110" spans="1:14" ht="12.6" customHeight="1" x14ac:dyDescent="0.25">
      <c r="J110" s="684"/>
      <c r="K110" s="731"/>
      <c r="L110" s="731"/>
      <c r="M110" s="731"/>
      <c r="N110" s="685"/>
    </row>
    <row r="111" spans="1:14" ht="12.6" customHeight="1" x14ac:dyDescent="0.25">
      <c r="J111" s="684"/>
      <c r="K111" s="731"/>
      <c r="L111" s="731"/>
      <c r="M111" s="731"/>
      <c r="N111" s="685"/>
    </row>
    <row r="112" spans="1:14" ht="12.6" customHeight="1" x14ac:dyDescent="0.25">
      <c r="J112" s="684"/>
      <c r="K112" s="731"/>
      <c r="L112" s="731"/>
      <c r="M112" s="731"/>
      <c r="N112" s="685"/>
    </row>
    <row r="113" spans="11:14" ht="12.6" customHeight="1" x14ac:dyDescent="0.25">
      <c r="K113" s="731"/>
      <c r="L113" s="731"/>
      <c r="M113" s="731"/>
      <c r="N113" s="685"/>
    </row>
    <row r="114" spans="11:14" ht="12.6" customHeight="1" x14ac:dyDescent="0.25">
      <c r="K114" s="731"/>
      <c r="L114" s="731"/>
      <c r="M114" s="731"/>
      <c r="N114" s="685"/>
    </row>
    <row r="115" spans="11:14" ht="12.6" customHeight="1" x14ac:dyDescent="0.25">
      <c r="K115" s="731"/>
      <c r="L115" s="731"/>
      <c r="M115" s="731"/>
      <c r="N115" s="685"/>
    </row>
    <row r="116" spans="11:14" ht="12.6" customHeight="1" x14ac:dyDescent="0.25">
      <c r="K116" s="731"/>
      <c r="L116" s="731"/>
      <c r="M116" s="731"/>
      <c r="N116" s="685"/>
    </row>
  </sheetData>
  <mergeCells count="1">
    <mergeCell ref="E2:G2"/>
  </mergeCells>
  <phoneticPr fontId="12" type="noConversion"/>
  <pageMargins left="0.57999999999999996" right="0.18" top="0.47" bottom="0.32" header="0.81" footer="0.5"/>
  <pageSetup scale="57" orientation="portrait" r:id="rId1"/>
  <headerFooter alignWithMargins="0"/>
  <ignoredErrors>
    <ignoredError sqref="I61 E15"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election activeCell="A10" sqref="A10"/>
    </sheetView>
  </sheetViews>
  <sheetFormatPr defaultColWidth="12" defaultRowHeight="13.2" x14ac:dyDescent="0.25"/>
  <cols>
    <col min="1" max="1" width="34.88671875" style="1" customWidth="1"/>
    <col min="2" max="2" width="13.44140625" style="1" customWidth="1"/>
    <col min="3" max="3" width="33.33203125" style="1" customWidth="1"/>
    <col min="4" max="4" width="13" style="1" customWidth="1"/>
    <col min="5" max="5" width="35.44140625" style="1" bestFit="1" customWidth="1"/>
    <col min="6" max="6" width="12.109375" style="1" customWidth="1"/>
    <col min="7" max="7" width="34.109375" style="1" customWidth="1"/>
    <col min="8" max="8" width="13.109375" style="1" customWidth="1"/>
    <col min="9" max="9" width="34.109375" style="1" customWidth="1"/>
    <col min="10" max="10" width="13" style="1" customWidth="1"/>
    <col min="11" max="16384" width="12" style="1"/>
  </cols>
  <sheetData>
    <row r="1" spans="1:20" ht="46.5" customHeight="1" x14ac:dyDescent="0.4">
      <c r="A1" s="1791" t="s">
        <v>231</v>
      </c>
      <c r="B1" s="1791"/>
      <c r="C1" s="1810" t="s">
        <v>629</v>
      </c>
      <c r="D1" s="1810"/>
      <c r="E1" s="1810"/>
      <c r="F1" s="1810"/>
      <c r="G1" s="1810"/>
      <c r="H1" s="1810"/>
      <c r="I1" s="1810" t="s">
        <v>258</v>
      </c>
      <c r="J1" s="1810"/>
      <c r="K1" s="67"/>
      <c r="L1" s="68"/>
      <c r="M1" s="68"/>
      <c r="N1" s="68"/>
      <c r="O1" s="68"/>
      <c r="P1" s="68"/>
      <c r="Q1" s="24"/>
      <c r="R1" s="24"/>
      <c r="S1" s="24"/>
      <c r="T1" s="24"/>
    </row>
    <row r="2" spans="1:20" ht="32.25" customHeight="1" x14ac:dyDescent="0.25">
      <c r="C2" s="69"/>
      <c r="D2" s="8"/>
      <c r="E2" s="70"/>
      <c r="F2" s="70"/>
      <c r="H2" s="8"/>
      <c r="I2" s="71">
        <f>+Cover!A10</f>
        <v>43770</v>
      </c>
      <c r="J2" s="71"/>
      <c r="K2" s="67"/>
      <c r="L2" s="68"/>
      <c r="M2" s="68"/>
      <c r="N2" s="68"/>
      <c r="O2" s="68"/>
      <c r="P2" s="68"/>
      <c r="Q2" s="24"/>
      <c r="R2" s="24"/>
      <c r="S2" s="24"/>
      <c r="T2" s="24"/>
    </row>
    <row r="3" spans="1:20" ht="16.5" customHeight="1" x14ac:dyDescent="0.25">
      <c r="A3" s="72"/>
      <c r="B3" s="73"/>
      <c r="C3" s="69"/>
      <c r="D3" s="8"/>
      <c r="E3" s="70"/>
      <c r="F3" s="70"/>
      <c r="H3" s="8"/>
      <c r="I3" s="71"/>
      <c r="J3" s="71"/>
      <c r="K3" s="67"/>
      <c r="L3" s="68"/>
      <c r="M3" s="68"/>
      <c r="N3" s="68"/>
      <c r="O3" s="68"/>
      <c r="P3" s="68"/>
      <c r="Q3" s="24"/>
      <c r="R3" s="24"/>
      <c r="S3" s="24"/>
      <c r="T3" s="24"/>
    </row>
    <row r="4" spans="1:20" ht="12.75" customHeight="1" x14ac:dyDescent="0.25">
      <c r="A4" s="67"/>
      <c r="B4" s="67"/>
      <c r="C4" s="67"/>
      <c r="D4" s="67"/>
      <c r="E4" s="67"/>
      <c r="F4" s="67"/>
      <c r="G4" s="67"/>
      <c r="H4" s="67"/>
      <c r="I4" s="67"/>
      <c r="J4" s="67"/>
      <c r="K4" s="67"/>
      <c r="L4" s="68"/>
      <c r="M4" s="68"/>
      <c r="N4" s="68"/>
      <c r="O4" s="68"/>
      <c r="P4" s="68"/>
      <c r="Q4" s="24"/>
      <c r="R4" s="24"/>
      <c r="S4" s="24"/>
      <c r="T4" s="24"/>
    </row>
    <row r="5" spans="1:20" ht="12.75" customHeight="1" x14ac:dyDescent="0.25">
      <c r="A5" s="1793" t="s">
        <v>355</v>
      </c>
      <c r="B5" s="1794"/>
      <c r="C5" s="1793" t="s">
        <v>356</v>
      </c>
      <c r="D5" s="1794"/>
      <c r="E5" s="1793" t="s">
        <v>357</v>
      </c>
      <c r="F5" s="1794"/>
      <c r="G5" s="1793" t="s">
        <v>358</v>
      </c>
      <c r="H5" s="1800"/>
      <c r="I5" s="1800"/>
      <c r="J5" s="1794"/>
      <c r="K5" s="67"/>
      <c r="L5" s="68"/>
      <c r="M5" s="68"/>
      <c r="N5" s="68"/>
      <c r="O5" s="68"/>
      <c r="P5" s="68"/>
      <c r="Q5" s="24"/>
      <c r="R5" s="24"/>
      <c r="S5" s="24"/>
      <c r="T5" s="24"/>
    </row>
    <row r="6" spans="1:20" ht="12.75" customHeight="1" x14ac:dyDescent="0.25">
      <c r="A6" s="1795" t="s">
        <v>359</v>
      </c>
      <c r="B6" s="1796"/>
      <c r="C6" s="1795" t="s">
        <v>360</v>
      </c>
      <c r="D6" s="1796"/>
      <c r="E6" s="1795" t="s">
        <v>361</v>
      </c>
      <c r="F6" s="1796"/>
      <c r="G6" s="1795" t="s">
        <v>362</v>
      </c>
      <c r="H6" s="1797"/>
      <c r="I6" s="1797"/>
      <c r="J6" s="1796"/>
      <c r="K6" s="67"/>
      <c r="L6" s="68"/>
      <c r="M6" s="68"/>
      <c r="N6" s="68"/>
      <c r="O6" s="68"/>
      <c r="P6" s="68"/>
      <c r="Q6" s="24"/>
      <c r="R6" s="24"/>
      <c r="S6" s="24"/>
      <c r="T6" s="24"/>
    </row>
    <row r="7" spans="1:20" ht="12.75" customHeight="1" x14ac:dyDescent="0.25">
      <c r="A7" s="76"/>
      <c r="B7" s="77"/>
      <c r="C7" s="76"/>
      <c r="D7" s="77"/>
      <c r="E7" s="1801"/>
      <c r="F7" s="1802"/>
      <c r="G7" s="23"/>
      <c r="H7" s="8"/>
      <c r="I7" s="1799"/>
      <c r="J7" s="1806"/>
      <c r="K7" s="67"/>
      <c r="L7" s="68"/>
      <c r="M7" s="68"/>
      <c r="N7" s="68"/>
      <c r="O7" s="68"/>
      <c r="P7" s="68"/>
      <c r="Q7" s="24"/>
      <c r="R7" s="24"/>
      <c r="S7" s="24"/>
      <c r="T7" s="24"/>
    </row>
    <row r="8" spans="1:20" ht="12.75" customHeight="1" x14ac:dyDescent="0.25">
      <c r="A8" s="23"/>
      <c r="B8" s="27"/>
      <c r="C8" s="23"/>
      <c r="D8" s="27"/>
      <c r="E8" s="76"/>
      <c r="F8" s="77"/>
      <c r="G8" s="78"/>
      <c r="H8" s="67"/>
      <c r="I8" s="67"/>
      <c r="J8" s="77"/>
      <c r="K8" s="67"/>
      <c r="L8" s="68"/>
      <c r="M8" s="68"/>
      <c r="N8" s="68"/>
      <c r="O8" s="68"/>
      <c r="P8" s="68"/>
      <c r="Q8" s="24"/>
      <c r="R8" s="24"/>
      <c r="S8" s="24"/>
      <c r="T8" s="24"/>
    </row>
    <row r="9" spans="1:20" ht="12.75" customHeight="1" x14ac:dyDescent="0.25">
      <c r="A9" s="23" t="s">
        <v>364</v>
      </c>
      <c r="B9" s="27"/>
      <c r="C9" s="76" t="s">
        <v>364</v>
      </c>
      <c r="D9" s="27"/>
      <c r="E9" s="76" t="s">
        <v>364</v>
      </c>
      <c r="F9" s="77"/>
      <c r="G9" s="76" t="s">
        <v>365</v>
      </c>
      <c r="H9" s="67"/>
      <c r="I9" s="67"/>
      <c r="J9" s="79"/>
      <c r="K9" s="67"/>
      <c r="L9" s="68"/>
      <c r="M9" s="68"/>
      <c r="N9" s="68"/>
      <c r="O9" s="68"/>
      <c r="P9" s="68"/>
      <c r="Q9" s="24"/>
      <c r="R9" s="24"/>
      <c r="S9" s="24"/>
      <c r="T9" s="24"/>
    </row>
    <row r="10" spans="1:20" ht="12.75" customHeight="1" x14ac:dyDescent="0.25">
      <c r="A10" s="80" t="s">
        <v>366</v>
      </c>
      <c r="B10" s="79">
        <v>3.47</v>
      </c>
      <c r="C10" s="76" t="s">
        <v>280</v>
      </c>
      <c r="D10" s="79">
        <v>7</v>
      </c>
      <c r="E10" s="76" t="s">
        <v>280</v>
      </c>
      <c r="F10" s="79">
        <v>15</v>
      </c>
      <c r="G10" s="76" t="s">
        <v>367</v>
      </c>
      <c r="H10" s="1134">
        <v>0.40627999999999997</v>
      </c>
      <c r="I10" s="67"/>
      <c r="J10" s="79"/>
      <c r="K10" s="67"/>
      <c r="L10" s="68"/>
      <c r="M10" s="68"/>
      <c r="N10" s="68"/>
      <c r="O10" s="68"/>
      <c r="P10" s="68"/>
      <c r="Q10" s="24"/>
      <c r="R10" s="24"/>
      <c r="S10" s="24"/>
      <c r="T10" s="24"/>
    </row>
    <row r="11" spans="1:20" ht="12.75" customHeight="1" x14ac:dyDescent="0.25">
      <c r="A11" s="80" t="s">
        <v>747</v>
      </c>
      <c r="B11" s="81">
        <f>'Rates in detail'!$V$13</f>
        <v>1.0801199999999995</v>
      </c>
      <c r="C11" s="76" t="s">
        <v>281</v>
      </c>
      <c r="D11" s="81">
        <f>'Rates in detail'!$V$15</f>
        <v>0.78120999999999974</v>
      </c>
      <c r="E11" s="76" t="s">
        <v>738</v>
      </c>
      <c r="F11" s="81">
        <f>'Rates in detail'!$V$16</f>
        <v>0.78024000000000027</v>
      </c>
      <c r="G11" s="76" t="s">
        <v>853</v>
      </c>
      <c r="H11" s="1134">
        <v>1.6525000000000001E-3</v>
      </c>
      <c r="I11" s="1145" t="s">
        <v>854</v>
      </c>
      <c r="J11" s="81"/>
      <c r="K11" s="67"/>
      <c r="L11" s="68"/>
      <c r="M11" s="68"/>
      <c r="N11" s="68"/>
      <c r="O11" s="68"/>
      <c r="P11" s="68"/>
      <c r="Q11" s="24"/>
      <c r="R11" s="24"/>
      <c r="S11" s="24"/>
      <c r="T11" s="24"/>
    </row>
    <row r="12" spans="1:20" ht="12.75" customHeight="1" x14ac:dyDescent="0.25">
      <c r="A12" s="23" t="s">
        <v>748</v>
      </c>
      <c r="B12" s="81">
        <f>'Rates in detail'!$V$14</f>
        <v>1.0665999999999995</v>
      </c>
      <c r="C12" s="76" t="s">
        <v>369</v>
      </c>
      <c r="D12" s="79">
        <f>D10</f>
        <v>7</v>
      </c>
      <c r="E12" s="76" t="s">
        <v>739</v>
      </c>
      <c r="F12" s="81">
        <f>'Rates in detail'!$V$17</f>
        <v>0.74225999999999948</v>
      </c>
      <c r="G12" s="76" t="s">
        <v>370</v>
      </c>
      <c r="H12" s="1134">
        <v>2.4103000000000002E-3</v>
      </c>
      <c r="I12" s="1145" t="s">
        <v>854</v>
      </c>
      <c r="J12" s="81"/>
      <c r="K12" s="67"/>
      <c r="L12" s="68"/>
      <c r="M12" s="68"/>
      <c r="N12" s="68"/>
      <c r="O12" s="68"/>
      <c r="P12" s="68"/>
      <c r="Q12" s="24"/>
      <c r="R12" s="24"/>
      <c r="S12" s="24"/>
      <c r="T12" s="24"/>
    </row>
    <row r="13" spans="1:20" ht="12.75" customHeight="1" x14ac:dyDescent="0.25">
      <c r="A13" s="76"/>
      <c r="B13" s="79"/>
      <c r="C13" s="76"/>
      <c r="D13" s="77"/>
      <c r="E13" s="76" t="s">
        <v>369</v>
      </c>
      <c r="F13" s="79">
        <f>F10</f>
        <v>15</v>
      </c>
      <c r="G13" s="76" t="s">
        <v>371</v>
      </c>
      <c r="H13" s="1134">
        <v>0.40627999999999997</v>
      </c>
      <c r="I13" s="67"/>
      <c r="J13" s="79"/>
      <c r="K13" s="67"/>
      <c r="L13" s="68"/>
      <c r="M13" s="68"/>
      <c r="N13" s="68"/>
      <c r="O13" s="68"/>
      <c r="P13" s="68"/>
      <c r="Q13" s="24"/>
      <c r="R13" s="24"/>
      <c r="S13" s="24"/>
      <c r="T13" s="24"/>
    </row>
    <row r="14" spans="1:20" ht="12.75" customHeight="1" x14ac:dyDescent="0.25">
      <c r="A14" s="80" t="s">
        <v>368</v>
      </c>
      <c r="B14" s="79">
        <v>3.47</v>
      </c>
      <c r="C14" s="76"/>
      <c r="D14" s="77"/>
      <c r="E14" s="76"/>
      <c r="F14" s="79"/>
      <c r="G14" s="76" t="s">
        <v>372</v>
      </c>
      <c r="H14" s="106">
        <v>0.36</v>
      </c>
      <c r="I14" s="67"/>
      <c r="J14" s="77"/>
      <c r="K14" s="67"/>
      <c r="L14" s="68"/>
      <c r="M14" s="68"/>
      <c r="N14" s="68"/>
      <c r="O14" s="68"/>
      <c r="P14" s="68"/>
      <c r="Q14" s="24"/>
      <c r="R14" s="24"/>
      <c r="S14" s="24"/>
      <c r="T14" s="24"/>
    </row>
    <row r="15" spans="1:20" ht="12.75" customHeight="1" x14ac:dyDescent="0.25">
      <c r="A15" s="82"/>
      <c r="B15" s="83"/>
      <c r="C15" s="76"/>
      <c r="D15" s="77"/>
      <c r="E15" s="82"/>
      <c r="F15" s="84"/>
      <c r="G15" s="82"/>
      <c r="H15" s="1144"/>
      <c r="I15" s="1144"/>
      <c r="J15" s="83"/>
      <c r="K15" s="67"/>
      <c r="L15" s="68"/>
      <c r="M15" s="68"/>
      <c r="N15" s="68"/>
      <c r="O15" s="68"/>
      <c r="P15" s="68"/>
      <c r="Q15" s="24"/>
      <c r="R15" s="24"/>
      <c r="S15" s="24"/>
      <c r="T15" s="24"/>
    </row>
    <row r="16" spans="1:20" ht="12.75" customHeight="1" x14ac:dyDescent="0.25">
      <c r="A16" s="1793" t="s">
        <v>394</v>
      </c>
      <c r="B16" s="1800"/>
      <c r="C16" s="1793" t="s">
        <v>373</v>
      </c>
      <c r="D16" s="1794"/>
      <c r="E16" s="1800" t="s">
        <v>374</v>
      </c>
      <c r="F16" s="1794"/>
      <c r="G16" s="1793" t="s">
        <v>374</v>
      </c>
      <c r="H16" s="1794"/>
      <c r="I16" s="1808"/>
      <c r="J16" s="1809"/>
      <c r="K16" s="67"/>
      <c r="L16" s="68"/>
      <c r="M16" s="68"/>
      <c r="N16" s="68"/>
      <c r="O16" s="68"/>
      <c r="P16" s="68"/>
      <c r="Q16" s="24"/>
      <c r="R16" s="24"/>
      <c r="S16" s="24"/>
      <c r="T16" s="24"/>
    </row>
    <row r="17" spans="1:20" ht="12.75" customHeight="1" x14ac:dyDescent="0.25">
      <c r="A17" s="1795" t="s">
        <v>397</v>
      </c>
      <c r="B17" s="1797"/>
      <c r="C17" s="1795" t="s">
        <v>375</v>
      </c>
      <c r="D17" s="1796"/>
      <c r="E17" s="1808" t="s">
        <v>376</v>
      </c>
      <c r="F17" s="1809"/>
      <c r="G17" s="1811" t="s">
        <v>376</v>
      </c>
      <c r="H17" s="1809"/>
      <c r="I17" s="1166" t="s">
        <v>384</v>
      </c>
      <c r="J17" s="94"/>
      <c r="K17" s="67"/>
      <c r="L17" s="68"/>
      <c r="M17" s="68"/>
      <c r="N17" s="68"/>
      <c r="O17" s="68"/>
      <c r="P17" s="68"/>
      <c r="Q17" s="24"/>
      <c r="R17" s="24"/>
      <c r="S17" s="24"/>
      <c r="T17" s="24"/>
    </row>
    <row r="18" spans="1:20" ht="12.75" customHeight="1" x14ac:dyDescent="0.25">
      <c r="A18" s="1798"/>
      <c r="B18" s="1799"/>
      <c r="C18" s="23"/>
      <c r="D18" s="27"/>
      <c r="E18" s="1797" t="s">
        <v>377</v>
      </c>
      <c r="F18" s="1796"/>
      <c r="G18" s="1795" t="s">
        <v>378</v>
      </c>
      <c r="H18" s="1796"/>
      <c r="I18" s="115"/>
      <c r="J18" s="94"/>
      <c r="K18" s="67"/>
      <c r="L18" s="68"/>
      <c r="M18" s="68"/>
      <c r="N18" s="68"/>
      <c r="O18" s="68"/>
      <c r="P18" s="68"/>
      <c r="Q18" s="24"/>
      <c r="R18" s="24"/>
      <c r="S18" s="24"/>
      <c r="T18" s="24"/>
    </row>
    <row r="19" spans="1:20" ht="12.75" customHeight="1" x14ac:dyDescent="0.25">
      <c r="A19" s="76" t="s">
        <v>380</v>
      </c>
      <c r="B19" s="67"/>
      <c r="C19" s="1170"/>
      <c r="D19" s="1171"/>
      <c r="E19" s="673"/>
      <c r="F19" s="27"/>
      <c r="G19" s="87"/>
      <c r="H19" s="27"/>
      <c r="I19" s="886" t="s">
        <v>388</v>
      </c>
      <c r="J19" s="89">
        <v>127</v>
      </c>
      <c r="K19" s="67"/>
      <c r="L19" s="68"/>
      <c r="M19" s="68"/>
      <c r="N19" s="68"/>
      <c r="O19" s="68"/>
      <c r="P19" s="68"/>
      <c r="Q19" s="24"/>
      <c r="R19" s="24"/>
      <c r="S19" s="24"/>
      <c r="T19" s="24"/>
    </row>
    <row r="20" spans="1:20" ht="12.75" customHeight="1" x14ac:dyDescent="0.25">
      <c r="A20" s="883" t="s">
        <v>280</v>
      </c>
      <c r="B20" s="211">
        <v>6</v>
      </c>
      <c r="C20" s="87" t="s">
        <v>282</v>
      </c>
      <c r="D20" s="90">
        <v>250</v>
      </c>
      <c r="E20" s="673" t="s">
        <v>282</v>
      </c>
      <c r="F20" s="91">
        <v>1300</v>
      </c>
      <c r="G20" s="87" t="s">
        <v>282</v>
      </c>
      <c r="H20" s="91">
        <v>1300</v>
      </c>
      <c r="I20" s="8" t="s">
        <v>390</v>
      </c>
      <c r="J20" s="101" t="s">
        <v>391</v>
      </c>
      <c r="K20" s="67"/>
      <c r="L20" s="68"/>
      <c r="M20" s="68"/>
      <c r="N20" s="68"/>
      <c r="O20" s="68"/>
      <c r="P20" s="68"/>
      <c r="Q20" s="24"/>
      <c r="R20" s="24"/>
      <c r="S20" s="24"/>
      <c r="T20" s="24"/>
    </row>
    <row r="21" spans="1:20" ht="12.75" customHeight="1" x14ac:dyDescent="0.25">
      <c r="A21" s="76" t="s">
        <v>402</v>
      </c>
      <c r="B21" s="1134">
        <f>'Rates in detail'!$V$18</f>
        <v>0.60601999999999989</v>
      </c>
      <c r="C21" s="87" t="s">
        <v>379</v>
      </c>
      <c r="D21" s="90"/>
      <c r="E21" s="8"/>
      <c r="F21" s="27"/>
      <c r="H21" s="27"/>
      <c r="I21" s="886" t="s">
        <v>392</v>
      </c>
      <c r="J21" s="89" t="s">
        <v>393</v>
      </c>
      <c r="K21" s="67"/>
      <c r="L21" s="68"/>
      <c r="M21" s="68"/>
      <c r="N21" s="68"/>
      <c r="O21" s="68"/>
      <c r="P21" s="68"/>
      <c r="Q21" s="24"/>
      <c r="R21" s="24"/>
      <c r="S21" s="24"/>
      <c r="T21" s="24"/>
    </row>
    <row r="22" spans="1:20" ht="12.75" customHeight="1" x14ac:dyDescent="0.25">
      <c r="A22" s="76" t="s">
        <v>405</v>
      </c>
      <c r="B22" s="106">
        <f>+B20</f>
        <v>6</v>
      </c>
      <c r="C22" s="87"/>
      <c r="D22" s="90"/>
      <c r="E22" s="1177" t="s">
        <v>736</v>
      </c>
      <c r="F22" s="27"/>
      <c r="G22" s="1177" t="s">
        <v>736</v>
      </c>
      <c r="H22" s="27"/>
      <c r="I22" s="115" t="s">
        <v>396</v>
      </c>
      <c r="J22" s="89"/>
      <c r="K22" s="67"/>
      <c r="L22" s="68"/>
      <c r="M22" s="68"/>
      <c r="N22" s="68"/>
      <c r="O22" s="68"/>
      <c r="P22" s="68"/>
      <c r="Q22" s="24"/>
      <c r="R22" s="24"/>
      <c r="S22" s="24"/>
      <c r="T22" s="24"/>
    </row>
    <row r="23" spans="1:20" ht="12.75" customHeight="1" x14ac:dyDescent="0.25">
      <c r="A23" s="23"/>
      <c r="B23" s="32"/>
      <c r="C23" s="93" t="s">
        <v>875</v>
      </c>
      <c r="D23" s="27"/>
      <c r="E23" s="148" t="s">
        <v>381</v>
      </c>
      <c r="F23" s="92">
        <f>'Rates in detail'!$V$29</f>
        <v>0.34572999999999998</v>
      </c>
      <c r="G23" s="41" t="s">
        <v>381</v>
      </c>
      <c r="H23" s="92">
        <f>+'Rates in detail'!V47</f>
        <v>0.36033999999999999</v>
      </c>
      <c r="I23" s="67"/>
      <c r="J23" s="81"/>
      <c r="K23" s="67"/>
      <c r="L23" s="68"/>
      <c r="M23" s="68"/>
      <c r="N23" s="68"/>
      <c r="O23" s="68"/>
      <c r="P23" s="68"/>
      <c r="Q23" s="24"/>
      <c r="R23" s="24"/>
      <c r="S23" s="24"/>
      <c r="T23" s="24"/>
    </row>
    <row r="24" spans="1:20" ht="12.75" customHeight="1" x14ac:dyDescent="0.25">
      <c r="A24" s="23"/>
      <c r="B24" s="32"/>
      <c r="C24" s="41" t="s">
        <v>382</v>
      </c>
      <c r="D24" s="92">
        <f>'Rates in detail'!$V$19</f>
        <v>0.54353000000000029</v>
      </c>
      <c r="E24" s="148" t="s">
        <v>383</v>
      </c>
      <c r="F24" s="92">
        <f>'Rates in detail'!$V$30</f>
        <v>0.33143999999999979</v>
      </c>
      <c r="G24" s="41" t="s">
        <v>383</v>
      </c>
      <c r="H24" s="92">
        <f>+'Rates in detail'!V48</f>
        <v>0.3464799999999999</v>
      </c>
      <c r="I24" s="1173"/>
      <c r="J24" s="1132"/>
      <c r="K24" s="67"/>
      <c r="L24" s="68"/>
      <c r="M24" s="68"/>
      <c r="N24" s="68"/>
      <c r="O24" s="68"/>
      <c r="P24" s="68"/>
      <c r="Q24" s="24"/>
      <c r="R24" s="24"/>
      <c r="S24" s="24"/>
      <c r="T24" s="24"/>
    </row>
    <row r="25" spans="1:20" ht="12.75" customHeight="1" x14ac:dyDescent="0.25">
      <c r="A25" s="23"/>
      <c r="B25" s="32"/>
      <c r="C25" s="41" t="s">
        <v>385</v>
      </c>
      <c r="D25" s="92">
        <f>'Rates in detail'!$V$20</f>
        <v>0.50379999999999991</v>
      </c>
      <c r="E25" s="148" t="s">
        <v>383</v>
      </c>
      <c r="F25" s="92">
        <f>'Rates in detail'!$V$31</f>
        <v>0.30296999999999991</v>
      </c>
      <c r="G25" s="41" t="s">
        <v>383</v>
      </c>
      <c r="H25" s="92">
        <f>+'Rates in detail'!V49</f>
        <v>0.31891000000000008</v>
      </c>
      <c r="I25" s="115"/>
      <c r="J25" s="1133"/>
      <c r="K25" s="67"/>
      <c r="L25" s="68"/>
      <c r="M25" s="68"/>
      <c r="N25" s="68"/>
      <c r="O25" s="68"/>
      <c r="P25" s="68"/>
      <c r="Q25" s="24"/>
      <c r="R25" s="24"/>
      <c r="S25" s="24"/>
      <c r="T25" s="24"/>
    </row>
    <row r="26" spans="1:20" ht="12.75" customHeight="1" x14ac:dyDescent="0.25">
      <c r="A26" s="96"/>
      <c r="B26" s="8"/>
      <c r="C26" s="1175" t="s">
        <v>880</v>
      </c>
      <c r="D26" s="1172"/>
      <c r="E26" s="148" t="s">
        <v>387</v>
      </c>
      <c r="F26" s="92">
        <f>'Rates in detail'!$V$32</f>
        <v>0.28424000000000021</v>
      </c>
      <c r="G26" s="41" t="s">
        <v>387</v>
      </c>
      <c r="H26" s="92">
        <f>+'Rates in detail'!V50</f>
        <v>0.30076999999999993</v>
      </c>
      <c r="I26" s="886"/>
      <c r="J26" s="143"/>
      <c r="K26" s="67"/>
      <c r="L26" s="68"/>
      <c r="M26" s="68"/>
      <c r="N26" s="68"/>
      <c r="O26" s="68"/>
      <c r="P26" s="68"/>
      <c r="Q26" s="24"/>
      <c r="R26" s="24"/>
      <c r="S26" s="24"/>
      <c r="T26" s="24"/>
    </row>
    <row r="27" spans="1:20" ht="12.75" customHeight="1" x14ac:dyDescent="0.25">
      <c r="A27" s="98"/>
      <c r="B27" s="1167"/>
      <c r="C27" s="41" t="s">
        <v>382</v>
      </c>
      <c r="D27" s="92">
        <f>+'Rates in detail'!V25</f>
        <v>0.51405000000000034</v>
      </c>
      <c r="E27" s="148" t="s">
        <v>389</v>
      </c>
      <c r="F27" s="92">
        <f>'Rates in detail'!$V$33</f>
        <v>0.25923999999999991</v>
      </c>
      <c r="G27" s="41" t="s">
        <v>389</v>
      </c>
      <c r="H27" s="92">
        <f>+'Rates in detail'!V51</f>
        <v>0.27660000000000001</v>
      </c>
      <c r="I27" s="8"/>
      <c r="J27" s="885"/>
      <c r="K27" s="67"/>
      <c r="L27" s="68"/>
      <c r="M27" s="68"/>
      <c r="N27" s="68"/>
      <c r="O27" s="68"/>
      <c r="P27" s="68"/>
      <c r="Q27" s="24"/>
      <c r="R27" s="24"/>
      <c r="S27" s="24"/>
      <c r="T27" s="24"/>
    </row>
    <row r="28" spans="1:20" ht="12.75" customHeight="1" x14ac:dyDescent="0.25">
      <c r="A28" s="882"/>
      <c r="B28" s="32"/>
      <c r="C28" s="41" t="s">
        <v>385</v>
      </c>
      <c r="D28" s="92">
        <f>+'Rates in detail'!V26</f>
        <v>0.47782999999999987</v>
      </c>
      <c r="E28" s="148" t="s">
        <v>385</v>
      </c>
      <c r="F28" s="92">
        <f>'Rates in detail'!$V$34</f>
        <v>0.22801000000000007</v>
      </c>
      <c r="G28" s="41" t="s">
        <v>385</v>
      </c>
      <c r="H28" s="92">
        <f>+'Rates in detail'!V52</f>
        <v>0.2463799999999999</v>
      </c>
      <c r="I28" s="886"/>
      <c r="J28" s="143"/>
      <c r="K28" s="67"/>
      <c r="L28" s="68"/>
      <c r="M28" s="68"/>
      <c r="N28" s="68"/>
      <c r="O28" s="68"/>
      <c r="P28" s="68"/>
      <c r="Q28" s="24"/>
      <c r="R28" s="24"/>
      <c r="S28" s="24"/>
      <c r="T28" s="24"/>
    </row>
    <row r="29" spans="1:20" ht="12.75" customHeight="1" x14ac:dyDescent="0.25">
      <c r="A29" s="8"/>
      <c r="B29" s="27"/>
      <c r="D29" s="100"/>
      <c r="E29" s="1177" t="s">
        <v>737</v>
      </c>
      <c r="F29" s="100"/>
      <c r="G29" s="1177" t="s">
        <v>737</v>
      </c>
      <c r="H29" s="27"/>
      <c r="I29" s="115"/>
      <c r="J29" s="143"/>
      <c r="K29" s="67"/>
      <c r="L29" s="68"/>
      <c r="M29" s="68"/>
      <c r="N29" s="68"/>
      <c r="O29" s="68"/>
      <c r="P29" s="68"/>
      <c r="Q29" s="24"/>
      <c r="R29" s="24"/>
      <c r="S29" s="24"/>
      <c r="T29" s="24"/>
    </row>
    <row r="30" spans="1:20" ht="12.75" customHeight="1" x14ac:dyDescent="0.25">
      <c r="A30" s="8"/>
      <c r="B30" s="8"/>
      <c r="C30" s="99" t="s">
        <v>386</v>
      </c>
      <c r="D30" s="100"/>
      <c r="E30" s="148" t="s">
        <v>381</v>
      </c>
      <c r="F30" s="92">
        <f>'Rates in detail'!$V$35</f>
        <v>0.32991000000000004</v>
      </c>
      <c r="G30" s="41" t="s">
        <v>381</v>
      </c>
      <c r="H30" s="92">
        <f>'Rates in detail'!$V$53</f>
        <v>0.34927999999999992</v>
      </c>
      <c r="I30" s="67"/>
      <c r="J30" s="1134"/>
      <c r="K30" s="67"/>
      <c r="L30" s="68"/>
      <c r="M30" s="68"/>
      <c r="N30" s="68"/>
      <c r="O30" s="68"/>
      <c r="P30" s="68"/>
      <c r="Q30" s="24"/>
      <c r="R30" s="24"/>
      <c r="S30" s="24"/>
      <c r="T30" s="24"/>
    </row>
    <row r="31" spans="1:20" ht="12.75" customHeight="1" x14ac:dyDescent="0.25">
      <c r="A31" s="67"/>
      <c r="B31" s="67"/>
      <c r="C31" s="102" t="s">
        <v>395</v>
      </c>
      <c r="D31" s="27"/>
      <c r="E31" s="148" t="s">
        <v>383</v>
      </c>
      <c r="F31" s="92">
        <f>'Rates in detail'!$V$36</f>
        <v>0.31727000000000005</v>
      </c>
      <c r="G31" s="41" t="s">
        <v>383</v>
      </c>
      <c r="H31" s="92">
        <f>'Rates in detail'!$V$54</f>
        <v>0.33658999999999989</v>
      </c>
      <c r="J31" s="8"/>
      <c r="K31" s="67"/>
      <c r="L31" s="68"/>
      <c r="M31" s="68"/>
      <c r="N31" s="68"/>
      <c r="O31" s="68"/>
      <c r="P31" s="68"/>
      <c r="Q31" s="24"/>
      <c r="R31" s="24"/>
      <c r="S31" s="24"/>
      <c r="T31" s="24"/>
    </row>
    <row r="32" spans="1:20" ht="12.75" customHeight="1" x14ac:dyDescent="0.25">
      <c r="A32" s="67"/>
      <c r="B32" s="67"/>
      <c r="C32" s="894" t="s">
        <v>398</v>
      </c>
      <c r="D32" s="27">
        <f>Inputs!B22</f>
        <v>1.66</v>
      </c>
      <c r="E32" s="148" t="s">
        <v>383</v>
      </c>
      <c r="F32" s="92">
        <f>'Rates in detail'!$V$37</f>
        <v>0.29208999999999991</v>
      </c>
      <c r="G32" s="41" t="s">
        <v>383</v>
      </c>
      <c r="H32" s="92">
        <f>'Rates in detail'!$V$55</f>
        <v>0.31133000000000016</v>
      </c>
      <c r="J32" s="8"/>
      <c r="K32" s="67"/>
      <c r="L32" s="68"/>
      <c r="M32" s="68"/>
      <c r="N32" s="68"/>
      <c r="O32" s="68"/>
      <c r="P32" s="68"/>
      <c r="Q32" s="24"/>
      <c r="R32" s="24"/>
      <c r="S32" s="24"/>
      <c r="T32" s="24"/>
    </row>
    <row r="33" spans="1:20" ht="12.75" customHeight="1" x14ac:dyDescent="0.25">
      <c r="A33" s="8"/>
      <c r="B33" s="8"/>
      <c r="C33" s="23" t="s">
        <v>399</v>
      </c>
      <c r="D33" s="104">
        <f>Inputs!B18</f>
        <v>0.1109</v>
      </c>
      <c r="E33" s="148" t="s">
        <v>387</v>
      </c>
      <c r="F33" s="92">
        <f>'Rates in detail'!$V$38</f>
        <v>0.27553000000000016</v>
      </c>
      <c r="G33" s="41" t="s">
        <v>387</v>
      </c>
      <c r="H33" s="92">
        <f>'Rates in detail'!$V$56</f>
        <v>0.29469999999999985</v>
      </c>
      <c r="J33" s="106"/>
      <c r="K33" s="67"/>
      <c r="L33" s="68"/>
      <c r="M33" s="68"/>
      <c r="N33" s="68"/>
      <c r="O33" s="68"/>
      <c r="P33" s="68"/>
      <c r="Q33" s="24"/>
      <c r="R33" s="24"/>
      <c r="S33" s="24"/>
      <c r="T33" s="24"/>
    </row>
    <row r="34" spans="1:20" ht="12.75" customHeight="1" x14ac:dyDescent="0.25">
      <c r="A34" s="8"/>
      <c r="B34" s="8"/>
      <c r="C34" s="23"/>
      <c r="D34" s="27"/>
      <c r="E34" s="148" t="s">
        <v>389</v>
      </c>
      <c r="F34" s="92">
        <f>'Rates in detail'!$V$39</f>
        <v>0.25346000000000019</v>
      </c>
      <c r="G34" s="41" t="s">
        <v>389</v>
      </c>
      <c r="H34" s="92">
        <f>'Rates in detail'!$V$57</f>
        <v>0.27254</v>
      </c>
      <c r="J34" s="107"/>
      <c r="K34" s="67"/>
      <c r="L34" s="68"/>
      <c r="M34" s="68"/>
      <c r="N34" s="68"/>
      <c r="O34" s="68"/>
      <c r="P34" s="68"/>
      <c r="Q34" s="24"/>
      <c r="R34" s="24"/>
      <c r="S34" s="24"/>
      <c r="T34" s="24"/>
    </row>
    <row r="35" spans="1:20" ht="12.75" customHeight="1" x14ac:dyDescent="0.25">
      <c r="C35" s="1176" t="s">
        <v>877</v>
      </c>
      <c r="D35" s="104"/>
      <c r="E35" s="148" t="s">
        <v>385</v>
      </c>
      <c r="F35" s="92">
        <f>'Rates in detail'!$V$40</f>
        <v>0.22583999999999993</v>
      </c>
      <c r="G35" s="41" t="s">
        <v>385</v>
      </c>
      <c r="H35" s="92">
        <f>'Rates in detail'!$V$58</f>
        <v>0.24485999999999991</v>
      </c>
      <c r="J35" s="107"/>
      <c r="K35" s="67"/>
      <c r="L35" s="68"/>
      <c r="M35" s="68"/>
      <c r="N35" s="68"/>
      <c r="O35" s="68"/>
      <c r="P35" s="68"/>
      <c r="Q35" s="24"/>
      <c r="R35" s="24"/>
      <c r="S35" s="24"/>
      <c r="T35" s="24"/>
    </row>
    <row r="36" spans="1:20" ht="12.75" customHeight="1" x14ac:dyDescent="0.25">
      <c r="C36" s="105" t="s">
        <v>382</v>
      </c>
      <c r="D36" s="92">
        <f>+'Rates in detail'!V21</f>
        <v>0.56037999999999999</v>
      </c>
      <c r="E36" s="8"/>
      <c r="F36" s="27"/>
      <c r="H36" s="27"/>
      <c r="J36" s="67"/>
      <c r="K36" s="68"/>
      <c r="L36" s="68"/>
      <c r="M36" s="68"/>
      <c r="N36" s="68"/>
      <c r="O36" s="68"/>
      <c r="P36" s="68"/>
      <c r="Q36" s="24"/>
      <c r="R36" s="24"/>
      <c r="S36" s="24"/>
      <c r="T36" s="24"/>
    </row>
    <row r="37" spans="1:20" ht="12.75" customHeight="1" x14ac:dyDescent="0.25">
      <c r="C37" s="105" t="s">
        <v>385</v>
      </c>
      <c r="D37" s="92">
        <f>+'Rates in detail'!V22</f>
        <v>0.52086999999999994</v>
      </c>
      <c r="F37" s="27"/>
      <c r="G37" s="103" t="s">
        <v>386</v>
      </c>
      <c r="H37" s="27"/>
      <c r="I37" s="67"/>
      <c r="J37" s="8"/>
      <c r="K37" s="68"/>
      <c r="L37" s="68"/>
      <c r="M37" s="68"/>
      <c r="N37" s="68"/>
      <c r="O37" s="68"/>
      <c r="P37" s="68"/>
      <c r="Q37" s="24"/>
      <c r="R37" s="24"/>
      <c r="S37" s="24"/>
      <c r="T37" s="24"/>
    </row>
    <row r="38" spans="1:20" ht="12.75" customHeight="1" x14ac:dyDescent="0.25">
      <c r="A38" s="8"/>
      <c r="B38" s="8"/>
      <c r="C38" s="895" t="s">
        <v>876</v>
      </c>
      <c r="D38" s="104"/>
      <c r="E38" s="834" t="s">
        <v>386</v>
      </c>
      <c r="F38" s="27"/>
      <c r="G38" s="894" t="s">
        <v>400</v>
      </c>
      <c r="H38" s="104">
        <f>Inputs!B20</f>
        <v>3.8739999999999997E-2</v>
      </c>
      <c r="I38" s="67"/>
      <c r="J38" s="67"/>
      <c r="K38" s="67"/>
      <c r="L38" s="68"/>
      <c r="M38" s="68"/>
      <c r="N38" s="68"/>
      <c r="O38" s="68"/>
      <c r="P38" s="68"/>
      <c r="Q38" s="24"/>
      <c r="R38" s="24"/>
      <c r="S38" s="24"/>
      <c r="T38" s="24"/>
    </row>
    <row r="39" spans="1:20" ht="12.75" customHeight="1" x14ac:dyDescent="0.25">
      <c r="A39" s="67"/>
      <c r="B39" s="67"/>
      <c r="C39" s="105" t="s">
        <v>382</v>
      </c>
      <c r="D39" s="104">
        <f>'Rates in detail'!$V$27</f>
        <v>0.53268000000000004</v>
      </c>
      <c r="E39" s="832" t="s">
        <v>342</v>
      </c>
      <c r="F39" s="104">
        <f>Inputs!B26</f>
        <v>0.20415</v>
      </c>
      <c r="H39" s="104"/>
      <c r="I39" s="1807"/>
      <c r="J39" s="1807"/>
      <c r="K39" s="67"/>
      <c r="L39" s="68"/>
      <c r="M39" s="68"/>
      <c r="N39" s="68"/>
      <c r="O39" s="68"/>
      <c r="P39" s="68"/>
      <c r="Q39" s="24"/>
      <c r="R39" s="24"/>
      <c r="S39" s="24"/>
      <c r="T39" s="24"/>
    </row>
    <row r="40" spans="1:20" ht="12.75" customHeight="1" x14ac:dyDescent="0.25">
      <c r="A40" s="67"/>
      <c r="B40" s="67"/>
      <c r="C40" s="105" t="s">
        <v>385</v>
      </c>
      <c r="D40" s="104">
        <f>'Rates in detail'!$V$28</f>
        <v>0.49646999999999997</v>
      </c>
      <c r="E40" s="832" t="s">
        <v>401</v>
      </c>
      <c r="F40" s="92">
        <f>Inputs!B24</f>
        <v>0.15748000000000001</v>
      </c>
      <c r="G40" s="1174" t="s">
        <v>386</v>
      </c>
      <c r="H40" s="27"/>
      <c r="I40" s="107"/>
      <c r="J40" s="107"/>
      <c r="K40" s="67"/>
      <c r="L40" s="68"/>
      <c r="M40" s="68"/>
      <c r="N40" s="68"/>
      <c r="O40" s="68"/>
      <c r="P40" s="68"/>
      <c r="Q40" s="24"/>
      <c r="R40" s="24"/>
      <c r="S40" s="24"/>
      <c r="T40" s="24"/>
    </row>
    <row r="41" spans="1:20" ht="12.75" customHeight="1" x14ac:dyDescent="0.25">
      <c r="A41" s="67"/>
      <c r="B41" s="67"/>
      <c r="C41" s="23"/>
      <c r="D41" s="27"/>
      <c r="G41" s="105" t="s">
        <v>407</v>
      </c>
      <c r="H41" s="104">
        <f>Inputs!$B$28</f>
        <v>0.10208</v>
      </c>
      <c r="I41" s="107"/>
      <c r="J41" s="107"/>
      <c r="K41" s="67"/>
      <c r="L41" s="68"/>
      <c r="M41" s="68"/>
      <c r="N41" s="68"/>
      <c r="O41" s="68"/>
      <c r="P41" s="68"/>
      <c r="Q41" s="24"/>
      <c r="R41" s="24"/>
      <c r="S41" s="24"/>
      <c r="T41" s="24"/>
    </row>
    <row r="42" spans="1:20" ht="12.75" customHeight="1" x14ac:dyDescent="0.25">
      <c r="A42" s="67"/>
      <c r="B42" s="67"/>
      <c r="C42" s="103" t="s">
        <v>386</v>
      </c>
      <c r="D42" s="104"/>
      <c r="E42" s="1168" t="s">
        <v>403</v>
      </c>
      <c r="F42" s="27"/>
      <c r="G42" s="23"/>
      <c r="H42" s="27"/>
      <c r="I42" s="8"/>
      <c r="J42" s="8"/>
      <c r="K42" s="67"/>
      <c r="L42" s="68"/>
      <c r="M42" s="68"/>
      <c r="N42" s="68"/>
      <c r="O42" s="68"/>
      <c r="P42" s="68"/>
      <c r="Q42" s="24"/>
      <c r="R42" s="24"/>
      <c r="S42" s="24"/>
      <c r="T42" s="24"/>
    </row>
    <row r="43" spans="1:20" ht="12.75" customHeight="1" x14ac:dyDescent="0.25">
      <c r="A43" s="67"/>
      <c r="B43" s="67"/>
      <c r="C43" s="896" t="s">
        <v>408</v>
      </c>
      <c r="D43" s="104"/>
      <c r="E43" s="1169" t="s">
        <v>404</v>
      </c>
      <c r="F43" s="27">
        <f>Inputs!B22</f>
        <v>1.66</v>
      </c>
      <c r="G43" s="109" t="s">
        <v>405</v>
      </c>
      <c r="H43" s="669"/>
      <c r="I43" s="8"/>
      <c r="J43" s="8"/>
      <c r="K43" s="67"/>
      <c r="L43" s="68"/>
      <c r="M43" s="68"/>
      <c r="N43" s="68"/>
      <c r="O43" s="68"/>
      <c r="P43" s="68"/>
      <c r="Q43" s="24"/>
      <c r="R43" s="24"/>
      <c r="S43" s="24"/>
      <c r="T43" s="24"/>
    </row>
    <row r="44" spans="1:20" ht="39" customHeight="1" x14ac:dyDescent="0.25">
      <c r="A44" s="8"/>
      <c r="B44" s="8"/>
      <c r="C44" s="896" t="s">
        <v>409</v>
      </c>
      <c r="D44" s="104">
        <f>Inputs!B20</f>
        <v>3.8739999999999997E-2</v>
      </c>
      <c r="E44" s="835" t="s">
        <v>406</v>
      </c>
      <c r="F44" s="104">
        <f>Inputs!B18</f>
        <v>0.1109</v>
      </c>
      <c r="G44" s="1803" t="s">
        <v>412</v>
      </c>
      <c r="H44" s="1804"/>
      <c r="K44" s="67"/>
      <c r="L44" s="68"/>
      <c r="M44" s="68"/>
      <c r="N44" s="68"/>
      <c r="O44" s="68"/>
      <c r="P44" s="68"/>
      <c r="Q44" s="24"/>
      <c r="R44" s="24"/>
      <c r="S44" s="24"/>
      <c r="T44" s="24"/>
    </row>
    <row r="45" spans="1:20" ht="12.75" customHeight="1" x14ac:dyDescent="0.25">
      <c r="C45" s="109" t="s">
        <v>405</v>
      </c>
      <c r="D45" s="27"/>
      <c r="E45" s="833" t="s">
        <v>405</v>
      </c>
      <c r="F45" s="669"/>
      <c r="K45" s="67"/>
      <c r="L45" s="68"/>
      <c r="M45" s="68"/>
      <c r="N45" s="68"/>
      <c r="O45" s="68"/>
      <c r="P45" s="68"/>
      <c r="Q45" s="24"/>
      <c r="R45" s="24"/>
      <c r="S45" s="24"/>
      <c r="T45" s="24"/>
    </row>
    <row r="46" spans="1:20" ht="43.5" customHeight="1" x14ac:dyDescent="0.25">
      <c r="C46" s="1803" t="s">
        <v>410</v>
      </c>
      <c r="D46" s="1804"/>
      <c r="E46" s="836" t="s">
        <v>411</v>
      </c>
      <c r="F46" s="829"/>
      <c r="J46" s="1805" t="s">
        <v>413</v>
      </c>
      <c r="K46" s="67"/>
      <c r="L46" s="68"/>
      <c r="M46" s="68"/>
      <c r="N46" s="68"/>
      <c r="O46" s="68"/>
      <c r="P46" s="68"/>
      <c r="Q46" s="24"/>
      <c r="R46" s="24"/>
      <c r="S46" s="24"/>
      <c r="T46" s="24"/>
    </row>
    <row r="47" spans="1:20" ht="12.75" customHeight="1" x14ac:dyDescent="0.25">
      <c r="C47" s="67"/>
      <c r="D47" s="8"/>
      <c r="E47" s="830"/>
      <c r="F47" s="831"/>
      <c r="J47" s="1805"/>
      <c r="K47" s="67"/>
      <c r="L47" s="68"/>
      <c r="M47" s="68"/>
      <c r="N47" s="68"/>
      <c r="O47" s="68"/>
      <c r="P47" s="68"/>
      <c r="Q47" s="24"/>
      <c r="R47" s="24"/>
      <c r="S47" s="24"/>
      <c r="T47" s="24"/>
    </row>
    <row r="48" spans="1:20" ht="12.75" customHeight="1" x14ac:dyDescent="0.25">
      <c r="C48" s="67"/>
      <c r="D48" s="8"/>
      <c r="E48" s="832"/>
      <c r="F48" s="831"/>
      <c r="J48" s="1805"/>
      <c r="K48" s="67"/>
      <c r="L48" s="68"/>
      <c r="M48" s="68"/>
      <c r="N48" s="68"/>
      <c r="O48" s="68"/>
      <c r="P48" s="68"/>
      <c r="Q48" s="24"/>
      <c r="R48" s="24"/>
      <c r="S48" s="24"/>
      <c r="T48" s="24"/>
    </row>
    <row r="49" spans="1:20" ht="12.75" customHeight="1" x14ac:dyDescent="0.25">
      <c r="C49" s="67"/>
      <c r="D49" s="8"/>
      <c r="E49" s="8"/>
      <c r="F49" s="8"/>
      <c r="J49" s="1805"/>
      <c r="K49" s="67"/>
      <c r="L49" s="68"/>
      <c r="M49" s="68"/>
      <c r="N49" s="68"/>
      <c r="O49" s="68"/>
      <c r="P49" s="68"/>
      <c r="Q49" s="24"/>
      <c r="R49" s="24"/>
      <c r="S49" s="24"/>
      <c r="T49" s="24"/>
    </row>
    <row r="50" spans="1:20" ht="12.75" customHeight="1" x14ac:dyDescent="0.25">
      <c r="A50" s="67"/>
      <c r="B50" s="67"/>
      <c r="C50" s="67"/>
      <c r="D50" s="67"/>
      <c r="E50" s="8"/>
      <c r="F50" s="8"/>
      <c r="J50" s="1805"/>
      <c r="K50" s="67"/>
      <c r="L50" s="68"/>
      <c r="M50" s="68"/>
      <c r="N50" s="68"/>
      <c r="O50" s="68"/>
      <c r="P50" s="68"/>
      <c r="Q50" s="24"/>
      <c r="R50" s="24"/>
      <c r="S50" s="24"/>
      <c r="T50" s="24"/>
    </row>
    <row r="51" spans="1:20" ht="12.75" customHeight="1" x14ac:dyDescent="0.25">
      <c r="C51" s="67"/>
      <c r="D51" s="67"/>
      <c r="J51" s="1805"/>
      <c r="K51" s="67"/>
      <c r="L51" s="68"/>
      <c r="M51" s="68"/>
      <c r="N51" s="68"/>
      <c r="O51" s="68"/>
      <c r="P51" s="68"/>
      <c r="Q51" s="24"/>
      <c r="R51" s="24"/>
      <c r="S51" s="24"/>
      <c r="T51" s="24"/>
    </row>
    <row r="52" spans="1:20" ht="15" customHeight="1" x14ac:dyDescent="0.25">
      <c r="D52" s="111"/>
      <c r="E52" s="111"/>
      <c r="F52" s="111"/>
      <c r="G52" s="111"/>
      <c r="H52" s="111"/>
      <c r="J52" s="1805"/>
      <c r="K52" s="111"/>
      <c r="L52" s="24"/>
      <c r="M52" s="24"/>
      <c r="N52" s="24"/>
      <c r="O52" s="24"/>
      <c r="P52" s="24"/>
      <c r="Q52" s="24"/>
      <c r="R52" s="24"/>
      <c r="S52" s="24"/>
      <c r="T52" s="24"/>
    </row>
    <row r="53" spans="1:20" ht="12.75" customHeight="1" x14ac:dyDescent="0.25">
      <c r="D53" s="111"/>
      <c r="E53" s="111"/>
      <c r="F53" s="111"/>
      <c r="G53" s="111"/>
      <c r="H53" s="111"/>
      <c r="I53" s="1792" t="s">
        <v>415</v>
      </c>
      <c r="J53" s="1805"/>
      <c r="K53" s="111"/>
      <c r="L53" s="24"/>
      <c r="M53" s="24"/>
      <c r="N53" s="24"/>
      <c r="O53" s="24"/>
      <c r="P53" s="24"/>
      <c r="Q53" s="24"/>
      <c r="R53" s="24"/>
      <c r="S53" s="24"/>
      <c r="T53" s="24"/>
    </row>
    <row r="54" spans="1:20" ht="18" customHeight="1" x14ac:dyDescent="0.25">
      <c r="A54" s="1627" t="s">
        <v>1190</v>
      </c>
      <c r="B54" s="110"/>
      <c r="C54" s="1078" t="s">
        <v>414</v>
      </c>
      <c r="D54" s="111"/>
      <c r="E54" s="111"/>
      <c r="F54" s="111"/>
      <c r="G54" s="111"/>
      <c r="H54" s="111"/>
      <c r="I54" s="1792"/>
      <c r="J54" s="1805"/>
      <c r="K54" s="111"/>
      <c r="L54" s="24"/>
      <c r="M54" s="24"/>
      <c r="N54" s="24"/>
      <c r="O54" s="24"/>
      <c r="P54" s="24"/>
      <c r="Q54" s="24"/>
      <c r="R54" s="24"/>
      <c r="S54" s="24"/>
      <c r="T54" s="24"/>
    </row>
    <row r="55" spans="1:20" ht="17.25" customHeight="1" x14ac:dyDescent="0.25">
      <c r="A55" s="1628" t="s">
        <v>1178</v>
      </c>
      <c r="B55" s="110"/>
      <c r="C55" s="112" t="str">
        <f>CONCATENATE("and after "&amp;TEXT(EFFDATE,"mmmm d, yyyy"))</f>
        <v>and after November 1, 2019</v>
      </c>
      <c r="D55" s="111"/>
      <c r="E55" s="111"/>
      <c r="F55" s="111"/>
      <c r="G55" s="111"/>
      <c r="H55" s="111"/>
      <c r="I55" s="1792"/>
      <c r="J55" s="1805"/>
      <c r="K55" s="111"/>
      <c r="L55" s="24"/>
      <c r="M55" s="24"/>
      <c r="N55" s="24"/>
      <c r="O55" s="24"/>
      <c r="P55" s="24"/>
      <c r="Q55" s="24"/>
      <c r="R55" s="24"/>
      <c r="S55" s="24"/>
      <c r="T55" s="24"/>
    </row>
    <row r="56" spans="1:20" ht="12.75" customHeight="1" x14ac:dyDescent="0.25">
      <c r="A56" s="113"/>
      <c r="C56" s="111"/>
      <c r="D56" s="111"/>
      <c r="E56" s="111"/>
      <c r="F56" s="111"/>
      <c r="G56" s="111"/>
      <c r="H56" s="111"/>
      <c r="I56" s="115"/>
      <c r="K56" s="111"/>
      <c r="L56" s="24"/>
      <c r="M56" s="24"/>
      <c r="N56" s="24"/>
      <c r="O56" s="24"/>
      <c r="P56" s="24"/>
      <c r="Q56" s="24"/>
      <c r="R56" s="24"/>
      <c r="S56" s="24"/>
      <c r="T56" s="24"/>
    </row>
    <row r="57" spans="1:20" ht="12.75" customHeight="1" x14ac:dyDescent="0.25">
      <c r="A57" s="113"/>
      <c r="B57" s="24"/>
      <c r="C57" s="24"/>
      <c r="D57" s="24"/>
      <c r="E57" s="24"/>
      <c r="F57" s="24"/>
      <c r="G57" s="24"/>
      <c r="H57" s="24"/>
      <c r="I57" s="24"/>
      <c r="J57" s="24"/>
      <c r="K57" s="24"/>
      <c r="L57" s="24"/>
      <c r="M57" s="24"/>
      <c r="N57" s="24"/>
      <c r="O57" s="24"/>
      <c r="P57" s="24"/>
      <c r="Q57" s="24"/>
      <c r="R57" s="24"/>
      <c r="S57" s="24"/>
      <c r="T57" s="24"/>
    </row>
    <row r="58" spans="1:20" ht="12.75" customHeight="1" x14ac:dyDescent="0.25">
      <c r="B58" s="24"/>
      <c r="C58" s="24"/>
      <c r="D58" s="24"/>
      <c r="E58" s="24"/>
      <c r="F58" s="24"/>
      <c r="G58" s="24"/>
      <c r="H58" s="24"/>
      <c r="I58" s="24"/>
      <c r="J58" s="24"/>
      <c r="K58" s="24"/>
      <c r="L58" s="24"/>
      <c r="M58" s="24"/>
      <c r="N58" s="24"/>
      <c r="O58" s="24"/>
      <c r="P58" s="24"/>
      <c r="Q58" s="24"/>
      <c r="R58" s="24"/>
      <c r="S58" s="24"/>
      <c r="T58" s="24"/>
    </row>
    <row r="59" spans="1:20" ht="12.75" customHeight="1" x14ac:dyDescent="0.25">
      <c r="B59" s="24"/>
      <c r="C59" s="24"/>
      <c r="D59" s="24"/>
      <c r="E59" s="24"/>
      <c r="F59" s="24"/>
      <c r="G59" s="24"/>
      <c r="H59" s="24"/>
      <c r="I59" s="24"/>
      <c r="J59" s="24"/>
      <c r="K59" s="24"/>
      <c r="L59" s="24"/>
      <c r="M59" s="24"/>
      <c r="N59" s="24"/>
      <c r="O59" s="24"/>
      <c r="P59" s="24"/>
      <c r="Q59" s="24"/>
      <c r="R59" s="24"/>
      <c r="S59" s="24"/>
      <c r="T59" s="24"/>
    </row>
    <row r="60" spans="1:20" ht="12.75" customHeight="1" x14ac:dyDescent="0.25">
      <c r="B60" s="24"/>
      <c r="C60" s="24"/>
      <c r="D60" s="24"/>
      <c r="E60" s="24"/>
      <c r="F60" s="24"/>
      <c r="G60" s="24"/>
      <c r="H60" s="24"/>
      <c r="I60" s="24"/>
      <c r="J60" s="24"/>
      <c r="K60" s="24"/>
      <c r="L60" s="24"/>
      <c r="M60" s="24"/>
      <c r="N60" s="24"/>
      <c r="O60" s="24"/>
      <c r="P60" s="24"/>
      <c r="Q60" s="24"/>
      <c r="R60" s="24"/>
      <c r="S60" s="24"/>
      <c r="T60" s="24"/>
    </row>
    <row r="61" spans="1:20" ht="12.75" customHeight="1" x14ac:dyDescent="0.25">
      <c r="B61" s="24"/>
      <c r="C61" s="24"/>
      <c r="D61" s="24"/>
      <c r="E61" s="24"/>
      <c r="F61" s="24"/>
      <c r="G61" s="24"/>
      <c r="H61" s="24"/>
      <c r="I61" s="24"/>
      <c r="J61" s="24"/>
      <c r="K61" s="24"/>
      <c r="L61" s="24"/>
      <c r="M61" s="24"/>
      <c r="N61" s="24"/>
      <c r="O61" s="24"/>
      <c r="P61" s="24"/>
      <c r="Q61" s="24"/>
      <c r="R61" s="24"/>
      <c r="S61" s="24"/>
      <c r="T61" s="24"/>
    </row>
    <row r="62" spans="1:20" ht="12.75" customHeight="1" x14ac:dyDescent="0.25">
      <c r="B62" s="24"/>
      <c r="C62" s="24"/>
      <c r="D62" s="24"/>
      <c r="E62" s="24"/>
      <c r="F62" s="24"/>
      <c r="G62" s="24"/>
      <c r="H62" s="24"/>
      <c r="I62" s="24"/>
      <c r="J62" s="24"/>
      <c r="K62" s="24"/>
      <c r="L62" s="24"/>
      <c r="M62" s="24"/>
      <c r="N62" s="24"/>
      <c r="O62" s="24"/>
      <c r="P62" s="24"/>
      <c r="Q62" s="24"/>
      <c r="R62" s="24"/>
      <c r="S62" s="24"/>
      <c r="T62" s="24"/>
    </row>
    <row r="63" spans="1:20" ht="12.75" customHeight="1" x14ac:dyDescent="0.25">
      <c r="B63" s="24"/>
      <c r="C63" s="24"/>
      <c r="D63" s="24"/>
      <c r="E63" s="24"/>
      <c r="F63" s="24"/>
      <c r="G63" s="24"/>
      <c r="H63" s="24"/>
      <c r="I63" s="24"/>
      <c r="J63" s="24"/>
      <c r="K63" s="24"/>
      <c r="L63" s="24"/>
      <c r="M63" s="24"/>
      <c r="N63" s="24"/>
      <c r="O63" s="24"/>
      <c r="P63" s="24"/>
      <c r="Q63" s="24"/>
      <c r="R63" s="24"/>
      <c r="S63" s="24"/>
      <c r="T63" s="24"/>
    </row>
    <row r="64" spans="1:20" ht="12.75" customHeight="1" x14ac:dyDescent="0.25">
      <c r="B64" s="24"/>
      <c r="C64" s="24"/>
      <c r="D64" s="24"/>
      <c r="E64" s="24"/>
      <c r="F64" s="24"/>
      <c r="G64" s="24"/>
      <c r="H64" s="24"/>
      <c r="I64" s="24"/>
      <c r="J64" s="24"/>
      <c r="K64" s="24"/>
      <c r="L64" s="24"/>
      <c r="M64" s="24"/>
      <c r="N64" s="24"/>
      <c r="O64" s="24"/>
      <c r="P64" s="24"/>
      <c r="Q64" s="24"/>
      <c r="R64" s="24"/>
      <c r="S64" s="24"/>
      <c r="T64" s="24"/>
    </row>
    <row r="65" spans="1:20" ht="12.75" customHeight="1" x14ac:dyDescent="0.25">
      <c r="A65" s="24"/>
      <c r="B65" s="24"/>
      <c r="C65" s="24"/>
      <c r="D65" s="24"/>
      <c r="E65" s="24"/>
      <c r="F65" s="24"/>
      <c r="G65" s="24"/>
      <c r="H65" s="24"/>
      <c r="I65" s="24"/>
      <c r="J65" s="24"/>
      <c r="K65" s="24"/>
      <c r="L65" s="24"/>
      <c r="M65" s="24"/>
      <c r="N65" s="24"/>
      <c r="O65" s="24"/>
      <c r="P65" s="24"/>
      <c r="Q65" s="24"/>
      <c r="R65" s="24"/>
      <c r="S65" s="24"/>
      <c r="T65" s="24"/>
    </row>
    <row r="66" spans="1:20" ht="12.75" customHeight="1" x14ac:dyDescent="0.25">
      <c r="A66" s="24"/>
      <c r="B66" s="24"/>
      <c r="C66" s="24"/>
      <c r="D66" s="24"/>
      <c r="E66" s="24"/>
      <c r="F66" s="24"/>
      <c r="G66" s="24"/>
      <c r="H66" s="24"/>
      <c r="I66" s="24"/>
      <c r="J66" s="24"/>
      <c r="K66" s="24"/>
      <c r="L66" s="24"/>
      <c r="M66" s="24"/>
      <c r="N66" s="24"/>
      <c r="O66" s="24"/>
      <c r="P66" s="24"/>
      <c r="Q66" s="24"/>
      <c r="R66" s="24"/>
      <c r="S66" s="24"/>
      <c r="T66" s="24"/>
    </row>
    <row r="67" spans="1:20" ht="12.75" customHeight="1" x14ac:dyDescent="0.25">
      <c r="A67" s="24"/>
      <c r="B67" s="24"/>
      <c r="C67" s="24"/>
      <c r="D67" s="24"/>
      <c r="E67" s="24"/>
      <c r="F67" s="24"/>
      <c r="G67" s="24"/>
      <c r="H67" s="24"/>
      <c r="I67" s="24"/>
      <c r="J67" s="24"/>
      <c r="K67" s="24"/>
      <c r="L67" s="24"/>
      <c r="M67" s="24"/>
      <c r="N67" s="24"/>
      <c r="O67" s="24"/>
      <c r="P67" s="24"/>
      <c r="Q67" s="24"/>
      <c r="R67" s="24"/>
      <c r="S67" s="24"/>
      <c r="T67" s="24"/>
    </row>
    <row r="68" spans="1:20" ht="12.75" customHeight="1" x14ac:dyDescent="0.25">
      <c r="A68" s="24"/>
      <c r="B68" s="24"/>
      <c r="C68" s="24"/>
      <c r="D68" s="24"/>
      <c r="E68" s="24"/>
      <c r="F68" s="24"/>
      <c r="G68" s="24"/>
      <c r="H68" s="24"/>
      <c r="I68" s="24"/>
      <c r="J68" s="24"/>
      <c r="K68" s="24"/>
      <c r="L68" s="24"/>
      <c r="M68" s="24"/>
      <c r="N68" s="24"/>
      <c r="O68" s="24"/>
      <c r="P68" s="24"/>
      <c r="Q68" s="24"/>
      <c r="R68" s="24"/>
      <c r="S68" s="24"/>
      <c r="T68" s="24"/>
    </row>
    <row r="69" spans="1:20" ht="12.75" customHeight="1" x14ac:dyDescent="0.25">
      <c r="A69" s="24"/>
      <c r="B69" s="24"/>
      <c r="C69" s="24"/>
      <c r="D69" s="24"/>
      <c r="E69" s="24"/>
      <c r="F69" s="24"/>
      <c r="G69" s="24"/>
      <c r="H69" s="24"/>
      <c r="I69" s="24"/>
      <c r="J69" s="24"/>
      <c r="K69" s="24"/>
      <c r="L69" s="24"/>
      <c r="M69" s="24"/>
      <c r="N69" s="24"/>
      <c r="O69" s="24"/>
      <c r="P69" s="24"/>
      <c r="Q69" s="24"/>
      <c r="R69" s="24"/>
      <c r="S69" s="24"/>
      <c r="T69" s="24"/>
    </row>
  </sheetData>
  <mergeCells count="30">
    <mergeCell ref="J46:J55"/>
    <mergeCell ref="I7:J7"/>
    <mergeCell ref="I39:J39"/>
    <mergeCell ref="I16:J16"/>
    <mergeCell ref="I1:J1"/>
    <mergeCell ref="G5:J5"/>
    <mergeCell ref="G6:J6"/>
    <mergeCell ref="C1:H1"/>
    <mergeCell ref="C5:D5"/>
    <mergeCell ref="C6:D6"/>
    <mergeCell ref="G16:H16"/>
    <mergeCell ref="G17:H17"/>
    <mergeCell ref="G18:H18"/>
    <mergeCell ref="E16:F16"/>
    <mergeCell ref="E17:F17"/>
    <mergeCell ref="E18:F18"/>
    <mergeCell ref="A1:B1"/>
    <mergeCell ref="I53:I55"/>
    <mergeCell ref="A5:B5"/>
    <mergeCell ref="A6:B6"/>
    <mergeCell ref="E5:F5"/>
    <mergeCell ref="E6:F6"/>
    <mergeCell ref="A17:B17"/>
    <mergeCell ref="A18:B18"/>
    <mergeCell ref="A16:B16"/>
    <mergeCell ref="E7:F7"/>
    <mergeCell ref="C16:D16"/>
    <mergeCell ref="C17:D17"/>
    <mergeCell ref="C46:D46"/>
    <mergeCell ref="G44:H44"/>
  </mergeCells>
  <phoneticPr fontId="12" type="noConversion"/>
  <pageMargins left="0.37" right="0.24" top="0.45" bottom="0.4" header="0.5" footer="0.5"/>
  <pageSetup scale="6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4"/>
  <sheetViews>
    <sheetView showGridLines="0" zoomScaleNormal="100" workbookViewId="0">
      <selection activeCell="A10" sqref="A10"/>
    </sheetView>
  </sheetViews>
  <sheetFormatPr defaultColWidth="12" defaultRowHeight="13.2" x14ac:dyDescent="0.25"/>
  <cols>
    <col min="1" max="1" width="43.33203125" style="116" customWidth="1"/>
    <col min="2" max="2" width="15.6640625" style="116" customWidth="1"/>
    <col min="3" max="3" width="45" style="116" customWidth="1"/>
    <col min="4" max="4" width="13.109375" style="116" customWidth="1"/>
    <col min="5" max="5" width="45" style="116" customWidth="1"/>
    <col min="6" max="6" width="17.88671875" style="116" customWidth="1"/>
    <col min="7" max="7" width="36.109375" style="116" customWidth="1"/>
    <col min="8" max="8" width="13.109375" style="116" customWidth="1"/>
    <col min="9" max="9" width="18.44140625" style="116" customWidth="1"/>
    <col min="10" max="16384" width="12" style="116"/>
  </cols>
  <sheetData>
    <row r="1" spans="1:27" s="1" customFormat="1" ht="42" customHeight="1" x14ac:dyDescent="0.4">
      <c r="A1" s="1791" t="s">
        <v>231</v>
      </c>
      <c r="B1" s="1791"/>
      <c r="C1" s="1824" t="s">
        <v>1121</v>
      </c>
      <c r="D1" s="1825"/>
      <c r="E1" s="1825"/>
      <c r="F1" s="1825"/>
      <c r="G1" s="66" t="s">
        <v>258</v>
      </c>
      <c r="H1" s="66"/>
      <c r="I1" s="116"/>
      <c r="K1" s="117"/>
      <c r="N1" s="117"/>
      <c r="O1" s="117"/>
      <c r="P1" s="117"/>
      <c r="Q1" s="117"/>
      <c r="R1" s="117"/>
      <c r="S1" s="117"/>
      <c r="T1" s="117"/>
      <c r="U1" s="117"/>
      <c r="V1" s="117"/>
      <c r="Y1" s="117"/>
      <c r="Z1" s="117"/>
      <c r="AA1" s="118"/>
    </row>
    <row r="2" spans="1:27" s="1" customFormat="1" ht="22.5" customHeight="1" x14ac:dyDescent="0.25">
      <c r="A2" s="119"/>
      <c r="B2" s="117"/>
      <c r="C2" s="120"/>
      <c r="D2" s="121"/>
      <c r="E2" s="121"/>
      <c r="F2" s="121"/>
      <c r="G2" s="124">
        <f>+Cover!A10</f>
        <v>43770</v>
      </c>
      <c r="H2" s="125"/>
      <c r="I2" s="116"/>
      <c r="K2" s="117"/>
      <c r="N2" s="117"/>
      <c r="O2" s="117"/>
      <c r="P2" s="117"/>
      <c r="Q2" s="117"/>
      <c r="R2" s="117"/>
      <c r="S2" s="117"/>
      <c r="T2" s="117"/>
      <c r="U2" s="117"/>
      <c r="V2" s="117"/>
      <c r="Y2" s="117"/>
      <c r="Z2" s="117"/>
      <c r="AA2" s="118"/>
    </row>
    <row r="3" spans="1:27" s="1" customFormat="1" ht="16.5" customHeight="1" x14ac:dyDescent="0.25">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row>
    <row r="4" spans="1:27" s="8" customFormat="1" ht="13.5" customHeight="1" x14ac:dyDescent="0.25">
      <c r="A4" s="126"/>
      <c r="B4" s="126"/>
      <c r="C4" s="38"/>
      <c r="D4" s="38"/>
      <c r="E4" s="38"/>
      <c r="F4" s="38"/>
      <c r="G4" s="127"/>
      <c r="H4" s="127"/>
      <c r="K4" s="127"/>
      <c r="L4" s="127"/>
      <c r="M4" s="127"/>
      <c r="N4" s="127"/>
      <c r="O4" s="127"/>
      <c r="P4" s="127"/>
      <c r="Q4" s="127"/>
      <c r="R4" s="127"/>
      <c r="S4" s="127"/>
      <c r="T4" s="127"/>
      <c r="U4" s="127"/>
      <c r="V4" s="127"/>
      <c r="W4" s="127"/>
      <c r="X4" s="127"/>
      <c r="Y4" s="127"/>
      <c r="Z4" s="127"/>
      <c r="AA4" s="127"/>
    </row>
    <row r="5" spans="1:27" s="8" customFormat="1" ht="15.75" customHeight="1" x14ac:dyDescent="0.25">
      <c r="A5" s="1793" t="s">
        <v>373</v>
      </c>
      <c r="B5" s="1794"/>
      <c r="C5" s="1793" t="s">
        <v>374</v>
      </c>
      <c r="D5" s="1794"/>
      <c r="E5" s="1829" t="s">
        <v>416</v>
      </c>
      <c r="F5" s="1830"/>
      <c r="G5" s="1826"/>
      <c r="H5" s="1813"/>
      <c r="J5" s="129"/>
      <c r="K5" s="129"/>
      <c r="L5" s="129"/>
      <c r="M5" s="38"/>
      <c r="N5" s="38"/>
      <c r="P5" s="129"/>
      <c r="Q5" s="129"/>
      <c r="R5" s="129"/>
      <c r="S5" s="38"/>
      <c r="T5" s="38"/>
      <c r="V5" s="129"/>
      <c r="W5" s="129"/>
      <c r="X5" s="129"/>
      <c r="Y5" s="130"/>
    </row>
    <row r="6" spans="1:27" s="8" customFormat="1" ht="15" customHeight="1" x14ac:dyDescent="0.25">
      <c r="A6" s="1811" t="s">
        <v>417</v>
      </c>
      <c r="B6" s="1809"/>
      <c r="C6" s="1811" t="s">
        <v>376</v>
      </c>
      <c r="D6" s="1809"/>
      <c r="E6" s="1827" t="s">
        <v>418</v>
      </c>
      <c r="F6" s="1828"/>
      <c r="G6" s="1795" t="s">
        <v>631</v>
      </c>
      <c r="H6" s="1809"/>
      <c r="J6" s="129"/>
      <c r="K6" s="129"/>
      <c r="L6" s="129"/>
      <c r="M6" s="38"/>
      <c r="N6" s="38"/>
      <c r="P6" s="129"/>
      <c r="Q6" s="129"/>
      <c r="R6" s="129"/>
      <c r="S6" s="38"/>
      <c r="T6" s="38"/>
      <c r="V6" s="129"/>
      <c r="W6" s="129"/>
      <c r="X6" s="129"/>
      <c r="Y6" s="130"/>
    </row>
    <row r="7" spans="1:27" s="8" customFormat="1" ht="12.75" customHeight="1" x14ac:dyDescent="0.25">
      <c r="A7" s="1795" t="s">
        <v>419</v>
      </c>
      <c r="B7" s="1796"/>
      <c r="C7" s="1795" t="s">
        <v>760</v>
      </c>
      <c r="D7" s="1796"/>
      <c r="E7" s="1822" t="s">
        <v>419</v>
      </c>
      <c r="F7" s="1823"/>
      <c r="G7" s="95"/>
      <c r="H7" s="94"/>
      <c r="J7" s="38"/>
      <c r="K7" s="38"/>
      <c r="L7" s="38"/>
      <c r="M7" s="38"/>
      <c r="N7" s="38"/>
      <c r="O7" s="38"/>
      <c r="P7" s="38"/>
      <c r="Q7" s="38"/>
      <c r="R7" s="38"/>
      <c r="S7" s="38"/>
      <c r="T7" s="38"/>
      <c r="V7" s="38"/>
      <c r="W7" s="38"/>
      <c r="X7" s="38"/>
      <c r="Y7" s="130"/>
    </row>
    <row r="8" spans="1:27" s="8" customFormat="1" ht="12.75" customHeight="1" x14ac:dyDescent="0.25">
      <c r="A8" s="39"/>
      <c r="B8" s="132"/>
      <c r="C8" s="74"/>
      <c r="D8" s="75"/>
      <c r="E8" s="131"/>
      <c r="F8" s="85"/>
      <c r="G8" s="95"/>
      <c r="H8" s="94"/>
      <c r="J8" s="38"/>
      <c r="K8" s="38"/>
      <c r="L8" s="38"/>
      <c r="M8" s="38"/>
      <c r="N8" s="38"/>
      <c r="O8" s="38"/>
      <c r="P8" s="38"/>
      <c r="Q8" s="38"/>
      <c r="R8" s="38"/>
      <c r="S8" s="38"/>
      <c r="T8" s="38"/>
      <c r="V8" s="38"/>
      <c r="W8" s="38"/>
      <c r="X8" s="38"/>
      <c r="Y8" s="130"/>
    </row>
    <row r="9" spans="1:27" s="8" customFormat="1" ht="13.5" customHeight="1" x14ac:dyDescent="0.25">
      <c r="A9" s="87" t="s">
        <v>282</v>
      </c>
      <c r="B9" s="133">
        <v>250</v>
      </c>
      <c r="C9" s="87" t="s">
        <v>282</v>
      </c>
      <c r="D9" s="1076">
        <v>1300</v>
      </c>
      <c r="E9" s="87" t="s">
        <v>282</v>
      </c>
      <c r="F9" s="27">
        <v>38000</v>
      </c>
      <c r="G9" s="97" t="s">
        <v>432</v>
      </c>
      <c r="H9" s="89">
        <v>127</v>
      </c>
      <c r="K9" s="38"/>
      <c r="L9" s="33"/>
      <c r="M9" s="38"/>
      <c r="N9" s="38"/>
      <c r="P9" s="38"/>
      <c r="Q9" s="38"/>
      <c r="S9" s="38"/>
      <c r="T9" s="38"/>
      <c r="V9" s="38"/>
      <c r="W9" s="38"/>
      <c r="Y9" s="130"/>
    </row>
    <row r="10" spans="1:27" s="8" customFormat="1" ht="13.5" customHeight="1" x14ac:dyDescent="0.25">
      <c r="A10" s="109" t="s">
        <v>420</v>
      </c>
      <c r="B10" s="133">
        <v>250</v>
      </c>
      <c r="C10" s="109" t="s">
        <v>420</v>
      </c>
      <c r="D10" s="133">
        <v>250</v>
      </c>
      <c r="E10" s="109" t="s">
        <v>420</v>
      </c>
      <c r="F10" s="133">
        <v>250</v>
      </c>
      <c r="G10" s="95" t="s">
        <v>390</v>
      </c>
      <c r="H10" s="389" t="s">
        <v>435</v>
      </c>
      <c r="K10" s="38"/>
      <c r="L10" s="33"/>
      <c r="M10" s="38"/>
      <c r="N10" s="38"/>
      <c r="P10" s="38"/>
      <c r="Q10" s="38"/>
      <c r="S10" s="38"/>
      <c r="T10" s="38"/>
      <c r="V10" s="38"/>
      <c r="W10" s="38"/>
      <c r="Y10" s="130"/>
    </row>
    <row r="11" spans="1:27" s="8" customFormat="1" ht="13.5" customHeight="1" x14ac:dyDescent="0.25">
      <c r="A11" s="23"/>
      <c r="B11" s="90"/>
      <c r="C11" s="23"/>
      <c r="D11" s="27"/>
      <c r="E11" s="23"/>
      <c r="F11" s="27"/>
      <c r="G11" s="95" t="s">
        <v>392</v>
      </c>
      <c r="H11" s="389"/>
      <c r="K11" s="38"/>
      <c r="L11" s="33"/>
      <c r="M11" s="38"/>
      <c r="N11" s="38"/>
      <c r="P11" s="38"/>
      <c r="Q11" s="38"/>
      <c r="S11" s="38"/>
      <c r="T11" s="38"/>
      <c r="V11" s="38"/>
      <c r="W11" s="38"/>
      <c r="Y11" s="130"/>
    </row>
    <row r="12" spans="1:27" s="8" customFormat="1" ht="13.5" customHeight="1" x14ac:dyDescent="0.25">
      <c r="A12" s="87" t="s">
        <v>379</v>
      </c>
      <c r="B12" s="90"/>
      <c r="C12" s="87" t="s">
        <v>379</v>
      </c>
      <c r="D12" s="27"/>
      <c r="E12" s="87" t="s">
        <v>379</v>
      </c>
      <c r="F12" s="27"/>
      <c r="G12" s="95" t="s">
        <v>438</v>
      </c>
      <c r="H12" s="389" t="s">
        <v>393</v>
      </c>
      <c r="K12" s="38"/>
      <c r="L12" s="33"/>
      <c r="M12" s="38"/>
      <c r="N12" s="38"/>
      <c r="P12" s="38"/>
      <c r="Q12" s="38"/>
      <c r="S12" s="38"/>
      <c r="T12" s="38"/>
      <c r="V12" s="38"/>
      <c r="W12" s="38"/>
      <c r="Y12" s="130"/>
    </row>
    <row r="13" spans="1:27" s="8" customFormat="1" ht="13.5" customHeight="1" x14ac:dyDescent="0.25">
      <c r="A13" s="41" t="s">
        <v>421</v>
      </c>
      <c r="B13" s="92">
        <f>'Rates in detail'!$V$23</f>
        <v>0.30027999999999999</v>
      </c>
      <c r="C13" s="41" t="s">
        <v>422</v>
      </c>
      <c r="D13" s="92">
        <f>'Rates in detail'!$V$41</f>
        <v>0.11796</v>
      </c>
      <c r="E13" s="23" t="s">
        <v>423</v>
      </c>
      <c r="F13" s="92">
        <f>'Rates in detail'!$V$65</f>
        <v>4.9800000000000001E-3</v>
      </c>
      <c r="G13" s="95"/>
      <c r="H13" s="389"/>
      <c r="K13" s="38"/>
      <c r="L13" s="33"/>
      <c r="M13" s="38"/>
      <c r="N13" s="38"/>
      <c r="P13" s="38"/>
      <c r="Q13" s="38"/>
      <c r="S13" s="38"/>
      <c r="T13" s="38"/>
      <c r="V13" s="38"/>
      <c r="W13" s="38"/>
      <c r="Y13" s="130"/>
    </row>
    <row r="14" spans="1:27" s="8" customFormat="1" ht="13.5" customHeight="1" x14ac:dyDescent="0.25">
      <c r="A14" s="41" t="s">
        <v>424</v>
      </c>
      <c r="B14" s="92">
        <f>'Rates in detail'!$V$24</f>
        <v>0.26457000000000003</v>
      </c>
      <c r="C14" s="41" t="s">
        <v>425</v>
      </c>
      <c r="D14" s="92">
        <f>'Rates in detail'!$V$42</f>
        <v>0.10558999999999999</v>
      </c>
      <c r="E14" s="23"/>
      <c r="F14" s="27"/>
      <c r="G14" s="668" t="s">
        <v>644</v>
      </c>
      <c r="H14" s="92">
        <f>+Inputs!B16</f>
        <v>0.20291000000000001</v>
      </c>
      <c r="K14" s="38"/>
      <c r="L14" s="33"/>
      <c r="M14" s="38"/>
      <c r="N14" s="38"/>
      <c r="P14" s="38"/>
      <c r="Q14" s="38"/>
      <c r="S14" s="38"/>
      <c r="T14" s="38"/>
      <c r="V14" s="38"/>
      <c r="W14" s="38"/>
      <c r="Y14" s="130"/>
    </row>
    <row r="15" spans="1:27" s="8" customFormat="1" ht="13.5" customHeight="1" x14ac:dyDescent="0.25">
      <c r="A15" s="23"/>
      <c r="C15" s="41" t="s">
        <v>425</v>
      </c>
      <c r="D15" s="92">
        <f>'Rates in detail'!$V$43</f>
        <v>8.097E-2</v>
      </c>
      <c r="E15" s="23"/>
      <c r="F15" s="27"/>
      <c r="G15" s="88" t="s">
        <v>645</v>
      </c>
      <c r="H15" s="92">
        <f>+Inputs!B32</f>
        <v>0.24779999999999999</v>
      </c>
      <c r="K15" s="38"/>
      <c r="L15" s="33"/>
      <c r="M15" s="38"/>
      <c r="N15" s="38"/>
      <c r="P15" s="38"/>
      <c r="Q15" s="38"/>
      <c r="S15" s="38"/>
      <c r="T15" s="38"/>
      <c r="V15" s="38"/>
      <c r="W15" s="38"/>
      <c r="Y15" s="130"/>
    </row>
    <row r="16" spans="1:27" s="8" customFormat="1" ht="13.5" customHeight="1" x14ac:dyDescent="0.25">
      <c r="A16" s="109" t="s">
        <v>405</v>
      </c>
      <c r="B16" s="135">
        <f>+B9+B10</f>
        <v>500</v>
      </c>
      <c r="C16" s="41" t="s">
        <v>426</v>
      </c>
      <c r="D16" s="92">
        <f>'Rates in detail'!$V$44</f>
        <v>6.4780000000000004E-2</v>
      </c>
      <c r="E16" s="23"/>
      <c r="F16" s="27"/>
      <c r="G16" s="42"/>
      <c r="H16" s="390"/>
      <c r="K16" s="38"/>
      <c r="L16" s="33"/>
      <c r="M16" s="38"/>
      <c r="N16" s="38"/>
      <c r="P16" s="38"/>
      <c r="Q16" s="38"/>
      <c r="S16" s="38"/>
      <c r="T16" s="38"/>
      <c r="V16" s="38"/>
      <c r="W16" s="38"/>
      <c r="Y16" s="130"/>
    </row>
    <row r="17" spans="1:25" s="8" customFormat="1" ht="13.5" customHeight="1" x14ac:dyDescent="0.25">
      <c r="A17" s="136"/>
      <c r="B17" s="100"/>
      <c r="C17" s="41" t="s">
        <v>427</v>
      </c>
      <c r="D17" s="92">
        <f>'Rates in detail'!$V$45</f>
        <v>4.3190000000000006E-2</v>
      </c>
      <c r="E17" s="23"/>
      <c r="F17" s="27"/>
      <c r="G17" s="134"/>
      <c r="H17" s="134"/>
      <c r="K17" s="38"/>
      <c r="L17" s="33"/>
      <c r="M17" s="38"/>
      <c r="N17" s="38"/>
      <c r="P17" s="38"/>
      <c r="Q17" s="38"/>
      <c r="S17" s="38"/>
      <c r="T17" s="38"/>
      <c r="V17" s="38"/>
      <c r="W17" s="38"/>
      <c r="Y17" s="130"/>
    </row>
    <row r="18" spans="1:25" s="8" customFormat="1" ht="13.5" customHeight="1" x14ac:dyDescent="0.25">
      <c r="A18" s="80"/>
      <c r="B18" s="100"/>
      <c r="C18" s="41" t="s">
        <v>424</v>
      </c>
      <c r="D18" s="92">
        <f>'Rates in detail'!$V$46</f>
        <v>1.619E-2</v>
      </c>
      <c r="E18" s="23"/>
      <c r="F18" s="27"/>
      <c r="G18" s="134"/>
      <c r="H18" s="137"/>
      <c r="K18" s="38"/>
      <c r="L18" s="33"/>
      <c r="M18" s="38"/>
      <c r="N18" s="38"/>
      <c r="P18" s="38"/>
      <c r="Q18" s="38"/>
      <c r="S18" s="38"/>
      <c r="T18" s="38"/>
      <c r="V18" s="38"/>
      <c r="W18" s="38"/>
      <c r="Y18" s="130"/>
    </row>
    <row r="19" spans="1:25" s="8" customFormat="1" ht="15.75" customHeight="1" x14ac:dyDescent="0.25">
      <c r="A19" s="23"/>
      <c r="B19" s="27"/>
      <c r="C19" s="102"/>
      <c r="D19" s="27"/>
      <c r="E19" s="102" t="s">
        <v>661</v>
      </c>
      <c r="F19" s="27"/>
      <c r="G19" s="38"/>
      <c r="H19" s="33"/>
      <c r="K19" s="38"/>
      <c r="L19" s="33"/>
      <c r="M19" s="38"/>
      <c r="N19" s="38"/>
      <c r="P19" s="38"/>
      <c r="Q19" s="38"/>
      <c r="S19" s="38"/>
      <c r="T19" s="38"/>
      <c r="V19" s="38"/>
      <c r="W19" s="38"/>
      <c r="Y19" s="130"/>
    </row>
    <row r="20" spans="1:25" s="8" customFormat="1" ht="15.75" customHeight="1" x14ac:dyDescent="0.25">
      <c r="A20" s="23"/>
      <c r="B20" s="27"/>
      <c r="C20" s="105" t="s">
        <v>759</v>
      </c>
      <c r="D20" s="92">
        <f>Inputs!B24</f>
        <v>0.15748000000000001</v>
      </c>
      <c r="E20" s="105" t="s">
        <v>401</v>
      </c>
      <c r="F20" s="92">
        <f>Inputs!B24</f>
        <v>0.15748000000000001</v>
      </c>
      <c r="G20" s="38"/>
      <c r="H20" s="33"/>
      <c r="K20" s="38"/>
      <c r="L20" s="33"/>
      <c r="M20" s="38"/>
      <c r="N20" s="38"/>
      <c r="P20" s="38"/>
      <c r="Q20" s="38"/>
      <c r="S20" s="38"/>
      <c r="T20" s="38"/>
      <c r="V20" s="38"/>
      <c r="W20" s="38"/>
      <c r="Y20" s="130"/>
    </row>
    <row r="21" spans="1:25" s="8" customFormat="1" ht="12.75" customHeight="1" x14ac:dyDescent="0.25">
      <c r="A21" s="23"/>
      <c r="B21" s="104"/>
      <c r="C21" s="23"/>
      <c r="D21" s="27"/>
      <c r="E21" s="23"/>
      <c r="F21" s="27"/>
      <c r="G21" s="38"/>
      <c r="H21" s="38"/>
      <c r="J21" s="129"/>
      <c r="K21" s="129"/>
      <c r="L21" s="129"/>
      <c r="M21" s="38"/>
      <c r="N21" s="38"/>
      <c r="P21" s="129"/>
      <c r="Q21" s="129"/>
      <c r="R21" s="129"/>
      <c r="S21" s="38"/>
      <c r="T21" s="38"/>
      <c r="V21" s="129"/>
      <c r="W21" s="129"/>
      <c r="X21" s="129"/>
      <c r="Y21" s="130"/>
    </row>
    <row r="22" spans="1:25" s="8" customFormat="1" ht="14.25" customHeight="1" x14ac:dyDescent="0.25">
      <c r="A22" s="23"/>
      <c r="C22" s="109" t="s">
        <v>405</v>
      </c>
      <c r="D22" s="135">
        <f>+D9+D10</f>
        <v>1550</v>
      </c>
      <c r="E22" s="109" t="s">
        <v>405</v>
      </c>
      <c r="F22" s="27">
        <f>+F9+F10</f>
        <v>38250</v>
      </c>
      <c r="G22" s="36"/>
      <c r="H22" s="36"/>
      <c r="J22" s="129"/>
      <c r="K22" s="129"/>
      <c r="L22" s="129"/>
      <c r="M22" s="38"/>
      <c r="N22" s="38"/>
      <c r="P22" s="129"/>
      <c r="Q22" s="129"/>
      <c r="R22" s="129"/>
      <c r="S22" s="38"/>
      <c r="T22" s="38"/>
      <c r="V22" s="129"/>
      <c r="W22" s="129"/>
      <c r="X22" s="129"/>
      <c r="Y22" s="130"/>
    </row>
    <row r="23" spans="1:25" s="8" customFormat="1" ht="24" customHeight="1" x14ac:dyDescent="0.25">
      <c r="A23" s="105"/>
      <c r="B23" s="139"/>
      <c r="C23" s="1818" t="s">
        <v>428</v>
      </c>
      <c r="D23" s="1819"/>
      <c r="E23" s="1820" t="s">
        <v>428</v>
      </c>
      <c r="F23" s="1821"/>
      <c r="G23" s="140"/>
      <c r="H23" s="140"/>
      <c r="I23" s="38"/>
      <c r="J23" s="129"/>
      <c r="K23" s="129"/>
      <c r="L23" s="129"/>
      <c r="M23" s="38"/>
      <c r="N23" s="38"/>
      <c r="P23" s="38"/>
      <c r="Q23" s="38"/>
      <c r="R23" s="38"/>
      <c r="S23" s="38"/>
      <c r="T23" s="38"/>
      <c r="V23" s="38"/>
      <c r="W23" s="38"/>
      <c r="X23" s="38"/>
      <c r="Y23" s="130"/>
    </row>
    <row r="24" spans="1:25" s="8" customFormat="1" x14ac:dyDescent="0.25">
      <c r="A24" s="30"/>
      <c r="B24" s="30"/>
      <c r="C24" s="31"/>
      <c r="D24" s="128"/>
      <c r="E24" s="1812"/>
      <c r="F24" s="1813"/>
      <c r="K24" s="1797"/>
      <c r="L24" s="1797"/>
      <c r="M24" s="1797"/>
      <c r="N24" s="1797"/>
      <c r="O24" s="1797"/>
      <c r="P24" s="1797"/>
    </row>
    <row r="25" spans="1:25" s="8" customFormat="1" x14ac:dyDescent="0.25">
      <c r="A25" s="1808"/>
      <c r="B25" s="1808"/>
      <c r="C25" s="1811" t="s">
        <v>374</v>
      </c>
      <c r="D25" s="1809"/>
      <c r="E25" s="140" t="s">
        <v>630</v>
      </c>
      <c r="F25" s="86"/>
      <c r="I25" s="1808"/>
      <c r="J25" s="1808"/>
      <c r="K25" s="140"/>
      <c r="L25" s="36"/>
      <c r="M25" s="1797"/>
      <c r="N25" s="1808"/>
      <c r="O25" s="134"/>
      <c r="P25" s="142"/>
    </row>
    <row r="26" spans="1:25" s="8" customFormat="1" x14ac:dyDescent="0.25">
      <c r="A26" s="1797"/>
      <c r="B26" s="1797"/>
      <c r="C26" s="1811" t="s">
        <v>376</v>
      </c>
      <c r="D26" s="1809"/>
      <c r="E26" s="1797"/>
      <c r="F26" s="1796"/>
      <c r="I26" s="1797"/>
      <c r="J26" s="1797"/>
      <c r="K26" s="1797"/>
      <c r="L26" s="1797"/>
      <c r="M26" s="115"/>
      <c r="N26" s="115"/>
      <c r="O26" s="153"/>
      <c r="P26" s="143"/>
    </row>
    <row r="27" spans="1:25" s="8" customFormat="1" x14ac:dyDescent="0.25">
      <c r="A27" s="38"/>
      <c r="B27" s="38"/>
      <c r="C27" s="1795" t="s">
        <v>761</v>
      </c>
      <c r="D27" s="1796"/>
      <c r="E27" s="148" t="s">
        <v>429</v>
      </c>
      <c r="F27" s="144" t="s">
        <v>430</v>
      </c>
      <c r="I27" s="38"/>
      <c r="J27" s="38"/>
      <c r="K27" s="148"/>
      <c r="L27" s="884"/>
      <c r="M27" s="115"/>
      <c r="N27" s="115"/>
      <c r="O27" s="67"/>
      <c r="P27" s="145"/>
    </row>
    <row r="28" spans="1:25" s="8" customFormat="1" x14ac:dyDescent="0.25">
      <c r="A28" s="148"/>
      <c r="B28" s="134"/>
      <c r="C28" s="1333"/>
      <c r="D28" s="1334"/>
      <c r="E28" s="148" t="s">
        <v>431</v>
      </c>
      <c r="F28" s="101"/>
      <c r="I28" s="148"/>
      <c r="J28" s="134"/>
      <c r="K28" s="148"/>
      <c r="L28" s="885"/>
      <c r="M28" s="886"/>
      <c r="N28" s="143"/>
      <c r="O28" s="148"/>
      <c r="P28" s="145"/>
    </row>
    <row r="29" spans="1:25" s="8" customFormat="1" x14ac:dyDescent="0.25">
      <c r="A29" s="148"/>
      <c r="B29" s="224"/>
      <c r="C29" s="87" t="s">
        <v>282</v>
      </c>
      <c r="D29" s="27">
        <v>1300</v>
      </c>
      <c r="E29" s="148" t="s">
        <v>433</v>
      </c>
      <c r="F29" s="101" t="s">
        <v>434</v>
      </c>
      <c r="I29" s="148"/>
      <c r="J29" s="224"/>
      <c r="K29" s="148"/>
      <c r="L29" s="885"/>
      <c r="M29" s="115"/>
      <c r="N29" s="146"/>
      <c r="O29" s="148"/>
      <c r="P29" s="147"/>
      <c r="Q29" s="115"/>
      <c r="R29" s="115"/>
    </row>
    <row r="30" spans="1:25" s="8" customFormat="1" x14ac:dyDescent="0.25">
      <c r="C30" s="109" t="s">
        <v>420</v>
      </c>
      <c r="D30" s="133">
        <v>250</v>
      </c>
      <c r="E30" s="148" t="s">
        <v>436</v>
      </c>
      <c r="F30" s="101" t="s">
        <v>430</v>
      </c>
      <c r="K30" s="148"/>
      <c r="L30" s="885"/>
      <c r="M30" s="115"/>
      <c r="N30" s="146"/>
      <c r="O30" s="148"/>
      <c r="P30" s="147"/>
      <c r="Q30" s="115"/>
      <c r="R30" s="115"/>
    </row>
    <row r="31" spans="1:25" s="8" customFormat="1" x14ac:dyDescent="0.25">
      <c r="C31" s="23"/>
      <c r="D31" s="27"/>
      <c r="E31" s="148" t="s">
        <v>437</v>
      </c>
      <c r="F31" s="101"/>
      <c r="K31" s="148"/>
      <c r="L31" s="885"/>
      <c r="M31" s="115"/>
      <c r="N31" s="146"/>
      <c r="O31" s="148"/>
      <c r="P31" s="147"/>
      <c r="Q31" s="115"/>
      <c r="R31" s="115"/>
    </row>
    <row r="32" spans="1:25" s="8" customFormat="1" x14ac:dyDescent="0.25">
      <c r="C32" s="87" t="s">
        <v>379</v>
      </c>
      <c r="D32" s="27"/>
      <c r="E32" s="148" t="s">
        <v>439</v>
      </c>
      <c r="F32" s="101" t="s">
        <v>434</v>
      </c>
      <c r="G32" s="148"/>
      <c r="H32" s="149"/>
      <c r="K32" s="148"/>
      <c r="L32" s="885"/>
      <c r="M32" s="115"/>
      <c r="N32" s="146"/>
      <c r="O32" s="148"/>
      <c r="P32" s="147"/>
      <c r="Q32" s="115"/>
      <c r="R32" s="115"/>
    </row>
    <row r="33" spans="1:19" s="8" customFormat="1" x14ac:dyDescent="0.25">
      <c r="C33" s="41" t="s">
        <v>422</v>
      </c>
      <c r="D33" s="92">
        <f>'Rates in detail'!$V$59</f>
        <v>0.11797999999999999</v>
      </c>
      <c r="E33" s="148" t="s">
        <v>440</v>
      </c>
      <c r="F33" s="101" t="s">
        <v>430</v>
      </c>
      <c r="G33" s="150"/>
      <c r="H33" s="150"/>
      <c r="K33" s="148"/>
      <c r="L33" s="885"/>
      <c r="M33" s="115"/>
      <c r="N33" s="151"/>
      <c r="O33" s="148"/>
      <c r="P33" s="147"/>
      <c r="Q33" s="115"/>
      <c r="R33" s="115"/>
    </row>
    <row r="34" spans="1:19" s="8" customFormat="1" x14ac:dyDescent="0.25">
      <c r="C34" s="41" t="s">
        <v>425</v>
      </c>
      <c r="D34" s="92">
        <f>'Rates in detail'!$V$60</f>
        <v>0.10561</v>
      </c>
      <c r="E34" s="148" t="s">
        <v>441</v>
      </c>
      <c r="F34" s="101" t="s">
        <v>430</v>
      </c>
      <c r="G34" s="150"/>
      <c r="H34" s="150"/>
      <c r="K34" s="148"/>
      <c r="L34" s="885"/>
      <c r="M34" s="153"/>
      <c r="N34" s="147"/>
      <c r="O34" s="887"/>
      <c r="P34" s="114"/>
      <c r="Q34" s="115"/>
      <c r="R34" s="115"/>
    </row>
    <row r="35" spans="1:19" s="8" customFormat="1" x14ac:dyDescent="0.25">
      <c r="C35" s="41" t="s">
        <v>425</v>
      </c>
      <c r="D35" s="92">
        <f>'Rates in detail'!$V$61</f>
        <v>8.0979999999999996E-2</v>
      </c>
      <c r="E35" s="903"/>
      <c r="F35" s="152"/>
      <c r="G35" s="150"/>
      <c r="H35" s="150"/>
      <c r="K35" s="888"/>
      <c r="L35" s="889"/>
      <c r="M35" s="153"/>
      <c r="N35" s="147"/>
      <c r="O35" s="153"/>
      <c r="P35" s="147"/>
      <c r="Q35" s="115"/>
      <c r="R35" s="115"/>
    </row>
    <row r="36" spans="1:19" s="8" customFormat="1" x14ac:dyDescent="0.25">
      <c r="C36" s="41" t="s">
        <v>426</v>
      </c>
      <c r="D36" s="92">
        <f>'Rates in detail'!$V$62</f>
        <v>6.479E-2</v>
      </c>
      <c r="E36" s="153"/>
      <c r="F36" s="149"/>
      <c r="G36" s="153"/>
      <c r="H36" s="149"/>
      <c r="I36" s="115"/>
      <c r="J36" s="115"/>
    </row>
    <row r="37" spans="1:19" ht="12.75" customHeight="1" x14ac:dyDescent="0.25">
      <c r="A37" s="890"/>
      <c r="B37" s="890"/>
      <c r="C37" s="41" t="s">
        <v>427</v>
      </c>
      <c r="D37" s="92">
        <f>'Rates in detail'!$V$63</f>
        <v>4.3200000000000002E-2</v>
      </c>
      <c r="E37" s="150"/>
      <c r="F37" s="150"/>
      <c r="G37" s="150"/>
      <c r="H37" s="1814" t="s">
        <v>632</v>
      </c>
      <c r="I37" s="150"/>
      <c r="J37" s="890"/>
      <c r="K37" s="890"/>
      <c r="L37" s="890"/>
      <c r="M37" s="890"/>
      <c r="N37" s="890"/>
      <c r="O37" s="890"/>
      <c r="P37" s="890"/>
      <c r="Q37" s="890"/>
      <c r="R37" s="890"/>
      <c r="S37" s="890"/>
    </row>
    <row r="38" spans="1:19" ht="12.75" customHeight="1" x14ac:dyDescent="0.25">
      <c r="A38" s="890"/>
      <c r="B38" s="890"/>
      <c r="C38" s="41" t="s">
        <v>424</v>
      </c>
      <c r="D38" s="92">
        <f>'Rates in detail'!$V$64</f>
        <v>1.619E-2</v>
      </c>
      <c r="E38" s="150"/>
      <c r="F38" s="150"/>
      <c r="G38" s="150"/>
      <c r="H38" s="1815"/>
      <c r="I38" s="150"/>
    </row>
    <row r="39" spans="1:19" ht="12.75" customHeight="1" x14ac:dyDescent="0.25">
      <c r="A39" s="890"/>
      <c r="B39" s="890"/>
      <c r="C39" s="904" t="s">
        <v>405</v>
      </c>
      <c r="D39" s="905">
        <f>+D29+D30</f>
        <v>1550</v>
      </c>
      <c r="E39" s="150"/>
      <c r="F39" s="150"/>
      <c r="G39" s="150"/>
      <c r="H39" s="1815"/>
      <c r="I39" s="150"/>
    </row>
    <row r="40" spans="1:19" ht="18" customHeight="1" x14ac:dyDescent="0.25">
      <c r="D40" s="150"/>
      <c r="E40" s="150"/>
      <c r="F40" s="150"/>
      <c r="G40" s="150"/>
      <c r="H40" s="1815"/>
      <c r="I40" s="150"/>
    </row>
    <row r="41" spans="1:19" ht="12.75" customHeight="1" x14ac:dyDescent="0.25">
      <c r="A41" s="150"/>
      <c r="B41" s="150"/>
      <c r="C41" s="150"/>
      <c r="D41" s="150"/>
      <c r="E41" s="150"/>
      <c r="F41" s="150"/>
      <c r="G41" s="150"/>
      <c r="H41" s="1815"/>
      <c r="I41" s="150"/>
    </row>
    <row r="42" spans="1:19" ht="12.75" customHeight="1" x14ac:dyDescent="0.25">
      <c r="A42" s="150"/>
      <c r="B42" s="150"/>
      <c r="C42" s="150"/>
      <c r="D42" s="150"/>
      <c r="E42" s="150"/>
      <c r="F42" s="150"/>
      <c r="G42" s="150"/>
      <c r="H42" s="1815"/>
      <c r="I42" s="150"/>
    </row>
    <row r="43" spans="1:19" x14ac:dyDescent="0.25">
      <c r="A43" s="150"/>
      <c r="B43" s="150"/>
      <c r="D43" s="154"/>
      <c r="E43" s="154"/>
      <c r="F43" s="154"/>
      <c r="H43" s="1815"/>
      <c r="I43" s="154"/>
    </row>
    <row r="44" spans="1:19" ht="21.75" customHeight="1" x14ac:dyDescent="0.25">
      <c r="A44" s="150"/>
      <c r="B44" s="150"/>
      <c r="D44" s="154"/>
      <c r="E44" s="154"/>
      <c r="F44" s="154"/>
      <c r="G44" s="1816" t="s">
        <v>442</v>
      </c>
      <c r="H44" s="1815"/>
      <c r="I44" s="150"/>
    </row>
    <row r="45" spans="1:19" ht="15" customHeight="1" x14ac:dyDescent="0.25">
      <c r="A45" s="1077" t="s">
        <v>1190</v>
      </c>
      <c r="B45" s="110"/>
      <c r="C45" s="1077" t="s">
        <v>414</v>
      </c>
      <c r="D45" s="154"/>
      <c r="E45" s="154"/>
      <c r="F45" s="154"/>
      <c r="G45" s="1817"/>
      <c r="H45" s="1815"/>
      <c r="I45" s="154"/>
    </row>
    <row r="46" spans="1:19" ht="12.75" customHeight="1" x14ac:dyDescent="0.25">
      <c r="A46" s="1676" t="s">
        <v>1178</v>
      </c>
      <c r="B46" s="110"/>
      <c r="C46" s="112" t="str">
        <f>CONCATENATE("and after "&amp;TEXT(EFFDATE,"mmmm d, yyyy"))</f>
        <v>and after November 1, 2019</v>
      </c>
      <c r="D46" s="154"/>
      <c r="E46" s="154"/>
      <c r="F46" s="154"/>
      <c r="G46" s="154"/>
      <c r="H46" s="123"/>
      <c r="I46" s="154"/>
    </row>
    <row r="47" spans="1:19" x14ac:dyDescent="0.25">
      <c r="A47" s="1677"/>
      <c r="B47" s="154"/>
      <c r="C47" s="154"/>
      <c r="D47" s="154"/>
      <c r="E47" s="154"/>
      <c r="F47" s="154"/>
      <c r="H47" s="123"/>
      <c r="I47" s="154"/>
    </row>
    <row r="48" spans="1:19" x14ac:dyDescent="0.25">
      <c r="A48" s="154"/>
      <c r="B48" s="154"/>
      <c r="D48" s="154"/>
      <c r="E48" s="154"/>
      <c r="F48" s="154"/>
      <c r="G48" s="108"/>
      <c r="H48" s="122"/>
      <c r="I48" s="154"/>
    </row>
    <row r="49" spans="1:9" x14ac:dyDescent="0.25">
      <c r="A49" s="154"/>
      <c r="B49" s="154"/>
      <c r="D49" s="154"/>
      <c r="E49" s="154"/>
      <c r="F49" s="154"/>
      <c r="G49" s="108"/>
      <c r="H49" s="122"/>
      <c r="I49" s="154"/>
    </row>
    <row r="50" spans="1:9" ht="12.75" customHeight="1" x14ac:dyDescent="0.25">
      <c r="A50" s="154"/>
      <c r="B50" s="154"/>
      <c r="C50" s="154"/>
      <c r="D50" s="154"/>
      <c r="E50" s="154"/>
      <c r="F50" s="154"/>
      <c r="H50" s="122"/>
      <c r="I50" s="154"/>
    </row>
    <row r="51" spans="1:9" ht="12.75" customHeight="1" x14ac:dyDescent="0.25">
      <c r="A51" s="154"/>
      <c r="B51" s="154"/>
      <c r="C51" s="154"/>
      <c r="D51" s="154"/>
      <c r="E51" s="154"/>
      <c r="F51" s="154"/>
      <c r="H51" s="154"/>
      <c r="I51" s="154"/>
    </row>
    <row r="52" spans="1:9" ht="12.75" customHeight="1" x14ac:dyDescent="0.25">
      <c r="A52" s="154"/>
      <c r="B52" s="154"/>
      <c r="C52" s="154"/>
      <c r="D52" s="154"/>
      <c r="E52" s="154"/>
      <c r="F52" s="154"/>
      <c r="G52" s="154"/>
      <c r="H52" s="154"/>
      <c r="I52" s="154"/>
    </row>
    <row r="53" spans="1:9" ht="12.75" customHeight="1" x14ac:dyDescent="0.25">
      <c r="A53" s="154"/>
      <c r="B53" s="154"/>
      <c r="C53" s="154"/>
      <c r="D53" s="154"/>
      <c r="E53" s="154"/>
      <c r="F53" s="154"/>
      <c r="G53" s="154"/>
      <c r="H53" s="154"/>
      <c r="I53" s="154"/>
    </row>
    <row r="54" spans="1:9" ht="12.75" customHeight="1" x14ac:dyDescent="0.25">
      <c r="A54" s="154"/>
      <c r="B54" s="154"/>
      <c r="C54" s="154"/>
      <c r="D54" s="154"/>
      <c r="E54" s="154"/>
      <c r="F54" s="154"/>
      <c r="G54" s="154"/>
      <c r="H54" s="154"/>
      <c r="I54" s="154"/>
    </row>
    <row r="55" spans="1:9" ht="12.75" customHeight="1" x14ac:dyDescent="0.25">
      <c r="A55" s="154"/>
      <c r="B55" s="154"/>
      <c r="C55" s="154"/>
      <c r="D55" s="154"/>
      <c r="E55" s="154"/>
      <c r="F55" s="154"/>
      <c r="G55" s="154"/>
      <c r="H55" s="154"/>
      <c r="I55" s="154"/>
    </row>
    <row r="56" spans="1:9" ht="12.75" customHeight="1" x14ac:dyDescent="0.25">
      <c r="A56" s="154"/>
      <c r="B56" s="154"/>
      <c r="C56" s="154"/>
      <c r="D56" s="154"/>
      <c r="E56" s="154"/>
      <c r="F56" s="154"/>
      <c r="G56" s="154"/>
      <c r="H56" s="154"/>
      <c r="I56" s="154"/>
    </row>
    <row r="57" spans="1:9" ht="12.75" customHeight="1" x14ac:dyDescent="0.25">
      <c r="A57" s="154"/>
      <c r="B57" s="154"/>
      <c r="C57" s="154"/>
      <c r="D57" s="154"/>
      <c r="E57" s="154"/>
      <c r="F57" s="154"/>
      <c r="G57" s="154"/>
      <c r="H57" s="154"/>
      <c r="I57" s="154"/>
    </row>
    <row r="58" spans="1:9" ht="12.75" customHeight="1" x14ac:dyDescent="0.25">
      <c r="A58" s="154"/>
      <c r="B58" s="154"/>
      <c r="C58" s="154"/>
      <c r="D58" s="154"/>
      <c r="E58" s="154"/>
      <c r="F58" s="154"/>
      <c r="G58" s="154"/>
      <c r="H58" s="154"/>
      <c r="I58" s="154"/>
    </row>
    <row r="59" spans="1:9" ht="12.75" customHeight="1" x14ac:dyDescent="0.25">
      <c r="A59" s="154"/>
      <c r="B59" s="154"/>
      <c r="C59" s="154"/>
      <c r="D59" s="154"/>
      <c r="E59" s="154"/>
      <c r="F59" s="154"/>
      <c r="G59" s="154"/>
      <c r="H59" s="154"/>
      <c r="I59" s="154"/>
    </row>
    <row r="60" spans="1:9" ht="12.75" customHeight="1" x14ac:dyDescent="0.25">
      <c r="A60" s="154"/>
      <c r="B60" s="154"/>
      <c r="C60" s="154"/>
      <c r="D60" s="154"/>
      <c r="E60" s="154"/>
      <c r="F60" s="154"/>
      <c r="G60" s="154"/>
      <c r="H60" s="154"/>
      <c r="I60" s="154"/>
    </row>
    <row r="61" spans="1:9" ht="12.75" customHeight="1" x14ac:dyDescent="0.25">
      <c r="A61" s="154"/>
      <c r="B61" s="154"/>
      <c r="C61" s="154"/>
      <c r="D61" s="154"/>
      <c r="E61" s="154"/>
      <c r="F61" s="154"/>
      <c r="G61" s="154"/>
      <c r="H61" s="154"/>
      <c r="I61" s="154"/>
    </row>
    <row r="62" spans="1:9" ht="12.75" customHeight="1" x14ac:dyDescent="0.25">
      <c r="A62" s="154"/>
      <c r="B62" s="154"/>
      <c r="C62" s="154"/>
      <c r="D62" s="154"/>
      <c r="E62" s="154"/>
      <c r="F62" s="154"/>
      <c r="G62" s="154"/>
      <c r="H62" s="154"/>
      <c r="I62" s="154"/>
    </row>
    <row r="63" spans="1:9" ht="12.75" customHeight="1" x14ac:dyDescent="0.25">
      <c r="A63" s="154"/>
      <c r="B63" s="154"/>
      <c r="C63" s="154"/>
      <c r="D63" s="154"/>
      <c r="E63" s="154"/>
      <c r="F63" s="154"/>
      <c r="G63" s="154"/>
      <c r="H63" s="154"/>
      <c r="I63" s="154"/>
    </row>
    <row r="64" spans="1:9" ht="12.75" customHeight="1" x14ac:dyDescent="0.25">
      <c r="A64" s="154"/>
      <c r="B64" s="154"/>
      <c r="C64" s="154"/>
      <c r="D64" s="154"/>
      <c r="E64" s="154"/>
      <c r="F64" s="154"/>
      <c r="G64" s="154"/>
      <c r="H64" s="154"/>
      <c r="I64" s="154"/>
    </row>
    <row r="65" spans="1:9" ht="12.75" customHeight="1" x14ac:dyDescent="0.25">
      <c r="A65" s="154"/>
      <c r="B65" s="154"/>
      <c r="C65" s="154"/>
      <c r="D65" s="154"/>
      <c r="E65" s="154"/>
      <c r="F65" s="154"/>
      <c r="G65" s="154"/>
      <c r="H65" s="154"/>
      <c r="I65" s="154"/>
    </row>
    <row r="66" spans="1:9" ht="12.75" customHeight="1" x14ac:dyDescent="0.25">
      <c r="A66" s="154"/>
      <c r="B66" s="154"/>
      <c r="C66" s="154"/>
      <c r="D66" s="154"/>
      <c r="E66" s="154"/>
      <c r="F66" s="154"/>
      <c r="G66" s="154"/>
      <c r="H66" s="154"/>
      <c r="I66" s="154"/>
    </row>
    <row r="67" spans="1:9" ht="12.75" customHeight="1" x14ac:dyDescent="0.25">
      <c r="A67" s="154"/>
      <c r="B67" s="154"/>
      <c r="C67" s="154"/>
      <c r="D67" s="154"/>
      <c r="E67" s="154"/>
      <c r="F67" s="154"/>
      <c r="G67" s="154"/>
      <c r="H67" s="154"/>
      <c r="I67" s="154"/>
    </row>
    <row r="68" spans="1:9" ht="12.75" customHeight="1" x14ac:dyDescent="0.25">
      <c r="A68" s="154"/>
      <c r="B68" s="154"/>
      <c r="C68" s="154"/>
      <c r="D68" s="154"/>
      <c r="E68" s="154"/>
      <c r="F68" s="154"/>
      <c r="G68" s="154"/>
      <c r="H68" s="154"/>
      <c r="I68" s="154"/>
    </row>
    <row r="69" spans="1:9" ht="12.75" customHeight="1" x14ac:dyDescent="0.25">
      <c r="A69" s="154"/>
      <c r="B69" s="154"/>
      <c r="C69" s="154"/>
      <c r="D69" s="154"/>
      <c r="E69" s="154"/>
      <c r="F69" s="154"/>
      <c r="G69" s="154"/>
      <c r="H69" s="154"/>
      <c r="I69" s="154"/>
    </row>
    <row r="70" spans="1:9" ht="12.75" customHeight="1" x14ac:dyDescent="0.25">
      <c r="A70" s="154"/>
      <c r="B70" s="154"/>
      <c r="C70" s="154"/>
      <c r="D70" s="154"/>
      <c r="E70" s="154"/>
      <c r="F70" s="154"/>
      <c r="G70" s="154"/>
      <c r="H70" s="154"/>
      <c r="I70" s="154"/>
    </row>
    <row r="71" spans="1:9" ht="12.75" customHeight="1" x14ac:dyDescent="0.25">
      <c r="A71" s="154"/>
      <c r="B71" s="154"/>
      <c r="C71" s="154"/>
      <c r="D71" s="154"/>
      <c r="E71" s="154"/>
      <c r="F71" s="154"/>
      <c r="G71" s="154"/>
      <c r="H71" s="154"/>
      <c r="I71" s="154"/>
    </row>
    <row r="72" spans="1:9" ht="12.75" customHeight="1" x14ac:dyDescent="0.25">
      <c r="A72" s="154"/>
      <c r="B72" s="154"/>
      <c r="C72" s="154"/>
      <c r="D72" s="154"/>
      <c r="E72" s="154"/>
      <c r="F72" s="154"/>
      <c r="G72" s="154"/>
      <c r="H72" s="154"/>
      <c r="I72" s="154"/>
    </row>
    <row r="73" spans="1:9" ht="12.75" customHeight="1" x14ac:dyDescent="0.25">
      <c r="A73" s="154"/>
      <c r="B73" s="154"/>
      <c r="C73" s="154"/>
      <c r="D73" s="154"/>
      <c r="E73" s="154"/>
      <c r="F73" s="154"/>
      <c r="G73" s="154"/>
      <c r="H73" s="154"/>
      <c r="I73" s="154"/>
    </row>
    <row r="74" spans="1:9" ht="12.75" customHeight="1" x14ac:dyDescent="0.25">
      <c r="A74" s="154"/>
      <c r="B74" s="154"/>
      <c r="C74" s="154"/>
      <c r="D74" s="154"/>
      <c r="E74" s="154"/>
      <c r="F74" s="154"/>
      <c r="G74" s="154"/>
      <c r="H74" s="154"/>
      <c r="I74" s="154"/>
    </row>
    <row r="75" spans="1:9" ht="12.75" customHeight="1" x14ac:dyDescent="0.25">
      <c r="A75" s="154"/>
      <c r="B75" s="154"/>
      <c r="C75" s="154"/>
      <c r="D75" s="154"/>
      <c r="E75" s="154"/>
      <c r="F75" s="154"/>
      <c r="G75" s="154"/>
      <c r="H75" s="154"/>
      <c r="I75" s="154"/>
    </row>
    <row r="76" spans="1:9" ht="12.75" customHeight="1" x14ac:dyDescent="0.25">
      <c r="A76" s="154"/>
      <c r="B76" s="154"/>
      <c r="C76" s="154"/>
      <c r="D76" s="154"/>
      <c r="E76" s="154"/>
      <c r="F76" s="154"/>
      <c r="G76" s="154"/>
      <c r="H76" s="154"/>
      <c r="I76" s="154"/>
    </row>
    <row r="77" spans="1:9" ht="12.75" customHeight="1" x14ac:dyDescent="0.25">
      <c r="A77" s="154"/>
      <c r="B77" s="154"/>
      <c r="C77" s="154"/>
      <c r="D77" s="154"/>
      <c r="E77" s="154"/>
      <c r="F77" s="154"/>
      <c r="G77" s="154"/>
      <c r="H77" s="154"/>
      <c r="I77" s="154"/>
    </row>
    <row r="78" spans="1:9" ht="12.75" customHeight="1" x14ac:dyDescent="0.25">
      <c r="A78" s="154"/>
      <c r="B78" s="154"/>
      <c r="C78" s="154"/>
      <c r="D78" s="154"/>
      <c r="E78" s="154"/>
      <c r="F78" s="154"/>
      <c r="G78" s="154"/>
      <c r="H78" s="154"/>
      <c r="I78" s="154"/>
    </row>
    <row r="79" spans="1:9" ht="12.75" customHeight="1" x14ac:dyDescent="0.25">
      <c r="A79" s="154"/>
      <c r="B79" s="154"/>
      <c r="C79" s="154"/>
      <c r="D79" s="154"/>
      <c r="E79" s="154"/>
      <c r="F79" s="154"/>
      <c r="G79" s="154"/>
      <c r="H79" s="154"/>
      <c r="I79" s="154"/>
    </row>
    <row r="80" spans="1:9" ht="12.75" customHeight="1" x14ac:dyDescent="0.25">
      <c r="A80" s="154"/>
      <c r="B80" s="154"/>
      <c r="C80" s="154"/>
      <c r="D80" s="154"/>
      <c r="E80" s="154"/>
      <c r="F80" s="154"/>
      <c r="G80" s="154"/>
      <c r="H80" s="154"/>
      <c r="I80" s="154"/>
    </row>
    <row r="81" spans="1:9" ht="12.75" customHeight="1" x14ac:dyDescent="0.25">
      <c r="A81" s="154"/>
      <c r="B81" s="154"/>
      <c r="C81" s="154"/>
      <c r="D81" s="154"/>
      <c r="E81" s="154"/>
      <c r="F81" s="154"/>
      <c r="G81" s="154"/>
      <c r="H81" s="154"/>
      <c r="I81" s="154"/>
    </row>
    <row r="82" spans="1:9" ht="12.75" customHeight="1" x14ac:dyDescent="0.25">
      <c r="A82" s="154"/>
      <c r="B82" s="154"/>
      <c r="C82" s="154"/>
      <c r="D82" s="154"/>
      <c r="E82" s="154"/>
      <c r="F82" s="154"/>
      <c r="G82" s="154"/>
      <c r="H82" s="154"/>
      <c r="I82" s="154"/>
    </row>
    <row r="83" spans="1:9" ht="12.75" customHeight="1" x14ac:dyDescent="0.25">
      <c r="A83" s="154"/>
      <c r="B83" s="154"/>
      <c r="C83" s="154"/>
      <c r="D83" s="154"/>
      <c r="E83" s="154"/>
      <c r="F83" s="154"/>
      <c r="G83" s="154"/>
      <c r="H83" s="154"/>
      <c r="I83" s="154"/>
    </row>
    <row r="84" spans="1:9" ht="12.75" customHeight="1" x14ac:dyDescent="0.25">
      <c r="A84" s="154"/>
      <c r="B84" s="154"/>
      <c r="C84" s="154"/>
      <c r="D84" s="154"/>
      <c r="E84" s="154"/>
      <c r="F84" s="154"/>
      <c r="G84" s="154"/>
      <c r="H84" s="154"/>
      <c r="I84" s="154"/>
    </row>
    <row r="85" spans="1:9" ht="12.75" customHeight="1" x14ac:dyDescent="0.25">
      <c r="A85" s="154"/>
      <c r="B85" s="154"/>
      <c r="C85" s="154"/>
      <c r="D85" s="154"/>
      <c r="E85" s="154"/>
      <c r="F85" s="154"/>
      <c r="G85" s="154"/>
      <c r="H85" s="154"/>
      <c r="I85" s="154"/>
    </row>
    <row r="86" spans="1:9" ht="12.75" customHeight="1" x14ac:dyDescent="0.25">
      <c r="A86" s="154"/>
      <c r="B86" s="154"/>
      <c r="C86" s="154"/>
      <c r="D86" s="154"/>
      <c r="E86" s="154"/>
      <c r="F86" s="154"/>
      <c r="G86" s="154"/>
      <c r="H86" s="154"/>
      <c r="I86" s="154"/>
    </row>
    <row r="87" spans="1:9" ht="12.75" customHeight="1" x14ac:dyDescent="0.25">
      <c r="A87" s="154"/>
      <c r="B87" s="154"/>
      <c r="C87" s="154"/>
      <c r="D87" s="154"/>
      <c r="E87" s="154"/>
      <c r="F87" s="154"/>
      <c r="G87" s="154"/>
      <c r="H87" s="154"/>
      <c r="I87" s="154"/>
    </row>
    <row r="88" spans="1:9" ht="12.75" customHeight="1" x14ac:dyDescent="0.25">
      <c r="A88" s="154"/>
      <c r="B88" s="154"/>
      <c r="C88" s="154"/>
      <c r="D88" s="154"/>
      <c r="E88" s="154"/>
      <c r="F88" s="154"/>
      <c r="G88" s="154"/>
      <c r="H88" s="154"/>
      <c r="I88" s="154"/>
    </row>
    <row r="89" spans="1:9" ht="12.75" customHeight="1" x14ac:dyDescent="0.25">
      <c r="A89" s="154"/>
      <c r="B89" s="154"/>
      <c r="C89" s="154"/>
      <c r="D89" s="154"/>
      <c r="E89" s="154"/>
      <c r="F89" s="154"/>
      <c r="G89" s="154"/>
      <c r="H89" s="154"/>
      <c r="I89" s="154"/>
    </row>
    <row r="90" spans="1:9" ht="12.75" customHeight="1" x14ac:dyDescent="0.25">
      <c r="A90" s="154"/>
      <c r="B90" s="154"/>
      <c r="C90" s="154"/>
      <c r="D90" s="154"/>
      <c r="E90" s="154"/>
      <c r="F90" s="154"/>
      <c r="G90" s="154"/>
      <c r="H90" s="154"/>
      <c r="I90" s="154"/>
    </row>
    <row r="91" spans="1:9" ht="12.75" customHeight="1" x14ac:dyDescent="0.25">
      <c r="A91" s="154"/>
      <c r="B91" s="154"/>
      <c r="C91" s="154"/>
      <c r="D91" s="154"/>
      <c r="E91" s="154"/>
      <c r="F91" s="154"/>
      <c r="G91" s="154"/>
      <c r="H91" s="154"/>
      <c r="I91" s="154"/>
    </row>
    <row r="92" spans="1:9" ht="12.75" customHeight="1" x14ac:dyDescent="0.25">
      <c r="A92" s="154"/>
      <c r="B92" s="154"/>
      <c r="C92" s="154"/>
      <c r="D92" s="154"/>
      <c r="E92" s="154"/>
      <c r="F92" s="154"/>
      <c r="G92" s="154"/>
      <c r="H92" s="154"/>
      <c r="I92" s="154"/>
    </row>
    <row r="93" spans="1:9" ht="12.75" customHeight="1" x14ac:dyDescent="0.25">
      <c r="A93" s="154"/>
      <c r="B93" s="154"/>
      <c r="C93" s="154"/>
      <c r="D93" s="154"/>
      <c r="E93" s="154"/>
      <c r="F93" s="154"/>
      <c r="G93" s="154"/>
      <c r="H93" s="154"/>
      <c r="I93" s="154"/>
    </row>
    <row r="94" spans="1:9" ht="12.75" customHeight="1" x14ac:dyDescent="0.25">
      <c r="A94" s="154"/>
      <c r="B94" s="154"/>
      <c r="C94" s="154"/>
      <c r="D94" s="154"/>
      <c r="E94" s="154"/>
      <c r="F94" s="154"/>
      <c r="G94" s="154"/>
      <c r="H94" s="154"/>
      <c r="I94" s="154"/>
    </row>
    <row r="95" spans="1:9" ht="12.75" customHeight="1" x14ac:dyDescent="0.25">
      <c r="A95" s="154"/>
      <c r="B95" s="154"/>
      <c r="C95" s="154"/>
      <c r="D95" s="154"/>
      <c r="E95" s="154"/>
      <c r="F95" s="154"/>
      <c r="G95" s="154"/>
      <c r="H95" s="154"/>
      <c r="I95" s="154"/>
    </row>
    <row r="96" spans="1:9" ht="12.75" customHeight="1" x14ac:dyDescent="0.25">
      <c r="A96" s="154"/>
      <c r="B96" s="154"/>
      <c r="C96" s="154"/>
      <c r="D96" s="154"/>
      <c r="E96" s="154"/>
      <c r="F96" s="154"/>
      <c r="G96" s="154"/>
      <c r="H96" s="154"/>
      <c r="I96" s="154"/>
    </row>
    <row r="97" spans="1:9" ht="12.75" customHeight="1" x14ac:dyDescent="0.25">
      <c r="A97" s="154"/>
      <c r="B97" s="154"/>
      <c r="C97" s="154"/>
      <c r="D97" s="154"/>
      <c r="E97" s="154"/>
      <c r="F97" s="154"/>
      <c r="G97" s="154"/>
      <c r="H97" s="154"/>
      <c r="I97" s="154"/>
    </row>
    <row r="98" spans="1:9" ht="12.75" customHeight="1" x14ac:dyDescent="0.25">
      <c r="A98" s="154"/>
      <c r="B98" s="154"/>
      <c r="C98" s="154"/>
      <c r="D98" s="154"/>
      <c r="E98" s="154"/>
      <c r="F98" s="154"/>
      <c r="G98" s="154"/>
      <c r="H98" s="154"/>
      <c r="I98" s="154"/>
    </row>
    <row r="99" spans="1:9" ht="12.75" customHeight="1" x14ac:dyDescent="0.25">
      <c r="A99" s="154"/>
      <c r="B99" s="154"/>
      <c r="C99" s="154"/>
      <c r="D99" s="154"/>
      <c r="E99" s="154"/>
      <c r="F99" s="154"/>
      <c r="G99" s="154"/>
      <c r="H99" s="154"/>
      <c r="I99" s="154"/>
    </row>
    <row r="100" spans="1:9" ht="12.75" customHeight="1" x14ac:dyDescent="0.25">
      <c r="A100" s="154"/>
      <c r="B100" s="154"/>
      <c r="C100" s="154"/>
      <c r="D100" s="154"/>
      <c r="E100" s="154"/>
      <c r="F100" s="154"/>
      <c r="G100" s="154"/>
      <c r="H100" s="154"/>
      <c r="I100" s="154"/>
    </row>
    <row r="101" spans="1:9" ht="12.75" customHeight="1" x14ac:dyDescent="0.25">
      <c r="A101" s="154"/>
      <c r="B101" s="154"/>
      <c r="C101" s="154"/>
      <c r="D101" s="154"/>
      <c r="E101" s="154"/>
      <c r="F101" s="154"/>
      <c r="G101" s="154"/>
      <c r="H101" s="154"/>
      <c r="I101" s="154"/>
    </row>
    <row r="102" spans="1:9" ht="12.75" customHeight="1" x14ac:dyDescent="0.25">
      <c r="A102" s="154"/>
      <c r="B102" s="154"/>
      <c r="C102" s="154"/>
      <c r="D102" s="154"/>
      <c r="E102" s="154"/>
      <c r="F102" s="154"/>
      <c r="G102" s="154"/>
      <c r="H102" s="154"/>
      <c r="I102" s="154"/>
    </row>
    <row r="103" spans="1:9" ht="12.75" customHeight="1" x14ac:dyDescent="0.25">
      <c r="A103" s="154"/>
      <c r="B103" s="154"/>
      <c r="C103" s="154"/>
      <c r="D103" s="154"/>
      <c r="E103" s="154"/>
      <c r="F103" s="154"/>
      <c r="G103" s="154"/>
      <c r="H103" s="154"/>
      <c r="I103" s="154"/>
    </row>
    <row r="104" spans="1:9" ht="12.75" customHeight="1" x14ac:dyDescent="0.25">
      <c r="A104" s="154"/>
      <c r="B104" s="154"/>
      <c r="C104" s="154"/>
      <c r="D104" s="154"/>
      <c r="E104" s="154"/>
      <c r="F104" s="154"/>
      <c r="G104" s="154"/>
      <c r="H104" s="154"/>
      <c r="I104" s="154"/>
    </row>
    <row r="105" spans="1:9" ht="12.75" customHeight="1" x14ac:dyDescent="0.25">
      <c r="A105" s="154"/>
      <c r="B105" s="154"/>
      <c r="C105" s="154"/>
      <c r="D105" s="154"/>
      <c r="E105" s="154"/>
      <c r="F105" s="154"/>
      <c r="G105" s="154"/>
      <c r="H105" s="154"/>
      <c r="I105" s="154"/>
    </row>
    <row r="106" spans="1:9" ht="12.75" customHeight="1" x14ac:dyDescent="0.25">
      <c r="A106" s="154"/>
      <c r="B106" s="154"/>
      <c r="C106" s="154"/>
      <c r="D106" s="154"/>
      <c r="E106" s="154"/>
      <c r="F106" s="154"/>
      <c r="G106" s="154"/>
      <c r="H106" s="154"/>
      <c r="I106" s="154"/>
    </row>
    <row r="107" spans="1:9" ht="12.75" customHeight="1" x14ac:dyDescent="0.25">
      <c r="A107" s="154"/>
      <c r="B107" s="154"/>
      <c r="C107" s="154"/>
      <c r="D107" s="154"/>
      <c r="E107" s="154"/>
      <c r="F107" s="154"/>
      <c r="G107" s="154"/>
      <c r="H107" s="154"/>
      <c r="I107" s="154"/>
    </row>
    <row r="108" spans="1:9" ht="12.75" customHeight="1" x14ac:dyDescent="0.25">
      <c r="A108" s="154"/>
      <c r="B108" s="154"/>
      <c r="C108" s="154"/>
      <c r="D108" s="154"/>
      <c r="E108" s="154"/>
      <c r="F108" s="154"/>
      <c r="G108" s="154"/>
      <c r="H108" s="154"/>
      <c r="I108" s="154"/>
    </row>
    <row r="109" spans="1:9" ht="12.75" customHeight="1" x14ac:dyDescent="0.25">
      <c r="A109" s="154"/>
      <c r="B109" s="154"/>
      <c r="C109" s="154"/>
      <c r="D109" s="154"/>
      <c r="E109" s="154"/>
      <c r="F109" s="154"/>
      <c r="G109" s="154"/>
      <c r="H109" s="154"/>
      <c r="I109" s="154"/>
    </row>
    <row r="110" spans="1:9" ht="12.75" customHeight="1" x14ac:dyDescent="0.25">
      <c r="A110" s="154"/>
      <c r="B110" s="154"/>
      <c r="C110" s="154"/>
      <c r="D110" s="154"/>
      <c r="E110" s="154"/>
      <c r="F110" s="154"/>
      <c r="G110" s="154"/>
      <c r="H110" s="154"/>
      <c r="I110" s="154"/>
    </row>
    <row r="111" spans="1:9" ht="12.75" customHeight="1" x14ac:dyDescent="0.25">
      <c r="A111" s="154"/>
      <c r="B111" s="154"/>
      <c r="C111" s="154"/>
      <c r="D111" s="154"/>
      <c r="E111" s="154"/>
      <c r="F111" s="154"/>
      <c r="G111" s="154"/>
      <c r="H111" s="154"/>
      <c r="I111" s="154"/>
    </row>
    <row r="112" spans="1:9" ht="12.75" customHeight="1" x14ac:dyDescent="0.25">
      <c r="A112" s="154"/>
      <c r="B112" s="154"/>
      <c r="C112" s="154"/>
      <c r="D112" s="154"/>
      <c r="E112" s="154"/>
      <c r="F112" s="154"/>
      <c r="G112" s="154"/>
      <c r="H112" s="154"/>
      <c r="I112" s="154"/>
    </row>
    <row r="113" spans="1:9" ht="12.75" customHeight="1" x14ac:dyDescent="0.25">
      <c r="A113" s="154"/>
      <c r="B113" s="154"/>
      <c r="C113" s="154"/>
      <c r="D113" s="154"/>
      <c r="E113" s="154"/>
      <c r="F113" s="154"/>
      <c r="G113" s="154"/>
      <c r="H113" s="154"/>
      <c r="I113" s="154"/>
    </row>
    <row r="114" spans="1:9" ht="12.75" customHeight="1" x14ac:dyDescent="0.25">
      <c r="A114" s="154"/>
      <c r="B114" s="154"/>
      <c r="C114" s="154"/>
      <c r="D114" s="154"/>
      <c r="E114" s="154"/>
      <c r="F114" s="154"/>
      <c r="G114" s="154"/>
      <c r="H114" s="154"/>
      <c r="I114" s="154"/>
    </row>
    <row r="115" spans="1:9" ht="12.75" customHeight="1" x14ac:dyDescent="0.25">
      <c r="A115" s="154"/>
      <c r="B115" s="154"/>
      <c r="C115" s="154"/>
      <c r="D115" s="154"/>
      <c r="E115" s="154"/>
      <c r="F115" s="154"/>
      <c r="G115" s="154"/>
      <c r="H115" s="154"/>
      <c r="I115" s="154"/>
    </row>
    <row r="116" spans="1:9" ht="12.75" customHeight="1" x14ac:dyDescent="0.25">
      <c r="A116" s="154"/>
      <c r="B116" s="154"/>
      <c r="C116" s="154"/>
      <c r="D116" s="154"/>
      <c r="E116" s="154"/>
      <c r="F116" s="154"/>
      <c r="G116" s="154"/>
      <c r="H116" s="154"/>
      <c r="I116" s="154"/>
    </row>
    <row r="117" spans="1:9" ht="12.75" customHeight="1" x14ac:dyDescent="0.25">
      <c r="A117" s="154"/>
      <c r="B117" s="154"/>
      <c r="C117" s="154"/>
      <c r="D117" s="154"/>
      <c r="E117" s="154"/>
      <c r="F117" s="154"/>
      <c r="G117" s="154"/>
      <c r="H117" s="154"/>
      <c r="I117" s="154"/>
    </row>
    <row r="118" spans="1:9" ht="12.75" customHeight="1" x14ac:dyDescent="0.25">
      <c r="A118" s="154"/>
      <c r="B118" s="154"/>
      <c r="C118" s="154"/>
      <c r="D118" s="154"/>
      <c r="E118" s="154"/>
      <c r="F118" s="154"/>
      <c r="G118" s="154"/>
      <c r="H118" s="154"/>
      <c r="I118" s="154"/>
    </row>
    <row r="119" spans="1:9" ht="12.75" customHeight="1" x14ac:dyDescent="0.25">
      <c r="A119" s="154"/>
      <c r="B119" s="154"/>
      <c r="C119" s="154"/>
      <c r="D119" s="154"/>
      <c r="E119" s="154"/>
      <c r="F119" s="154"/>
      <c r="G119" s="154"/>
      <c r="H119" s="154"/>
      <c r="I119" s="154"/>
    </row>
    <row r="120" spans="1:9" ht="12.75" customHeight="1" x14ac:dyDescent="0.25">
      <c r="A120" s="154"/>
      <c r="B120" s="154"/>
      <c r="C120" s="154"/>
      <c r="D120" s="154"/>
      <c r="E120" s="154"/>
      <c r="F120" s="154"/>
      <c r="G120" s="154"/>
      <c r="H120" s="154"/>
      <c r="I120" s="154"/>
    </row>
    <row r="121" spans="1:9" ht="12.75" customHeight="1" x14ac:dyDescent="0.25">
      <c r="C121" s="154"/>
      <c r="D121" s="154"/>
      <c r="E121" s="154"/>
      <c r="F121" s="154"/>
      <c r="G121" s="154"/>
      <c r="H121" s="154"/>
      <c r="I121" s="154"/>
    </row>
    <row r="122" spans="1:9" ht="12.75" customHeight="1" x14ac:dyDescent="0.25">
      <c r="C122" s="154"/>
      <c r="D122" s="154"/>
      <c r="E122" s="154"/>
      <c r="F122" s="154"/>
      <c r="G122" s="154"/>
      <c r="H122" s="154"/>
      <c r="I122" s="154"/>
    </row>
    <row r="123" spans="1:9" ht="12.75" customHeight="1" x14ac:dyDescent="0.25">
      <c r="C123" s="154"/>
      <c r="D123" s="154"/>
      <c r="E123" s="154"/>
      <c r="F123" s="154"/>
      <c r="G123" s="154"/>
      <c r="H123" s="154"/>
      <c r="I123" s="154"/>
    </row>
    <row r="124" spans="1:9" ht="12.75" customHeight="1" x14ac:dyDescent="0.25">
      <c r="C124" s="154"/>
      <c r="D124" s="154"/>
      <c r="E124" s="154"/>
      <c r="F124" s="154"/>
      <c r="G124" s="154"/>
      <c r="H124" s="154"/>
      <c r="I124" s="154"/>
    </row>
  </sheetData>
  <mergeCells count="31">
    <mergeCell ref="A1:B1"/>
    <mergeCell ref="C1:F1"/>
    <mergeCell ref="G5:H5"/>
    <mergeCell ref="C6:D6"/>
    <mergeCell ref="E6:F6"/>
    <mergeCell ref="A5:B5"/>
    <mergeCell ref="C5:D5"/>
    <mergeCell ref="E5:F5"/>
    <mergeCell ref="A25:B25"/>
    <mergeCell ref="G6:H6"/>
    <mergeCell ref="A26:B26"/>
    <mergeCell ref="E26:F26"/>
    <mergeCell ref="A6:B6"/>
    <mergeCell ref="A7:B7"/>
    <mergeCell ref="C7:D7"/>
    <mergeCell ref="C23:D23"/>
    <mergeCell ref="E23:F23"/>
    <mergeCell ref="C25:D25"/>
    <mergeCell ref="C26:D26"/>
    <mergeCell ref="E7:F7"/>
    <mergeCell ref="O24:P24"/>
    <mergeCell ref="E24:F24"/>
    <mergeCell ref="H37:H45"/>
    <mergeCell ref="G44:G45"/>
    <mergeCell ref="C27:D27"/>
    <mergeCell ref="M25:N25"/>
    <mergeCell ref="I26:J26"/>
    <mergeCell ref="K26:L26"/>
    <mergeCell ref="K24:L24"/>
    <mergeCell ref="M24:N24"/>
    <mergeCell ref="I25:J25"/>
  </mergeCells>
  <phoneticPr fontId="10" type="noConversion"/>
  <pageMargins left="0.53" right="0.26" top="0.63" bottom="0.66" header="0.5" footer="0.5"/>
  <pageSetup scale="6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zoomScale="80" zoomScaleNormal="80" workbookViewId="0">
      <selection activeCell="A10" sqref="A10"/>
    </sheetView>
  </sheetViews>
  <sheetFormatPr defaultColWidth="12" defaultRowHeight="13.2" x14ac:dyDescent="0.25"/>
  <cols>
    <col min="1" max="1" width="40.6640625" style="1" customWidth="1"/>
    <col min="2" max="2" width="34" style="1" customWidth="1"/>
    <col min="3" max="3" width="37.6640625" style="1" customWidth="1"/>
    <col min="4" max="4" width="30.88671875" style="1" customWidth="1"/>
    <col min="5" max="5" width="31.88671875" style="1" customWidth="1"/>
    <col min="6" max="16384" width="12" style="1"/>
  </cols>
  <sheetData>
    <row r="1" spans="1:7" ht="68.25" customHeight="1" x14ac:dyDescent="0.25">
      <c r="E1" s="155" t="s">
        <v>443</v>
      </c>
    </row>
    <row r="2" spans="1:7" ht="33" customHeight="1" x14ac:dyDescent="0.3">
      <c r="A2" s="906" t="s">
        <v>231</v>
      </c>
      <c r="B2" s="1832" t="s">
        <v>762</v>
      </c>
      <c r="C2" s="1832"/>
      <c r="D2" s="1832"/>
      <c r="E2" s="1832"/>
    </row>
    <row r="3" spans="1:7" ht="21" x14ac:dyDescent="0.25">
      <c r="B3" s="157" t="s">
        <v>444</v>
      </c>
      <c r="C3" s="158">
        <f>+Cover!A10</f>
        <v>43770</v>
      </c>
      <c r="D3" s="159"/>
      <c r="E3" s="159"/>
    </row>
    <row r="4" spans="1:7" ht="24.6" x14ac:dyDescent="0.25">
      <c r="A4" s="160"/>
      <c r="B4" s="156"/>
      <c r="C4" s="156"/>
      <c r="D4" s="156"/>
      <c r="E4" s="156"/>
    </row>
    <row r="5" spans="1:7" ht="22.8" x14ac:dyDescent="0.25">
      <c r="A5" s="161"/>
      <c r="B5" s="161"/>
      <c r="D5" s="162"/>
      <c r="E5" s="162"/>
    </row>
    <row r="6" spans="1:7" ht="15.6" x14ac:dyDescent="0.25">
      <c r="A6" s="1833" t="s">
        <v>445</v>
      </c>
      <c r="B6" s="1834"/>
      <c r="C6" s="1834"/>
      <c r="D6" s="1834"/>
      <c r="E6" s="1835"/>
    </row>
    <row r="7" spans="1:7" ht="15" x14ac:dyDescent="0.25">
      <c r="A7" s="163"/>
      <c r="B7" s="21"/>
      <c r="C7" s="30"/>
      <c r="D7" s="21"/>
      <c r="E7" s="128"/>
    </row>
    <row r="8" spans="1:7" ht="15" x14ac:dyDescent="0.25">
      <c r="A8" s="164"/>
      <c r="B8" s="165" t="s">
        <v>891</v>
      </c>
      <c r="C8" s="11" t="s">
        <v>892</v>
      </c>
      <c r="D8" s="165" t="s">
        <v>446</v>
      </c>
      <c r="E8" s="166" t="s">
        <v>892</v>
      </c>
    </row>
    <row r="9" spans="1:7" ht="15" x14ac:dyDescent="0.25">
      <c r="A9" s="167" t="s">
        <v>300</v>
      </c>
      <c r="B9" s="168" t="s">
        <v>447</v>
      </c>
      <c r="C9" s="169" t="s">
        <v>448</v>
      </c>
      <c r="D9" s="165" t="s">
        <v>449</v>
      </c>
      <c r="E9" s="170" t="s">
        <v>450</v>
      </c>
    </row>
    <row r="10" spans="1:7" ht="15" x14ac:dyDescent="0.25">
      <c r="A10" s="171"/>
      <c r="B10" s="172" t="s">
        <v>451</v>
      </c>
      <c r="C10" s="173" t="s">
        <v>451</v>
      </c>
      <c r="D10" s="174" t="s">
        <v>451</v>
      </c>
      <c r="E10" s="175" t="s">
        <v>451</v>
      </c>
    </row>
    <row r="11" spans="1:7" ht="15" x14ac:dyDescent="0.25">
      <c r="A11" s="176"/>
      <c r="B11" s="177"/>
      <c r="C11" s="178"/>
      <c r="D11" s="179"/>
      <c r="E11" s="892"/>
    </row>
    <row r="12" spans="1:7" ht="15" x14ac:dyDescent="0.25">
      <c r="A12" s="180" t="s">
        <v>452</v>
      </c>
      <c r="B12" s="181">
        <f>'Rates in summary'!H15</f>
        <v>6.6799999999999984E-2</v>
      </c>
      <c r="C12" s="182">
        <f>'Rates in summary'!E15+'Rates in summary'!F15</f>
        <v>-2.1049999999999999E-2</v>
      </c>
      <c r="D12" s="181">
        <f>'Rates in summary'!P15</f>
        <v>0</v>
      </c>
      <c r="E12" s="1529">
        <f>B12+C12+D12</f>
        <v>4.5749999999999985E-2</v>
      </c>
      <c r="G12" s="891"/>
    </row>
    <row r="13" spans="1:7" ht="15" x14ac:dyDescent="0.25">
      <c r="A13" s="180" t="s">
        <v>453</v>
      </c>
      <c r="B13" s="181">
        <f>'Rates in summary'!H16</f>
        <v>6.5949999999999981E-2</v>
      </c>
      <c r="C13" s="182">
        <f>'Rates in summary'!E16+'Rates in summary'!F16</f>
        <v>-2.1049999999999999E-2</v>
      </c>
      <c r="D13" s="181">
        <f>'Rates in summary'!P14</f>
        <v>0</v>
      </c>
      <c r="E13" s="1529">
        <f t="shared" ref="E13:E16" si="0">B13+C13+D13</f>
        <v>4.4899999999999982E-2</v>
      </c>
    </row>
    <row r="14" spans="1:7" ht="15" x14ac:dyDescent="0.25">
      <c r="A14" s="180" t="s">
        <v>454</v>
      </c>
      <c r="B14" s="181">
        <f>'Rates in summary'!H19</f>
        <v>6.4920000000000005E-2</v>
      </c>
      <c r="C14" s="182">
        <f>'Rates in summary'!E19+'Rates in summary'!F19</f>
        <v>-2.0650000000000002E-2</v>
      </c>
      <c r="D14" s="181">
        <f>'Rates in summary'!P19</f>
        <v>0</v>
      </c>
      <c r="E14" s="1529">
        <f t="shared" si="0"/>
        <v>4.4270000000000004E-2</v>
      </c>
      <c r="G14" s="28"/>
    </row>
    <row r="15" spans="1:7" ht="15" x14ac:dyDescent="0.25">
      <c r="A15" s="180" t="s">
        <v>455</v>
      </c>
      <c r="B15" s="181">
        <f>'Rates in summary'!H35</f>
        <v>5.9159999999999997E-2</v>
      </c>
      <c r="C15" s="182">
        <f>'Rates in summary'!E35+'Rates in summary'!F35</f>
        <v>-2.0650000000000002E-2</v>
      </c>
      <c r="D15" s="181">
        <f>'Rates in summary'!P29</f>
        <v>0</v>
      </c>
      <c r="E15" s="1529">
        <f t="shared" si="0"/>
        <v>3.8509999999999996E-2</v>
      </c>
    </row>
    <row r="16" spans="1:7" ht="15" x14ac:dyDescent="0.25">
      <c r="A16" s="183" t="s">
        <v>456</v>
      </c>
      <c r="B16" s="184">
        <f>'Rates in summary'!H53</f>
        <v>6.1059999999999989E-2</v>
      </c>
      <c r="C16" s="184">
        <f>'Rates in summary'!E53+'Rates in summary'!F53</f>
        <v>-2.0650000000000002E-2</v>
      </c>
      <c r="D16" s="184">
        <f>'Rates in summary'!P53</f>
        <v>0</v>
      </c>
      <c r="E16" s="1530">
        <f t="shared" si="0"/>
        <v>4.0409999999999988E-2</v>
      </c>
    </row>
    <row r="17" spans="1:7" ht="17.399999999999999" x14ac:dyDescent="0.25">
      <c r="A17" s="185"/>
      <c r="B17" s="186"/>
      <c r="C17" s="8"/>
      <c r="D17" s="187"/>
      <c r="E17" s="188"/>
    </row>
    <row r="18" spans="1:7" ht="17.399999999999999" x14ac:dyDescent="0.25">
      <c r="A18" s="185"/>
      <c r="B18" s="186"/>
      <c r="C18" s="8"/>
      <c r="D18" s="187"/>
      <c r="E18" s="188"/>
    </row>
    <row r="19" spans="1:7" ht="18" thickBot="1" x14ac:dyDescent="0.3">
      <c r="A19" s="189"/>
      <c r="B19" s="189"/>
      <c r="C19" s="190"/>
      <c r="D19" s="190"/>
      <c r="E19" s="190"/>
    </row>
    <row r="20" spans="1:7" ht="18" customHeight="1" x14ac:dyDescent="0.25">
      <c r="A20" s="1839" t="s">
        <v>763</v>
      </c>
      <c r="B20" s="1840"/>
      <c r="C20" s="1840"/>
      <c r="D20" s="1841"/>
      <c r="E20" s="1535"/>
    </row>
    <row r="21" spans="1:7" ht="15" x14ac:dyDescent="0.25">
      <c r="A21" s="908"/>
      <c r="B21" s="191" t="s">
        <v>350</v>
      </c>
      <c r="C21" s="191" t="s">
        <v>350</v>
      </c>
      <c r="D21" s="467" t="s">
        <v>457</v>
      </c>
      <c r="E21" s="1536"/>
    </row>
    <row r="22" spans="1:7" ht="31.5" customHeight="1" x14ac:dyDescent="0.25">
      <c r="A22" s="909" t="s">
        <v>300</v>
      </c>
      <c r="B22" s="192">
        <f>+C22-365</f>
        <v>43405</v>
      </c>
      <c r="C22" s="192">
        <f>+EFFDATE</f>
        <v>43770</v>
      </c>
      <c r="D22" s="1534" t="s">
        <v>1149</v>
      </c>
      <c r="E22" s="1537"/>
    </row>
    <row r="23" spans="1:7" ht="15.6" x14ac:dyDescent="0.25">
      <c r="A23" s="193"/>
      <c r="B23" s="21"/>
      <c r="C23" s="8"/>
      <c r="D23" s="1531"/>
      <c r="E23" s="907"/>
    </row>
    <row r="24" spans="1:7" ht="15" x14ac:dyDescent="0.25">
      <c r="A24" s="194" t="s">
        <v>458</v>
      </c>
      <c r="B24" s="181">
        <f>'Rates in detail'!D15</f>
        <v>0.73545999999999978</v>
      </c>
      <c r="C24" s="182">
        <f>'Rates in detail'!$V$15</f>
        <v>0.78120999999999974</v>
      </c>
      <c r="D24" s="1532">
        <f>+(C24-B24)/B24</f>
        <v>6.2205966333995014E-2</v>
      </c>
      <c r="E24" s="1538"/>
      <c r="G24" s="891"/>
    </row>
    <row r="25" spans="1:7" ht="15" x14ac:dyDescent="0.25">
      <c r="A25" s="194" t="s">
        <v>453</v>
      </c>
      <c r="B25" s="195">
        <f>'Rates in detail'!D16</f>
        <v>0.73534000000000033</v>
      </c>
      <c r="C25" s="195">
        <f>'Rates in detail'!$V$16</f>
        <v>0.78024000000000027</v>
      </c>
      <c r="D25" s="1532">
        <f>+(C25-B25)/B25</f>
        <v>6.1060189844153616E-2</v>
      </c>
      <c r="E25" s="1538"/>
      <c r="G25" s="891"/>
    </row>
    <row r="26" spans="1:7" ht="15" x14ac:dyDescent="0.25">
      <c r="A26" s="194" t="s">
        <v>454</v>
      </c>
      <c r="B26" s="195">
        <f>'Rates in detail'!D19</f>
        <v>0.49926000000000026</v>
      </c>
      <c r="C26" s="195">
        <f>'Rates in detail'!$V$19</f>
        <v>0.54353000000000029</v>
      </c>
      <c r="D26" s="1532">
        <f>+(C26-B26)/B26</f>
        <v>8.8671233425469717E-2</v>
      </c>
      <c r="E26" s="1538"/>
    </row>
    <row r="27" spans="1:7" ht="15" x14ac:dyDescent="0.25">
      <c r="A27" s="194" t="s">
        <v>455</v>
      </c>
      <c r="B27" s="195">
        <f>'Rates in detail'!D35</f>
        <v>0.29139999999999999</v>
      </c>
      <c r="C27" s="195">
        <f>'Rates in detail'!$V$35</f>
        <v>0.32991000000000004</v>
      </c>
      <c r="D27" s="1532">
        <f>+(C27-B27)/B27</f>
        <v>0.13215511324639687</v>
      </c>
      <c r="E27" s="1538"/>
    </row>
    <row r="28" spans="1:7" ht="15" x14ac:dyDescent="0.25">
      <c r="A28" s="194" t="s">
        <v>459</v>
      </c>
      <c r="B28" s="195">
        <f>'Rates in detail'!D53</f>
        <v>0.30886999999999998</v>
      </c>
      <c r="C28" s="195">
        <f>'Rates in detail'!$V$53</f>
        <v>0.34927999999999992</v>
      </c>
      <c r="D28" s="1532">
        <f>+(C28-B28)/B28</f>
        <v>0.13083174150937271</v>
      </c>
      <c r="E28" s="1538"/>
    </row>
    <row r="29" spans="1:7" ht="15.6" thickBot="1" x14ac:dyDescent="0.3">
      <c r="A29" s="196"/>
      <c r="B29" s="197"/>
      <c r="C29" s="197"/>
      <c r="D29" s="1533"/>
      <c r="E29" s="1539"/>
    </row>
    <row r="30" spans="1:7" ht="17.399999999999999" x14ac:dyDescent="0.25">
      <c r="B30" s="189"/>
      <c r="C30" s="190"/>
      <c r="D30" s="198"/>
    </row>
    <row r="31" spans="1:7" ht="9" customHeight="1" x14ac:dyDescent="0.25">
      <c r="B31" s="189"/>
      <c r="C31" s="190"/>
      <c r="D31" s="198"/>
      <c r="E31" s="8"/>
    </row>
    <row r="32" spans="1:7" ht="18" thickBot="1" x14ac:dyDescent="0.3">
      <c r="A32" s="199"/>
      <c r="B32" s="199"/>
      <c r="C32" s="200"/>
      <c r="D32" s="201"/>
      <c r="E32" s="202"/>
    </row>
    <row r="33" spans="1:7" ht="18" thickBot="1" x14ac:dyDescent="0.3">
      <c r="A33" s="1836" t="s">
        <v>460</v>
      </c>
      <c r="B33" s="1837"/>
      <c r="C33" s="1837"/>
      <c r="D33" s="1837"/>
      <c r="E33" s="1838"/>
    </row>
    <row r="34" spans="1:7" ht="18.75" customHeight="1" x14ac:dyDescent="0.25">
      <c r="A34" s="26"/>
      <c r="B34" s="203"/>
      <c r="C34" s="8"/>
      <c r="D34" s="203"/>
      <c r="E34" s="204"/>
      <c r="F34" s="8"/>
    </row>
    <row r="35" spans="1:7" ht="17.399999999999999" x14ac:dyDescent="0.25">
      <c r="A35" s="205" t="s">
        <v>461</v>
      </c>
      <c r="B35" s="8"/>
      <c r="C35" s="8"/>
      <c r="D35" s="8"/>
      <c r="E35" s="1540">
        <f>+Inputs!B57</f>
        <v>5371819</v>
      </c>
      <c r="F35" s="8"/>
      <c r="G35" s="891"/>
    </row>
    <row r="36" spans="1:7" ht="17.399999999999999" x14ac:dyDescent="0.25">
      <c r="A36" s="205"/>
      <c r="B36" s="8"/>
      <c r="C36" s="8"/>
      <c r="D36" s="8"/>
      <c r="E36" s="1541"/>
      <c r="F36" s="8"/>
    </row>
    <row r="37" spans="1:7" ht="17.399999999999999" x14ac:dyDescent="0.25">
      <c r="A37" s="205" t="s">
        <v>462</v>
      </c>
      <c r="B37" s="8"/>
      <c r="C37" s="8"/>
      <c r="D37" s="8"/>
      <c r="E37" s="1540">
        <f>+Inputs!B58</f>
        <v>-1351954</v>
      </c>
      <c r="F37" s="8"/>
    </row>
    <row r="38" spans="1:7" ht="17.399999999999999" x14ac:dyDescent="0.25">
      <c r="A38" s="205"/>
      <c r="B38" s="8"/>
      <c r="C38" s="8"/>
      <c r="D38" s="8"/>
      <c r="E38" s="1540"/>
      <c r="F38" s="8"/>
    </row>
    <row r="39" spans="1:7" ht="17.399999999999999" x14ac:dyDescent="0.25">
      <c r="A39" s="205" t="s">
        <v>463</v>
      </c>
      <c r="B39" s="8"/>
      <c r="C39" s="8"/>
      <c r="D39" s="8"/>
      <c r="E39" s="1540">
        <f>+Inputs!B59</f>
        <v>0</v>
      </c>
      <c r="F39" s="8"/>
    </row>
    <row r="40" spans="1:7" ht="17.399999999999999" x14ac:dyDescent="0.25">
      <c r="A40" s="205"/>
      <c r="B40" s="8"/>
      <c r="C40" s="8"/>
      <c r="D40" s="8"/>
      <c r="E40" s="1540"/>
      <c r="F40" s="8"/>
    </row>
    <row r="41" spans="1:7" ht="17.399999999999999" x14ac:dyDescent="0.25">
      <c r="A41" s="206" t="s">
        <v>464</v>
      </c>
      <c r="B41" s="8"/>
      <c r="C41" s="8"/>
      <c r="D41" s="8"/>
      <c r="E41" s="1540">
        <f>SUM(E35+E37+E39)</f>
        <v>4019865</v>
      </c>
      <c r="F41" s="8"/>
    </row>
    <row r="42" spans="1:7" x14ac:dyDescent="0.25">
      <c r="A42" s="26"/>
      <c r="B42" s="8"/>
      <c r="C42" s="8"/>
      <c r="D42" s="8"/>
      <c r="E42" s="1542"/>
      <c r="F42" s="8"/>
    </row>
    <row r="43" spans="1:7" ht="17.399999999999999" x14ac:dyDescent="0.25">
      <c r="A43" s="205" t="s">
        <v>465</v>
      </c>
      <c r="B43" s="8"/>
      <c r="C43" s="8"/>
      <c r="D43" s="8"/>
      <c r="E43" s="1543">
        <f>+'Avg Bill by RS'!W15-'Avg Bill by RS'!I15</f>
        <v>2.6099999999999994</v>
      </c>
      <c r="F43" s="8"/>
    </row>
    <row r="44" spans="1:7" ht="17.399999999999999" x14ac:dyDescent="0.25">
      <c r="A44" s="205"/>
      <c r="B44" s="8"/>
      <c r="C44" s="8"/>
      <c r="D44" s="8"/>
      <c r="E44" s="1543"/>
      <c r="F44" s="8"/>
    </row>
    <row r="45" spans="1:7" ht="17.399999999999999" x14ac:dyDescent="0.25">
      <c r="A45" s="205" t="s">
        <v>466</v>
      </c>
      <c r="B45" s="8"/>
      <c r="C45" s="8"/>
      <c r="D45" s="8"/>
      <c r="E45" s="1543">
        <f>+'Avg Bill by RS'!W16-'Avg Bill by RS'!I16</f>
        <v>11.139999999999986</v>
      </c>
      <c r="F45" s="8"/>
    </row>
    <row r="46" spans="1:7" ht="17.399999999999999" x14ac:dyDescent="0.25">
      <c r="A46" s="205"/>
      <c r="B46" s="8"/>
      <c r="C46" s="8"/>
      <c r="D46" s="8"/>
      <c r="E46" s="1544"/>
      <c r="F46" s="8"/>
    </row>
    <row r="47" spans="1:7" ht="17.399999999999999" x14ac:dyDescent="0.25">
      <c r="A47" s="205" t="s">
        <v>751</v>
      </c>
      <c r="B47" s="8"/>
      <c r="C47" s="8"/>
      <c r="D47" s="8"/>
      <c r="E47" s="1543">
        <f>+'Avg Bill by RS'!W47-'Avg Bill by RS'!I47</f>
        <v>490.1899999999996</v>
      </c>
      <c r="F47" s="8"/>
    </row>
    <row r="48" spans="1:7" ht="18" thickBot="1" x14ac:dyDescent="0.3">
      <c r="A48" s="25"/>
      <c r="B48" s="208"/>
      <c r="C48" s="208"/>
      <c r="D48" s="208"/>
      <c r="E48" s="1545"/>
      <c r="F48" s="8"/>
    </row>
    <row r="49" spans="1:6" ht="17.399999999999999" x14ac:dyDescent="0.25">
      <c r="A49" s="203"/>
      <c r="B49" s="203"/>
      <c r="C49" s="203"/>
      <c r="D49" s="203"/>
      <c r="E49" s="203"/>
      <c r="F49" s="8"/>
    </row>
    <row r="50" spans="1:6" ht="17.399999999999999" x14ac:dyDescent="0.25">
      <c r="A50" s="200"/>
      <c r="B50" s="200"/>
      <c r="C50" s="200"/>
      <c r="D50" s="200"/>
      <c r="E50" s="200"/>
      <c r="F50" s="8"/>
    </row>
    <row r="51" spans="1:6" ht="17.399999999999999" x14ac:dyDescent="0.25">
      <c r="A51" s="1198"/>
      <c r="B51" s="209"/>
      <c r="C51" s="209"/>
      <c r="D51" s="209"/>
      <c r="E51" s="209"/>
    </row>
    <row r="52" spans="1:6" ht="17.399999999999999" x14ac:dyDescent="0.25">
      <c r="A52" s="209"/>
      <c r="B52" s="209"/>
      <c r="C52" s="209"/>
      <c r="D52" s="209"/>
      <c r="E52" s="209"/>
    </row>
    <row r="53" spans="1:6" ht="17.399999999999999" x14ac:dyDescent="0.25">
      <c r="A53" s="1146"/>
      <c r="B53" s="209"/>
      <c r="C53" s="209"/>
      <c r="D53" s="209"/>
      <c r="E53" s="209"/>
    </row>
    <row r="54" spans="1:6" ht="17.399999999999999" x14ac:dyDescent="0.25">
      <c r="A54" s="209"/>
      <c r="B54" s="209"/>
      <c r="C54" s="209"/>
      <c r="D54" s="209"/>
      <c r="E54" s="209"/>
    </row>
    <row r="55" spans="1:6" ht="17.399999999999999" x14ac:dyDescent="0.25">
      <c r="A55" s="200"/>
      <c r="B55" s="200"/>
      <c r="C55" s="200"/>
      <c r="D55" s="200"/>
      <c r="E55" s="200"/>
    </row>
    <row r="59" spans="1:6" ht="17.399999999999999" x14ac:dyDescent="0.25">
      <c r="E59" s="210"/>
    </row>
    <row r="64" spans="1:6" x14ac:dyDescent="0.25">
      <c r="A64" s="8"/>
      <c r="B64" s="8"/>
      <c r="C64" s="8"/>
      <c r="D64" s="8"/>
      <c r="E64" s="8"/>
    </row>
    <row r="65" spans="1:5" x14ac:dyDescent="0.25">
      <c r="A65" s="8"/>
      <c r="B65" s="8"/>
      <c r="C65" s="8"/>
      <c r="D65" s="8"/>
      <c r="E65" s="8"/>
    </row>
    <row r="66" spans="1:5" x14ac:dyDescent="0.25">
      <c r="A66" s="8"/>
      <c r="B66" s="8"/>
      <c r="C66" s="8"/>
      <c r="D66" s="8"/>
      <c r="E66" s="8"/>
    </row>
    <row r="67" spans="1:5" x14ac:dyDescent="0.25">
      <c r="A67" s="1831"/>
      <c r="B67" s="1831"/>
      <c r="C67" s="1831"/>
      <c r="D67" s="1831"/>
      <c r="E67" s="8"/>
    </row>
    <row r="68" spans="1:5" x14ac:dyDescent="0.25">
      <c r="A68" s="8"/>
      <c r="B68" s="8"/>
      <c r="C68" s="8"/>
      <c r="D68" s="8"/>
      <c r="E68" s="8"/>
    </row>
    <row r="69" spans="1:5" x14ac:dyDescent="0.25">
      <c r="A69" s="8"/>
      <c r="B69" s="8"/>
      <c r="C69" s="8"/>
      <c r="D69" s="8"/>
      <c r="E69" s="8"/>
    </row>
    <row r="70" spans="1:5" x14ac:dyDescent="0.25">
      <c r="A70" s="8"/>
      <c r="B70" s="211"/>
      <c r="C70" s="8"/>
      <c r="D70" s="211"/>
      <c r="E70" s="8"/>
    </row>
    <row r="71" spans="1:5" x14ac:dyDescent="0.25">
      <c r="A71" s="8"/>
      <c r="B71" s="212"/>
      <c r="C71" s="8"/>
      <c r="D71" s="212"/>
      <c r="E71" s="8"/>
    </row>
    <row r="72" spans="1:5" x14ac:dyDescent="0.25">
      <c r="A72" s="8"/>
      <c r="B72" s="212"/>
      <c r="C72" s="8"/>
      <c r="D72" s="212"/>
      <c r="E72" s="8"/>
    </row>
    <row r="73" spans="1:5" x14ac:dyDescent="0.25">
      <c r="A73" s="8"/>
      <c r="B73" s="211"/>
      <c r="C73" s="8"/>
      <c r="D73" s="211"/>
      <c r="E73" s="8"/>
    </row>
    <row r="74" spans="1:5" x14ac:dyDescent="0.25">
      <c r="A74" s="8"/>
      <c r="B74" s="211"/>
      <c r="C74" s="8"/>
      <c r="D74" s="211"/>
      <c r="E74" s="8"/>
    </row>
    <row r="75" spans="1:5" x14ac:dyDescent="0.25">
      <c r="A75" s="8"/>
      <c r="B75" s="211"/>
      <c r="C75" s="8"/>
      <c r="D75" s="211"/>
      <c r="E75" s="8"/>
    </row>
    <row r="76" spans="1:5" x14ac:dyDescent="0.25">
      <c r="A76" s="8"/>
      <c r="B76" s="212"/>
      <c r="C76" s="8"/>
      <c r="D76" s="212"/>
      <c r="E76" s="8"/>
    </row>
    <row r="77" spans="1:5" x14ac:dyDescent="0.25">
      <c r="A77" s="8"/>
      <c r="B77" s="212"/>
      <c r="C77" s="8"/>
      <c r="D77" s="212"/>
      <c r="E77" s="8"/>
    </row>
    <row r="78" spans="1:5" x14ac:dyDescent="0.25">
      <c r="A78" s="8"/>
      <c r="B78" s="211"/>
      <c r="C78" s="8"/>
      <c r="D78" s="211"/>
      <c r="E78" s="8"/>
    </row>
    <row r="79" spans="1:5" x14ac:dyDescent="0.25">
      <c r="A79" s="8"/>
      <c r="B79" s="211"/>
      <c r="C79" s="8"/>
      <c r="D79" s="211"/>
      <c r="E79" s="8"/>
    </row>
    <row r="80" spans="1:5" x14ac:dyDescent="0.25">
      <c r="A80" s="8"/>
      <c r="B80" s="211"/>
      <c r="C80" s="8"/>
      <c r="D80" s="211"/>
      <c r="E80" s="8"/>
    </row>
    <row r="81" spans="1:5" x14ac:dyDescent="0.25">
      <c r="A81" s="8"/>
      <c r="B81" s="212"/>
      <c r="C81" s="8"/>
      <c r="D81" s="212"/>
      <c r="E81" s="8"/>
    </row>
    <row r="82" spans="1:5" x14ac:dyDescent="0.25">
      <c r="A82" s="8"/>
      <c r="B82" s="212"/>
      <c r="C82" s="8"/>
      <c r="D82" s="212"/>
      <c r="E82" s="8"/>
    </row>
    <row r="83" spans="1:5" x14ac:dyDescent="0.25">
      <c r="A83" s="8"/>
      <c r="B83" s="212"/>
      <c r="C83" s="8"/>
      <c r="D83" s="8"/>
      <c r="E83" s="8"/>
    </row>
    <row r="84" spans="1:5" x14ac:dyDescent="0.25">
      <c r="A84" s="8"/>
      <c r="B84" s="212"/>
      <c r="C84" s="8"/>
      <c r="D84" s="8"/>
      <c r="E84" s="8"/>
    </row>
    <row r="85" spans="1:5" x14ac:dyDescent="0.25">
      <c r="A85" s="8"/>
      <c r="B85" s="212"/>
      <c r="C85" s="8"/>
      <c r="D85" s="8"/>
      <c r="E85" s="8"/>
    </row>
    <row r="86" spans="1:5" x14ac:dyDescent="0.25">
      <c r="A86" s="8"/>
      <c r="B86" s="211"/>
      <c r="C86" s="8"/>
      <c r="D86" s="8"/>
      <c r="E86" s="8"/>
    </row>
    <row r="87" spans="1:5" x14ac:dyDescent="0.25">
      <c r="A87" s="8"/>
      <c r="B87" s="8"/>
      <c r="C87" s="8"/>
      <c r="D87" s="8"/>
      <c r="E87" s="8"/>
    </row>
    <row r="88" spans="1:5" x14ac:dyDescent="0.25">
      <c r="A88" s="8"/>
      <c r="B88" s="211"/>
      <c r="C88" s="8"/>
      <c r="D88" s="8"/>
      <c r="E88" s="8"/>
    </row>
    <row r="89" spans="1:5" x14ac:dyDescent="0.25">
      <c r="A89" s="8"/>
      <c r="B89" s="211"/>
    </row>
    <row r="90" spans="1:5" x14ac:dyDescent="0.25">
      <c r="A90" s="8"/>
      <c r="B90" s="212"/>
    </row>
    <row r="91" spans="1:5" x14ac:dyDescent="0.25">
      <c r="A91" s="8"/>
      <c r="B91" s="212"/>
    </row>
    <row r="92" spans="1:5" x14ac:dyDescent="0.25">
      <c r="A92" s="8"/>
      <c r="B92" s="8"/>
    </row>
  </sheetData>
  <mergeCells count="6">
    <mergeCell ref="A67:B67"/>
    <mergeCell ref="C67:D67"/>
    <mergeCell ref="B2:E2"/>
    <mergeCell ref="A6:E6"/>
    <mergeCell ref="A33:E33"/>
    <mergeCell ref="A20:D20"/>
  </mergeCells>
  <phoneticPr fontId="12" type="noConversion"/>
  <pageMargins left="0.56000000000000005" right="0.33" top="0.63" bottom="0.6" header="0.5" footer="0.5"/>
  <pageSetup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pageSetUpPr fitToPage="1"/>
  </sheetPr>
  <dimension ref="A1:K72"/>
  <sheetViews>
    <sheetView showGridLines="0" tabSelected="1" zoomScaleNormal="100" workbookViewId="0">
      <selection activeCell="E9" sqref="E9"/>
    </sheetView>
  </sheetViews>
  <sheetFormatPr defaultColWidth="9.33203125" defaultRowHeight="13.2" x14ac:dyDescent="0.25"/>
  <cols>
    <col min="1" max="1" width="5.88671875" style="436" customWidth="1"/>
    <col min="2" max="2" width="15.88671875" style="473" customWidth="1"/>
    <col min="3" max="3" width="51.88671875" style="436" customWidth="1"/>
    <col min="4" max="4" width="62.6640625" style="436" customWidth="1"/>
    <col min="5" max="5" width="30.88671875" style="436" customWidth="1"/>
    <col min="6" max="6" width="51.88671875" style="436" customWidth="1"/>
    <col min="7" max="10" width="20.88671875" style="436" customWidth="1"/>
    <col min="11" max="29" width="12.88671875" style="436" customWidth="1"/>
    <col min="30" max="16384" width="9.33203125" style="436"/>
  </cols>
  <sheetData>
    <row r="1" spans="1:11" ht="13.8" x14ac:dyDescent="0.25">
      <c r="A1" s="468" t="str">
        <f>+'Washington volumes'!A1</f>
        <v>NW Natural</v>
      </c>
      <c r="B1" s="653"/>
    </row>
    <row r="2" spans="1:11" ht="13.8" x14ac:dyDescent="0.25">
      <c r="A2" s="468" t="str">
        <f>+'Washington volumes'!A2</f>
        <v>Rates &amp; Regulatory Affairs</v>
      </c>
      <c r="B2" s="653"/>
    </row>
    <row r="3" spans="1:11" ht="13.8" x14ac:dyDescent="0.25">
      <c r="A3" s="468" t="str">
        <f>+'Washington volumes'!A3</f>
        <v>2019-2020 PGA Filing - Washington: September Filing</v>
      </c>
      <c r="B3" s="653"/>
    </row>
    <row r="4" spans="1:11" ht="13.8" x14ac:dyDescent="0.25">
      <c r="A4" s="468" t="s">
        <v>19</v>
      </c>
      <c r="B4" s="653"/>
      <c r="D4" s="1180"/>
    </row>
    <row r="5" spans="1:11" ht="13.8" thickBot="1" x14ac:dyDescent="0.3">
      <c r="B5" s="653"/>
    </row>
    <row r="6" spans="1:11" ht="13.8" thickBot="1" x14ac:dyDescent="0.3">
      <c r="A6" s="594">
        <v>1</v>
      </c>
      <c r="B6" s="529" t="s">
        <v>22</v>
      </c>
      <c r="C6" s="1080" t="s">
        <v>20</v>
      </c>
      <c r="D6" s="1080" t="s">
        <v>21</v>
      </c>
      <c r="E6" s="1080"/>
      <c r="F6" s="1081"/>
    </row>
    <row r="7" spans="1:11" x14ac:dyDescent="0.25">
      <c r="A7" s="594">
        <f>+A6+1</f>
        <v>2</v>
      </c>
      <c r="B7" s="653"/>
    </row>
    <row r="8" spans="1:11" x14ac:dyDescent="0.25">
      <c r="A8" s="594">
        <f t="shared" ref="A8:A55" si="0">+A7+1</f>
        <v>3</v>
      </c>
      <c r="B8" s="473">
        <v>54079392.371755585</v>
      </c>
      <c r="C8" s="653" t="s">
        <v>698</v>
      </c>
      <c r="D8" s="1694" t="s">
        <v>1186</v>
      </c>
      <c r="E8" s="472"/>
      <c r="F8" s="1576"/>
    </row>
    <row r="9" spans="1:11" x14ac:dyDescent="0.25">
      <c r="A9" s="594">
        <f t="shared" si="0"/>
        <v>4</v>
      </c>
      <c r="C9" s="653"/>
      <c r="D9" s="653"/>
      <c r="E9" s="472"/>
      <c r="G9" s="1481"/>
      <c r="H9" s="1481"/>
      <c r="I9" s="1481"/>
      <c r="J9" s="1481"/>
      <c r="K9" s="1481"/>
    </row>
    <row r="10" spans="1:11" x14ac:dyDescent="0.25">
      <c r="A10" s="594">
        <f t="shared" si="0"/>
        <v>5</v>
      </c>
      <c r="B10" s="473">
        <v>23858678.638648845</v>
      </c>
      <c r="C10" s="653" t="s">
        <v>699</v>
      </c>
      <c r="D10" s="1040" t="str">
        <f>+D8</f>
        <v>2019-20  PGA Forecast.xlsx</v>
      </c>
      <c r="E10" s="472"/>
      <c r="F10" s="1576"/>
    </row>
    <row r="11" spans="1:11" x14ac:dyDescent="0.25">
      <c r="A11" s="594">
        <f t="shared" si="0"/>
        <v>6</v>
      </c>
      <c r="C11" s="653"/>
      <c r="D11" s="1040"/>
      <c r="E11" s="472"/>
    </row>
    <row r="12" spans="1:11" x14ac:dyDescent="0.25">
      <c r="A12" s="594">
        <f t="shared" si="0"/>
        <v>7</v>
      </c>
      <c r="B12" s="473">
        <v>3098563.675999999</v>
      </c>
      <c r="C12" s="653" t="s">
        <v>701</v>
      </c>
      <c r="D12" s="1040" t="str">
        <f>+D10</f>
        <v>2019-20  PGA Forecast.xlsx</v>
      </c>
      <c r="E12" s="472"/>
      <c r="F12" s="1576"/>
      <c r="G12" s="1180"/>
    </row>
    <row r="13" spans="1:11" x14ac:dyDescent="0.25">
      <c r="A13" s="594">
        <f t="shared" si="0"/>
        <v>8</v>
      </c>
      <c r="C13" s="653"/>
      <c r="D13" s="1040"/>
      <c r="E13" s="472"/>
    </row>
    <row r="14" spans="1:11" x14ac:dyDescent="0.25">
      <c r="A14" s="594">
        <f t="shared" si="0"/>
        <v>9</v>
      </c>
      <c r="B14" s="473">
        <v>1267705.7000000002</v>
      </c>
      <c r="C14" s="653" t="s">
        <v>874</v>
      </c>
      <c r="D14" s="1040" t="str">
        <f>+D12</f>
        <v>2019-20  PGA Forecast.xlsx</v>
      </c>
      <c r="E14" s="472"/>
      <c r="F14" s="1576"/>
      <c r="G14" s="1180"/>
    </row>
    <row r="15" spans="1:11" x14ac:dyDescent="0.25">
      <c r="A15" s="594">
        <f t="shared" si="0"/>
        <v>10</v>
      </c>
      <c r="C15" s="653"/>
      <c r="D15" s="653"/>
      <c r="E15" s="472"/>
    </row>
    <row r="16" spans="1:11" x14ac:dyDescent="0.25">
      <c r="A16" s="594">
        <f t="shared" si="0"/>
        <v>11</v>
      </c>
      <c r="B16" s="472">
        <v>0.20291000000000001</v>
      </c>
      <c r="C16" s="653" t="s">
        <v>32</v>
      </c>
      <c r="D16" s="1694" t="s">
        <v>1184</v>
      </c>
      <c r="E16" s="472"/>
      <c r="G16" s="1180"/>
    </row>
    <row r="17" spans="1:7" x14ac:dyDescent="0.25">
      <c r="A17" s="594">
        <f t="shared" si="0"/>
        <v>12</v>
      </c>
      <c r="B17" s="472"/>
      <c r="C17" s="653"/>
      <c r="D17" s="1040"/>
      <c r="E17" s="474"/>
      <c r="G17" s="1180"/>
    </row>
    <row r="18" spans="1:7" x14ac:dyDescent="0.25">
      <c r="A18" s="594">
        <f t="shared" si="0"/>
        <v>13</v>
      </c>
      <c r="B18" s="472">
        <v>0.1109</v>
      </c>
      <c r="C18" s="653" t="s">
        <v>223</v>
      </c>
      <c r="D18" s="1040" t="str">
        <f>D16</f>
        <v>NWN 2019-20 PGA gas cost file September filing.xls</v>
      </c>
      <c r="E18" s="474"/>
      <c r="G18" s="471"/>
    </row>
    <row r="19" spans="1:7" x14ac:dyDescent="0.25">
      <c r="A19" s="594">
        <f t="shared" si="0"/>
        <v>14</v>
      </c>
      <c r="B19" s="472"/>
      <c r="C19" s="653"/>
      <c r="D19" s="1040"/>
      <c r="E19" s="474"/>
      <c r="G19" s="471"/>
    </row>
    <row r="20" spans="1:7" x14ac:dyDescent="0.25">
      <c r="A20" s="594">
        <f t="shared" si="0"/>
        <v>15</v>
      </c>
      <c r="B20" s="472">
        <v>3.8739999999999997E-2</v>
      </c>
      <c r="C20" s="653" t="s">
        <v>224</v>
      </c>
      <c r="D20" s="1040" t="str">
        <f>D16</f>
        <v>NWN 2019-20 PGA gas cost file September filing.xls</v>
      </c>
      <c r="E20" s="472"/>
      <c r="G20" s="471"/>
    </row>
    <row r="21" spans="1:7" x14ac:dyDescent="0.25">
      <c r="A21" s="594">
        <f t="shared" si="0"/>
        <v>16</v>
      </c>
      <c r="B21" s="472"/>
      <c r="C21" s="653"/>
      <c r="D21" s="1040"/>
      <c r="E21" s="472"/>
      <c r="G21" s="471"/>
    </row>
    <row r="22" spans="1:7" x14ac:dyDescent="0.25">
      <c r="A22" s="594">
        <f t="shared" si="0"/>
        <v>17</v>
      </c>
      <c r="B22" s="474">
        <v>1.66</v>
      </c>
      <c r="C22" s="653" t="s">
        <v>225</v>
      </c>
      <c r="D22" s="1040" t="str">
        <f>D16</f>
        <v>NWN 2019-20 PGA gas cost file September filing.xls</v>
      </c>
      <c r="E22" s="472"/>
      <c r="G22" s="471"/>
    </row>
    <row r="23" spans="1:7" x14ac:dyDescent="0.25">
      <c r="A23" s="594">
        <f t="shared" si="0"/>
        <v>18</v>
      </c>
      <c r="B23" s="474"/>
      <c r="C23" s="653"/>
      <c r="D23" s="653"/>
      <c r="E23" s="472"/>
      <c r="G23" s="471"/>
    </row>
    <row r="24" spans="1:7" x14ac:dyDescent="0.25">
      <c r="A24" s="594">
        <f t="shared" si="0"/>
        <v>19</v>
      </c>
      <c r="B24" s="472">
        <v>0.15748000000000001</v>
      </c>
      <c r="C24" s="653" t="s">
        <v>226</v>
      </c>
      <c r="D24" s="1040" t="s">
        <v>744</v>
      </c>
      <c r="E24" s="472"/>
      <c r="G24" s="471"/>
    </row>
    <row r="25" spans="1:7" x14ac:dyDescent="0.25">
      <c r="A25" s="594">
        <f t="shared" si="0"/>
        <v>20</v>
      </c>
      <c r="B25" s="474"/>
      <c r="C25" s="653"/>
      <c r="D25" s="653"/>
      <c r="E25" s="472"/>
      <c r="G25" s="471"/>
    </row>
    <row r="26" spans="1:7" x14ac:dyDescent="0.25">
      <c r="A26" s="594">
        <f t="shared" si="0"/>
        <v>21</v>
      </c>
      <c r="B26" s="472">
        <v>0.20415</v>
      </c>
      <c r="C26" s="653" t="s">
        <v>227</v>
      </c>
      <c r="D26" s="1040" t="s">
        <v>744</v>
      </c>
      <c r="E26" s="472"/>
      <c r="G26" s="471"/>
    </row>
    <row r="27" spans="1:7" x14ac:dyDescent="0.25">
      <c r="A27" s="594">
        <f t="shared" si="0"/>
        <v>22</v>
      </c>
      <c r="B27" s="472"/>
      <c r="C27" s="653"/>
      <c r="D27" s="1040"/>
      <c r="E27" s="472"/>
      <c r="G27" s="471"/>
    </row>
    <row r="28" spans="1:7" x14ac:dyDescent="0.25">
      <c r="A28" s="594">
        <f t="shared" si="0"/>
        <v>23</v>
      </c>
      <c r="B28" s="472">
        <v>0.10208</v>
      </c>
      <c r="C28" s="653" t="s">
        <v>734</v>
      </c>
      <c r="D28" s="1040" t="s">
        <v>744</v>
      </c>
    </row>
    <row r="29" spans="1:7" x14ac:dyDescent="0.25">
      <c r="A29" s="594">
        <f t="shared" si="0"/>
        <v>24</v>
      </c>
      <c r="B29" s="472"/>
      <c r="C29" s="653"/>
      <c r="D29" s="1040"/>
    </row>
    <row r="30" spans="1:7" x14ac:dyDescent="0.25">
      <c r="A30" s="594">
        <f t="shared" si="0"/>
        <v>25</v>
      </c>
      <c r="B30" s="475">
        <v>4.1579999999999999E-2</v>
      </c>
      <c r="C30" s="653" t="s">
        <v>23</v>
      </c>
      <c r="D30" s="1040" t="s">
        <v>1185</v>
      </c>
    </row>
    <row r="31" spans="1:7" x14ac:dyDescent="0.25">
      <c r="A31" s="594">
        <f t="shared" si="0"/>
        <v>26</v>
      </c>
      <c r="B31" s="475"/>
      <c r="C31" s="653"/>
      <c r="D31" s="1040"/>
    </row>
    <row r="32" spans="1:7" x14ac:dyDescent="0.25">
      <c r="A32" s="594">
        <f t="shared" si="0"/>
        <v>27</v>
      </c>
      <c r="B32" s="1752">
        <v>0.24779999999999999</v>
      </c>
      <c r="C32" s="653" t="s">
        <v>709</v>
      </c>
      <c r="D32" s="1040" t="str">
        <f>+D22</f>
        <v>NWN 2019-20 PGA gas cost file September filing.xls</v>
      </c>
    </row>
    <row r="33" spans="1:6" ht="13.8" thickBot="1" x14ac:dyDescent="0.3">
      <c r="A33" s="594">
        <f t="shared" si="0"/>
        <v>28</v>
      </c>
      <c r="C33" s="653"/>
      <c r="D33" s="653"/>
    </row>
    <row r="34" spans="1:6" ht="13.8" thickBot="1" x14ac:dyDescent="0.3">
      <c r="A34" s="594">
        <f t="shared" si="0"/>
        <v>29</v>
      </c>
      <c r="C34" s="1079" t="s">
        <v>24</v>
      </c>
      <c r="D34" s="1080" t="s">
        <v>21</v>
      </c>
      <c r="E34" s="1082" t="s">
        <v>38</v>
      </c>
      <c r="F34" s="1083" t="s">
        <v>39</v>
      </c>
    </row>
    <row r="35" spans="1:6" x14ac:dyDescent="0.25">
      <c r="A35" s="594">
        <f t="shared" si="0"/>
        <v>30</v>
      </c>
    </row>
    <row r="36" spans="1:6" x14ac:dyDescent="0.25">
      <c r="A36" s="594">
        <f t="shared" si="0"/>
        <v>31</v>
      </c>
      <c r="B36" s="473">
        <v>2800514</v>
      </c>
      <c r="C36" s="653" t="s">
        <v>25</v>
      </c>
      <c r="D36" s="1040" t="s">
        <v>26</v>
      </c>
      <c r="E36" s="653" t="s">
        <v>40</v>
      </c>
      <c r="F36" s="653" t="s">
        <v>1099</v>
      </c>
    </row>
    <row r="37" spans="1:6" x14ac:dyDescent="0.25">
      <c r="A37" s="594">
        <f t="shared" si="0"/>
        <v>32</v>
      </c>
      <c r="C37" s="653"/>
      <c r="D37" s="1040"/>
      <c r="E37" s="653"/>
      <c r="F37" s="653"/>
    </row>
    <row r="38" spans="1:6" x14ac:dyDescent="0.25">
      <c r="A38" s="594">
        <f t="shared" si="0"/>
        <v>33</v>
      </c>
      <c r="B38" s="473">
        <v>-2262005</v>
      </c>
      <c r="C38" s="653" t="s">
        <v>49</v>
      </c>
      <c r="D38" s="1040" t="s">
        <v>26</v>
      </c>
      <c r="E38" s="653" t="s">
        <v>40</v>
      </c>
      <c r="F38" s="653" t="s">
        <v>1100</v>
      </c>
    </row>
    <row r="39" spans="1:6" x14ac:dyDescent="0.25">
      <c r="A39" s="594">
        <f t="shared" si="0"/>
        <v>34</v>
      </c>
      <c r="C39" s="653"/>
      <c r="D39" s="1040"/>
      <c r="E39" s="653"/>
      <c r="F39" s="653"/>
    </row>
    <row r="40" spans="1:6" x14ac:dyDescent="0.25">
      <c r="A40" s="594">
        <f t="shared" si="0"/>
        <v>35</v>
      </c>
      <c r="B40" s="473">
        <v>-12361</v>
      </c>
      <c r="C40" s="653" t="s">
        <v>50</v>
      </c>
      <c r="D40" s="1040" t="s">
        <v>26</v>
      </c>
      <c r="E40" s="653" t="s">
        <v>40</v>
      </c>
      <c r="F40" s="653" t="s">
        <v>1101</v>
      </c>
    </row>
    <row r="41" spans="1:6" x14ac:dyDescent="0.25">
      <c r="A41" s="594">
        <f t="shared" si="0"/>
        <v>36</v>
      </c>
      <c r="C41" s="653"/>
      <c r="D41" s="1040"/>
      <c r="E41" s="653"/>
      <c r="F41" s="653"/>
    </row>
    <row r="42" spans="1:6" x14ac:dyDescent="0.25">
      <c r="A42" s="594">
        <f t="shared" si="0"/>
        <v>37</v>
      </c>
      <c r="B42" s="473">
        <v>2973770</v>
      </c>
      <c r="C42" s="653" t="s">
        <v>863</v>
      </c>
      <c r="D42" s="1040" t="s">
        <v>26</v>
      </c>
      <c r="E42" s="653" t="s">
        <v>685</v>
      </c>
      <c r="F42" s="653" t="s">
        <v>1102</v>
      </c>
    </row>
    <row r="43" spans="1:6" x14ac:dyDescent="0.25">
      <c r="A43" s="594">
        <f t="shared" si="0"/>
        <v>38</v>
      </c>
      <c r="C43" s="653"/>
      <c r="D43" s="1040"/>
      <c r="E43" s="653"/>
      <c r="F43" s="653"/>
    </row>
    <row r="44" spans="1:6" x14ac:dyDescent="0.25">
      <c r="A44" s="594">
        <f t="shared" si="0"/>
        <v>39</v>
      </c>
      <c r="B44" s="473">
        <v>103261</v>
      </c>
      <c r="C44" s="653" t="s">
        <v>856</v>
      </c>
      <c r="D44" s="1040" t="s">
        <v>26</v>
      </c>
      <c r="E44" s="653" t="s">
        <v>685</v>
      </c>
      <c r="F44" s="653" t="s">
        <v>1099</v>
      </c>
    </row>
    <row r="45" spans="1:6" x14ac:dyDescent="0.25">
      <c r="A45" s="594">
        <f t="shared" si="0"/>
        <v>40</v>
      </c>
      <c r="C45" s="653"/>
      <c r="D45" s="1040"/>
      <c r="E45" s="653"/>
      <c r="F45" s="653"/>
    </row>
    <row r="46" spans="1:6" x14ac:dyDescent="0.25">
      <c r="A46" s="594">
        <f t="shared" si="0"/>
        <v>41</v>
      </c>
      <c r="B46" s="473">
        <v>277036</v>
      </c>
      <c r="C46" s="653" t="s">
        <v>819</v>
      </c>
      <c r="D46" s="1040" t="s">
        <v>26</v>
      </c>
      <c r="E46" s="653" t="s">
        <v>685</v>
      </c>
      <c r="F46" s="653" t="s">
        <v>1099</v>
      </c>
    </row>
    <row r="47" spans="1:6" x14ac:dyDescent="0.25">
      <c r="A47" s="594">
        <f t="shared" si="0"/>
        <v>42</v>
      </c>
      <c r="C47" s="653"/>
      <c r="D47" s="1040"/>
      <c r="E47" s="653"/>
      <c r="F47" s="653"/>
    </row>
    <row r="48" spans="1:6" x14ac:dyDescent="0.25">
      <c r="A48" s="594">
        <f t="shared" si="0"/>
        <v>43</v>
      </c>
      <c r="B48" s="473">
        <v>-55000</v>
      </c>
      <c r="C48" s="653" t="s">
        <v>1170</v>
      </c>
      <c r="D48" s="1040" t="s">
        <v>1171</v>
      </c>
      <c r="E48" s="653" t="s">
        <v>685</v>
      </c>
      <c r="F48" s="436" t="s">
        <v>1164</v>
      </c>
    </row>
    <row r="49" spans="1:6" x14ac:dyDescent="0.25">
      <c r="A49" s="594">
        <f t="shared" si="0"/>
        <v>44</v>
      </c>
      <c r="C49" s="653"/>
      <c r="D49" s="1040"/>
    </row>
    <row r="50" spans="1:6" ht="13.8" thickBot="1" x14ac:dyDescent="0.3">
      <c r="A50" s="594">
        <f t="shared" si="0"/>
        <v>45</v>
      </c>
      <c r="C50" s="653"/>
      <c r="D50" s="1040"/>
    </row>
    <row r="51" spans="1:6" ht="13.8" thickBot="1" x14ac:dyDescent="0.3">
      <c r="A51" s="594">
        <f t="shared" si="0"/>
        <v>46</v>
      </c>
      <c r="C51" s="1079" t="s">
        <v>686</v>
      </c>
      <c r="D51" s="1080" t="s">
        <v>21</v>
      </c>
      <c r="E51" s="1082" t="s">
        <v>38</v>
      </c>
      <c r="F51" s="1083" t="s">
        <v>39</v>
      </c>
    </row>
    <row r="52" spans="1:6" x14ac:dyDescent="0.25">
      <c r="A52" s="594">
        <f t="shared" si="0"/>
        <v>47</v>
      </c>
      <c r="D52" s="471"/>
    </row>
    <row r="53" spans="1:6" x14ac:dyDescent="0.25">
      <c r="A53" s="594">
        <f t="shared" si="0"/>
        <v>48</v>
      </c>
      <c r="C53" s="653"/>
      <c r="D53" s="1040"/>
      <c r="E53" s="653"/>
      <c r="F53" s="653"/>
    </row>
    <row r="54" spans="1:6" x14ac:dyDescent="0.25">
      <c r="A54" s="594">
        <f t="shared" si="0"/>
        <v>49</v>
      </c>
      <c r="D54" s="471"/>
    </row>
    <row r="55" spans="1:6" x14ac:dyDescent="0.25">
      <c r="A55" s="594">
        <f t="shared" si="0"/>
        <v>50</v>
      </c>
      <c r="B55" s="653"/>
    </row>
    <row r="56" spans="1:6" x14ac:dyDescent="0.25">
      <c r="A56" s="469"/>
      <c r="B56" s="1608">
        <v>43770</v>
      </c>
      <c r="C56" s="1137" t="s">
        <v>850</v>
      </c>
    </row>
    <row r="57" spans="1:6" x14ac:dyDescent="0.25">
      <c r="A57" s="469" t="s">
        <v>851</v>
      </c>
      <c r="B57" s="473">
        <v>5371819</v>
      </c>
      <c r="C57" s="436" t="s">
        <v>1129</v>
      </c>
    </row>
    <row r="58" spans="1:6" x14ac:dyDescent="0.25">
      <c r="A58" s="469" t="s">
        <v>851</v>
      </c>
      <c r="B58" s="473">
        <v>-1351954</v>
      </c>
      <c r="C58" s="436" t="s">
        <v>710</v>
      </c>
    </row>
    <row r="59" spans="1:6" x14ac:dyDescent="0.25">
      <c r="A59" s="469" t="s">
        <v>851</v>
      </c>
      <c r="B59" s="473">
        <f>B53</f>
        <v>0</v>
      </c>
      <c r="C59" s="436" t="s">
        <v>1172</v>
      </c>
    </row>
    <row r="60" spans="1:6" x14ac:dyDescent="0.25">
      <c r="A60" s="469"/>
    </row>
    <row r="61" spans="1:6" x14ac:dyDescent="0.25">
      <c r="A61" s="469"/>
    </row>
    <row r="62" spans="1:6" x14ac:dyDescent="0.25">
      <c r="A62" s="469"/>
    </row>
    <row r="63" spans="1:6" x14ac:dyDescent="0.25">
      <c r="A63" s="469"/>
    </row>
    <row r="64" spans="1:6" x14ac:dyDescent="0.25">
      <c r="A64" s="469"/>
    </row>
    <row r="65" spans="1:1" x14ac:dyDescent="0.25">
      <c r="A65" s="469"/>
    </row>
    <row r="66" spans="1:1" x14ac:dyDescent="0.25">
      <c r="A66" s="469"/>
    </row>
    <row r="67" spans="1:1" x14ac:dyDescent="0.25">
      <c r="A67" s="469"/>
    </row>
    <row r="68" spans="1:1" x14ac:dyDescent="0.25">
      <c r="A68" s="469"/>
    </row>
    <row r="69" spans="1:1" x14ac:dyDescent="0.25">
      <c r="A69" s="469"/>
    </row>
    <row r="70" spans="1:1" x14ac:dyDescent="0.25">
      <c r="A70" s="469"/>
    </row>
    <row r="71" spans="1:1" x14ac:dyDescent="0.25">
      <c r="A71" s="469"/>
    </row>
    <row r="72" spans="1:1" x14ac:dyDescent="0.25">
      <c r="A72" s="469"/>
    </row>
  </sheetData>
  <phoneticPr fontId="2" type="noConversion"/>
  <printOptions horizontalCentered="1"/>
  <pageMargins left="0.5" right="0.5" top="0.5" bottom="0.5" header="0.25" footer="0.25"/>
  <pageSetup scale="44" orientation="portrait" r:id="rId1"/>
  <headerFooter alignWithMargins="0">
    <oddHeader>&amp;RUG-181053 NWN Compliance Filing 
Advice 19-07 / Work Paper</oddHeader>
    <oddFooter xml:space="preserve">&amp;C&amp;F &amp;D &amp;T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7"/>
  <sheetViews>
    <sheetView showGridLines="0" zoomScaleNormal="100" workbookViewId="0">
      <pane ySplit="12" topLeftCell="A76" activePane="bottomLeft" state="frozen"/>
      <selection activeCell="A10" sqref="A10"/>
      <selection pane="bottomLeft" activeCell="A10" sqref="A10"/>
    </sheetView>
  </sheetViews>
  <sheetFormatPr defaultColWidth="12" defaultRowHeight="13.2" x14ac:dyDescent="0.25"/>
  <cols>
    <col min="1" max="1" width="12" style="1" customWidth="1"/>
    <col min="2" max="2" width="37.109375" style="1" customWidth="1"/>
    <col min="3" max="3" width="21" style="1" customWidth="1"/>
    <col min="4" max="4" width="19.88671875" style="1" customWidth="1"/>
    <col min="5" max="5" width="19.44140625" style="1" customWidth="1"/>
    <col min="6" max="6" width="3.33203125" style="1" customWidth="1"/>
    <col min="7" max="7" width="15.33203125" style="1" customWidth="1"/>
    <col min="8" max="8" width="16.44140625" style="1" customWidth="1"/>
    <col min="9" max="9" width="14.109375" style="1" customWidth="1"/>
    <col min="10" max="10" width="13.33203125" style="1" customWidth="1"/>
    <col min="11" max="11" width="29.6640625" style="1" customWidth="1"/>
    <col min="12" max="12" width="13.44140625" style="1" customWidth="1"/>
    <col min="13" max="16384" width="12" style="1"/>
  </cols>
  <sheetData>
    <row r="1" spans="1:12" ht="15" x14ac:dyDescent="0.25">
      <c r="A1" s="213"/>
      <c r="B1" s="63"/>
      <c r="C1" s="63"/>
      <c r="D1" s="63"/>
      <c r="E1" s="63"/>
      <c r="F1" s="63"/>
      <c r="G1" s="63"/>
      <c r="H1" s="63"/>
      <c r="J1" s="214" t="s">
        <v>467</v>
      </c>
      <c r="K1" s="63"/>
    </row>
    <row r="2" spans="1:12" x14ac:dyDescent="0.25">
      <c r="A2" s="63"/>
      <c r="B2" s="63"/>
      <c r="C2" s="63"/>
      <c r="D2" s="63"/>
      <c r="E2" s="63"/>
      <c r="F2" s="63"/>
      <c r="G2" s="63"/>
      <c r="H2" s="63"/>
      <c r="I2" s="63"/>
      <c r="J2" s="63"/>
      <c r="K2" s="63"/>
      <c r="L2" s="63"/>
    </row>
    <row r="3" spans="1:12" ht="22.8" x14ac:dyDescent="0.25">
      <c r="A3" s="44"/>
      <c r="B3" s="44"/>
      <c r="C3" s="215" t="s">
        <v>468</v>
      </c>
      <c r="D3" s="44"/>
      <c r="F3" s="44"/>
      <c r="G3" s="44"/>
      <c r="H3" s="44"/>
      <c r="I3" s="44"/>
      <c r="J3" s="44"/>
      <c r="K3" s="44"/>
      <c r="L3" s="44"/>
    </row>
    <row r="4" spans="1:12" ht="9" customHeight="1" x14ac:dyDescent="0.25">
      <c r="A4" s="44"/>
      <c r="B4" s="44"/>
      <c r="C4" s="44"/>
      <c r="D4" s="44"/>
      <c r="E4" s="44"/>
      <c r="F4" s="44"/>
      <c r="G4" s="44"/>
      <c r="H4" s="44"/>
      <c r="I4" s="44"/>
      <c r="J4" s="44"/>
      <c r="K4" s="44"/>
      <c r="L4" s="44"/>
    </row>
    <row r="5" spans="1:12" ht="18.75" customHeight="1" x14ac:dyDescent="0.25">
      <c r="A5" s="1842" t="s">
        <v>231</v>
      </c>
      <c r="B5" s="1842"/>
      <c r="C5" s="44"/>
      <c r="D5" s="44"/>
      <c r="E5" s="44"/>
      <c r="F5" s="44"/>
      <c r="G5" s="44"/>
      <c r="H5" s="44"/>
      <c r="I5" s="44"/>
      <c r="J5" s="44"/>
      <c r="K5" s="44"/>
      <c r="L5" s="44"/>
    </row>
    <row r="6" spans="1:12" ht="13.5" customHeight="1" x14ac:dyDescent="0.25">
      <c r="A6" s="216"/>
      <c r="B6" s="216"/>
      <c r="C6" s="216"/>
      <c r="D6" s="216"/>
      <c r="E6" s="44"/>
      <c r="F6" s="216"/>
      <c r="G6" s="216"/>
      <c r="H6" s="216"/>
      <c r="I6" s="216"/>
      <c r="J6" s="216"/>
      <c r="K6" s="216"/>
      <c r="L6" s="200"/>
    </row>
    <row r="7" spans="1:12" x14ac:dyDescent="0.25">
      <c r="A7" s="40" t="s">
        <v>469</v>
      </c>
      <c r="B7" s="35"/>
      <c r="C7" s="217">
        <v>26938</v>
      </c>
      <c r="D7" s="35"/>
      <c r="E7" s="35"/>
      <c r="F7" s="35"/>
      <c r="G7" s="35"/>
      <c r="H7" s="35"/>
      <c r="I7" s="35"/>
      <c r="J7" s="218">
        <v>0.17100000000000001</v>
      </c>
      <c r="K7" s="38"/>
    </row>
    <row r="8" spans="1:12" x14ac:dyDescent="0.25">
      <c r="A8" s="82" t="s">
        <v>881</v>
      </c>
      <c r="B8" s="219"/>
      <c r="C8" s="220">
        <f>+Cover!A10</f>
        <v>43770</v>
      </c>
      <c r="D8" s="220"/>
      <c r="E8" s="220"/>
      <c r="F8" s="219"/>
      <c r="G8" s="219"/>
      <c r="H8" s="219"/>
      <c r="I8" s="219"/>
      <c r="J8" s="221">
        <f>'Rates in detail'!V15</f>
        <v>0.78120999999999974</v>
      </c>
      <c r="K8" s="38"/>
    </row>
    <row r="9" spans="1:12" ht="13.8" thickBot="1" x14ac:dyDescent="0.3">
      <c r="A9" s="38"/>
      <c r="B9" s="38"/>
      <c r="C9" s="222"/>
      <c r="D9" s="222"/>
      <c r="E9" s="222"/>
      <c r="F9" s="38"/>
      <c r="G9" s="38"/>
      <c r="H9" s="38"/>
      <c r="I9" s="38"/>
      <c r="J9" s="223"/>
      <c r="K9" s="38"/>
      <c r="L9" s="224"/>
    </row>
    <row r="10" spans="1:12" x14ac:dyDescent="0.25">
      <c r="A10" s="225"/>
      <c r="B10" s="226"/>
      <c r="C10" s="1183"/>
      <c r="D10" s="227" t="s">
        <v>470</v>
      </c>
      <c r="E10" s="1184" t="s">
        <v>471</v>
      </c>
      <c r="F10" s="228"/>
      <c r="G10" s="229" t="s">
        <v>472</v>
      </c>
      <c r="H10" s="230"/>
      <c r="I10" s="231"/>
      <c r="J10" s="132"/>
      <c r="K10" s="38"/>
      <c r="L10" s="224"/>
    </row>
    <row r="11" spans="1:12" x14ac:dyDescent="0.25">
      <c r="A11" s="64"/>
      <c r="B11" s="232"/>
      <c r="C11" s="232" t="s">
        <v>473</v>
      </c>
      <c r="D11" s="232" t="s">
        <v>474</v>
      </c>
      <c r="E11" s="134" t="s">
        <v>474</v>
      </c>
      <c r="F11" s="141"/>
      <c r="G11" s="232" t="s">
        <v>475</v>
      </c>
      <c r="H11" s="232" t="s">
        <v>205</v>
      </c>
      <c r="I11" s="37" t="s">
        <v>476</v>
      </c>
      <c r="J11" s="141"/>
      <c r="K11" s="233"/>
      <c r="L11" s="44"/>
    </row>
    <row r="12" spans="1:12" x14ac:dyDescent="0.25">
      <c r="A12" s="65" t="s">
        <v>477</v>
      </c>
      <c r="B12" s="234" t="s">
        <v>478</v>
      </c>
      <c r="C12" s="234" t="s">
        <v>479</v>
      </c>
      <c r="D12" s="234" t="s">
        <v>480</v>
      </c>
      <c r="E12" s="235" t="s">
        <v>480</v>
      </c>
      <c r="F12" s="236"/>
      <c r="G12" s="234" t="s">
        <v>481</v>
      </c>
      <c r="H12" s="234" t="s">
        <v>482</v>
      </c>
      <c r="I12" s="237" t="s">
        <v>482</v>
      </c>
      <c r="J12" s="141"/>
      <c r="K12" s="233"/>
      <c r="L12" s="44"/>
    </row>
    <row r="13" spans="1:12" x14ac:dyDescent="0.25">
      <c r="A13" s="64"/>
      <c r="B13" s="238" t="s">
        <v>483</v>
      </c>
      <c r="C13" s="232" t="s">
        <v>272</v>
      </c>
      <c r="D13" s="232" t="s">
        <v>273</v>
      </c>
      <c r="E13" s="134" t="s">
        <v>274</v>
      </c>
      <c r="F13" s="141"/>
      <c r="G13" s="232" t="s">
        <v>275</v>
      </c>
      <c r="H13" s="232" t="s">
        <v>276</v>
      </c>
      <c r="I13" s="37" t="s">
        <v>277</v>
      </c>
      <c r="J13" s="141"/>
      <c r="K13" s="233"/>
      <c r="L13" s="44"/>
    </row>
    <row r="14" spans="1:12" x14ac:dyDescent="0.25">
      <c r="A14" s="64">
        <v>1</v>
      </c>
      <c r="B14" s="238" t="s">
        <v>483</v>
      </c>
      <c r="C14" s="239">
        <v>2.9499999999999999E-3</v>
      </c>
      <c r="D14" s="232"/>
      <c r="E14" s="134"/>
      <c r="F14" s="141"/>
      <c r="G14" s="239">
        <v>4.1999999999999997E-3</v>
      </c>
      <c r="H14" s="239">
        <v>7.1500000000000001E-3</v>
      </c>
      <c r="I14" s="37"/>
      <c r="J14" s="141"/>
      <c r="K14" s="240"/>
      <c r="L14" s="44"/>
    </row>
    <row r="15" spans="1:12" x14ac:dyDescent="0.25">
      <c r="A15" s="64">
        <v>2</v>
      </c>
      <c r="B15" s="238" t="s">
        <v>484</v>
      </c>
      <c r="C15" s="239">
        <v>1.6899999999999998E-2</v>
      </c>
      <c r="D15" s="232"/>
      <c r="E15" s="134"/>
      <c r="F15" s="141"/>
      <c r="G15" s="241"/>
      <c r="H15" s="239">
        <v>1.6899999999999998E-2</v>
      </c>
      <c r="I15" s="37"/>
      <c r="J15" s="141"/>
      <c r="K15" s="233"/>
      <c r="L15" s="44"/>
    </row>
    <row r="16" spans="1:12" x14ac:dyDescent="0.25">
      <c r="A16" s="64">
        <v>3</v>
      </c>
      <c r="B16" s="238" t="s">
        <v>485</v>
      </c>
      <c r="C16" s="239">
        <v>3.8E-3</v>
      </c>
      <c r="D16" s="232"/>
      <c r="E16" s="134"/>
      <c r="F16" s="141"/>
      <c r="G16" s="241"/>
      <c r="H16" s="239">
        <v>3.8E-3</v>
      </c>
      <c r="I16" s="37"/>
      <c r="J16" s="141"/>
      <c r="K16" s="233"/>
      <c r="L16" s="44"/>
    </row>
    <row r="17" spans="1:12" x14ac:dyDescent="0.25">
      <c r="A17" s="64">
        <v>4</v>
      </c>
      <c r="B17" s="238" t="s">
        <v>486</v>
      </c>
      <c r="C17" s="239">
        <v>2.8680000000000001E-2</v>
      </c>
      <c r="D17" s="232"/>
      <c r="E17" s="134"/>
      <c r="F17" s="141"/>
      <c r="G17" s="241"/>
      <c r="H17" s="239">
        <v>2.8680000000000001E-2</v>
      </c>
      <c r="I17" s="37"/>
      <c r="J17" s="141"/>
      <c r="K17" s="233"/>
      <c r="L17" s="44"/>
    </row>
    <row r="18" spans="1:12" x14ac:dyDescent="0.25">
      <c r="A18" s="64">
        <v>5</v>
      </c>
      <c r="B18" s="238" t="s">
        <v>487</v>
      </c>
      <c r="C18" s="239">
        <v>5.62E-3</v>
      </c>
      <c r="D18" s="232"/>
      <c r="E18" s="134"/>
      <c r="F18" s="141"/>
      <c r="G18" s="241"/>
      <c r="H18" s="239">
        <v>5.62E-3</v>
      </c>
      <c r="I18" s="37"/>
      <c r="J18" s="141"/>
      <c r="K18" s="233"/>
      <c r="L18" s="44"/>
    </row>
    <row r="19" spans="1:12" x14ac:dyDescent="0.25">
      <c r="A19" s="64">
        <v>6</v>
      </c>
      <c r="B19" s="238" t="s">
        <v>488</v>
      </c>
      <c r="C19" s="239">
        <v>2.784E-2</v>
      </c>
      <c r="D19" s="232"/>
      <c r="E19" s="134"/>
      <c r="F19" s="141"/>
      <c r="G19" s="241"/>
      <c r="H19" s="239">
        <v>2.784E-2</v>
      </c>
      <c r="I19" s="37"/>
      <c r="J19" s="141"/>
      <c r="K19" s="233"/>
      <c r="L19" s="44"/>
    </row>
    <row r="20" spans="1:12" x14ac:dyDescent="0.25">
      <c r="A20" s="64">
        <v>7</v>
      </c>
      <c r="B20" s="238" t="s">
        <v>489</v>
      </c>
      <c r="C20" s="239">
        <v>1.8700000000000001E-2</v>
      </c>
      <c r="D20" s="232"/>
      <c r="E20" s="134"/>
      <c r="F20" s="141"/>
      <c r="G20" s="241"/>
      <c r="H20" s="239">
        <v>1.8700000000000001E-2</v>
      </c>
      <c r="I20" s="37"/>
      <c r="J20" s="141"/>
      <c r="K20" s="233"/>
      <c r="L20" s="44"/>
    </row>
    <row r="21" spans="1:12" x14ac:dyDescent="0.25">
      <c r="A21" s="64">
        <v>8</v>
      </c>
      <c r="B21" s="238" t="s">
        <v>490</v>
      </c>
      <c r="C21" s="239">
        <v>5.3299999999999997E-3</v>
      </c>
      <c r="D21" s="232"/>
      <c r="E21" s="134"/>
      <c r="F21" s="141"/>
      <c r="G21" s="241"/>
      <c r="H21" s="239">
        <v>5.3299999999999997E-3</v>
      </c>
      <c r="I21" s="37"/>
      <c r="J21" s="141"/>
      <c r="K21" s="233"/>
      <c r="L21" s="44"/>
    </row>
    <row r="22" spans="1:12" x14ac:dyDescent="0.25">
      <c r="A22" s="64">
        <v>9</v>
      </c>
      <c r="B22" s="238" t="s">
        <v>491</v>
      </c>
      <c r="C22" s="239">
        <v>2.3570000000000001E-2</v>
      </c>
      <c r="D22" s="232"/>
      <c r="E22" s="134"/>
      <c r="F22" s="141"/>
      <c r="G22" s="239">
        <v>1.7299999999999999E-2</v>
      </c>
      <c r="H22" s="239">
        <v>4.0870000000000004E-2</v>
      </c>
      <c r="I22" s="37"/>
      <c r="J22" s="141"/>
      <c r="K22" s="233"/>
      <c r="L22" s="44"/>
    </row>
    <row r="23" spans="1:12" x14ac:dyDescent="0.25">
      <c r="A23" s="64">
        <v>10</v>
      </c>
      <c r="B23" s="238" t="s">
        <v>492</v>
      </c>
      <c r="C23" s="239">
        <v>1.942E-2</v>
      </c>
      <c r="D23" s="232"/>
      <c r="E23" s="134"/>
      <c r="F23" s="141"/>
      <c r="G23" s="241"/>
      <c r="H23" s="239">
        <v>1.942E-2</v>
      </c>
      <c r="I23" s="37"/>
      <c r="J23" s="141"/>
      <c r="K23" s="233"/>
      <c r="L23" s="44"/>
    </row>
    <row r="24" spans="1:12" x14ac:dyDescent="0.25">
      <c r="A24" s="64">
        <v>11</v>
      </c>
      <c r="B24" s="238" t="s">
        <v>493</v>
      </c>
      <c r="C24" s="239">
        <v>-2.8500000000000001E-2</v>
      </c>
      <c r="D24" s="232"/>
      <c r="E24" s="134"/>
      <c r="F24" s="141"/>
      <c r="G24" s="241"/>
      <c r="H24" s="239">
        <v>-2.8500000000000001E-2</v>
      </c>
      <c r="I24" s="37"/>
      <c r="J24" s="141"/>
      <c r="K24" s="233"/>
      <c r="L24" s="44"/>
    </row>
    <row r="25" spans="1:12" x14ac:dyDescent="0.25">
      <c r="A25" s="64">
        <v>12</v>
      </c>
      <c r="B25" s="238" t="s">
        <v>494</v>
      </c>
      <c r="C25" s="239">
        <v>2.665E-2</v>
      </c>
      <c r="D25" s="232"/>
      <c r="E25" s="134"/>
      <c r="F25" s="141"/>
      <c r="G25" s="241"/>
      <c r="H25" s="239">
        <v>2.665E-2</v>
      </c>
      <c r="I25" s="37"/>
      <c r="J25" s="141"/>
      <c r="K25" s="233"/>
      <c r="L25" s="44"/>
    </row>
    <row r="26" spans="1:12" x14ac:dyDescent="0.25">
      <c r="A26" s="64">
        <v>13</v>
      </c>
      <c r="B26" s="1442" t="s">
        <v>1085</v>
      </c>
      <c r="C26" s="241"/>
      <c r="D26" s="232"/>
      <c r="E26" s="134"/>
      <c r="F26" s="141"/>
      <c r="G26" s="241"/>
      <c r="H26" s="242">
        <v>0</v>
      </c>
      <c r="I26" s="37"/>
      <c r="J26" s="141"/>
      <c r="K26" s="233"/>
      <c r="L26" s="44"/>
    </row>
    <row r="27" spans="1:12" x14ac:dyDescent="0.25">
      <c r="A27" s="64">
        <v>14</v>
      </c>
      <c r="B27" s="238" t="s">
        <v>495</v>
      </c>
      <c r="C27" s="239">
        <v>-2.2300000000000002E-3</v>
      </c>
      <c r="D27" s="232"/>
      <c r="E27" s="134"/>
      <c r="F27" s="141"/>
      <c r="G27" s="241"/>
      <c r="H27" s="243">
        <v>-2.2300000000000002E-3</v>
      </c>
      <c r="I27" s="37"/>
      <c r="J27" s="141"/>
      <c r="K27" s="233"/>
      <c r="L27" s="44"/>
    </row>
    <row r="28" spans="1:12" x14ac:dyDescent="0.25">
      <c r="A28" s="64">
        <v>15</v>
      </c>
      <c r="B28" s="238" t="s">
        <v>496</v>
      </c>
      <c r="C28" s="239">
        <v>1.366E-2</v>
      </c>
      <c r="D28" s="232"/>
      <c r="E28" s="134"/>
      <c r="F28" s="141"/>
      <c r="G28" s="241"/>
      <c r="H28" s="243">
        <v>1.366E-2</v>
      </c>
      <c r="I28" s="37"/>
      <c r="J28" s="141"/>
      <c r="K28" s="233"/>
      <c r="L28" s="44"/>
    </row>
    <row r="29" spans="1:12" x14ac:dyDescent="0.25">
      <c r="A29" s="64">
        <v>16</v>
      </c>
      <c r="B29" s="238" t="s">
        <v>497</v>
      </c>
      <c r="C29" s="239">
        <v>1.511E-2</v>
      </c>
      <c r="D29" s="232"/>
      <c r="E29" s="134"/>
      <c r="F29" s="141"/>
      <c r="G29" s="241"/>
      <c r="H29" s="243">
        <v>1.511E-2</v>
      </c>
      <c r="I29" s="37"/>
      <c r="J29" s="141"/>
      <c r="K29" s="233"/>
      <c r="L29" s="44"/>
    </row>
    <row r="30" spans="1:12" x14ac:dyDescent="0.25">
      <c r="A30" s="64">
        <v>17</v>
      </c>
      <c r="B30" s="238" t="s">
        <v>498</v>
      </c>
      <c r="C30" s="239">
        <v>9.9299999999999996E-3</v>
      </c>
      <c r="D30" s="232"/>
      <c r="E30" s="134"/>
      <c r="F30" s="141"/>
      <c r="G30" s="241"/>
      <c r="H30" s="243">
        <v>9.9299999999999996E-3</v>
      </c>
      <c r="I30" s="37"/>
      <c r="J30" s="141"/>
      <c r="K30" s="233"/>
      <c r="L30" s="44"/>
    </row>
    <row r="31" spans="1:12" x14ac:dyDescent="0.25">
      <c r="A31" s="64">
        <v>18</v>
      </c>
      <c r="B31" s="238" t="s">
        <v>499</v>
      </c>
      <c r="C31" s="239">
        <v>8.26E-3</v>
      </c>
      <c r="D31" s="232"/>
      <c r="E31" s="134"/>
      <c r="F31" s="141"/>
      <c r="G31" s="241"/>
      <c r="H31" s="243">
        <v>8.26E-3</v>
      </c>
      <c r="I31" s="37"/>
      <c r="J31" s="141"/>
      <c r="K31" s="233"/>
      <c r="L31" s="44"/>
    </row>
    <row r="32" spans="1:12" x14ac:dyDescent="0.25">
      <c r="A32" s="64">
        <v>19</v>
      </c>
      <c r="B32" s="238" t="s">
        <v>500</v>
      </c>
      <c r="C32" s="239">
        <v>5.5210000000000002E-2</v>
      </c>
      <c r="D32" s="232"/>
      <c r="E32" s="134"/>
      <c r="F32" s="141"/>
      <c r="G32" s="241"/>
      <c r="H32" s="243">
        <v>5.5210000000000002E-2</v>
      </c>
      <c r="I32" s="37"/>
      <c r="J32" s="141"/>
      <c r="K32" s="233"/>
      <c r="L32" s="44"/>
    </row>
    <row r="33" spans="1:12" x14ac:dyDescent="0.25">
      <c r="A33" s="64">
        <v>20</v>
      </c>
      <c r="B33" s="238" t="s">
        <v>501</v>
      </c>
      <c r="C33" s="239">
        <v>4.0550000000000003E-2</v>
      </c>
      <c r="D33" s="232"/>
      <c r="E33" s="134"/>
      <c r="F33" s="141"/>
      <c r="G33" s="241">
        <v>1.1639999999999999E-2</v>
      </c>
      <c r="H33" s="243">
        <v>5.219E-2</v>
      </c>
      <c r="I33" s="37"/>
      <c r="J33" s="141"/>
      <c r="K33" s="233"/>
      <c r="L33" s="44"/>
    </row>
    <row r="34" spans="1:12" x14ac:dyDescent="0.25">
      <c r="A34" s="64">
        <v>21</v>
      </c>
      <c r="B34" s="238" t="s">
        <v>502</v>
      </c>
      <c r="C34" s="239">
        <v>-9.7999999999999997E-3</v>
      </c>
      <c r="D34" s="232"/>
      <c r="E34" s="134"/>
      <c r="F34" s="141"/>
      <c r="G34" s="241"/>
      <c r="H34" s="243">
        <v>-9.7999999999999997E-3</v>
      </c>
      <c r="I34" s="37"/>
      <c r="J34" s="141"/>
      <c r="K34" s="233"/>
      <c r="L34" s="44"/>
    </row>
    <row r="35" spans="1:12" x14ac:dyDescent="0.25">
      <c r="A35" s="64">
        <v>22</v>
      </c>
      <c r="B35" s="238" t="s">
        <v>503</v>
      </c>
      <c r="C35" s="239">
        <v>7.3300000000000004E-2</v>
      </c>
      <c r="D35" s="232"/>
      <c r="E35" s="134"/>
      <c r="F35" s="141"/>
      <c r="G35" s="241">
        <v>7.3499999999999998E-3</v>
      </c>
      <c r="H35" s="243">
        <v>8.0649999999999999E-2</v>
      </c>
      <c r="I35" s="37"/>
      <c r="J35" s="141"/>
      <c r="K35" s="233"/>
      <c r="L35" s="44"/>
    </row>
    <row r="36" spans="1:12" x14ac:dyDescent="0.25">
      <c r="A36" s="64">
        <v>23</v>
      </c>
      <c r="B36" s="238" t="s">
        <v>504</v>
      </c>
      <c r="C36" s="239">
        <v>-3.4639999999999997E-2</v>
      </c>
      <c r="D36" s="232"/>
      <c r="E36" s="134"/>
      <c r="F36" s="141"/>
      <c r="G36" s="241"/>
      <c r="H36" s="243">
        <v>-3.4639999999999997E-2</v>
      </c>
      <c r="I36" s="37"/>
      <c r="J36" s="141"/>
      <c r="K36" s="233"/>
      <c r="L36" s="44"/>
    </row>
    <row r="37" spans="1:12" x14ac:dyDescent="0.25">
      <c r="A37" s="64">
        <v>24</v>
      </c>
      <c r="B37" s="238" t="s">
        <v>505</v>
      </c>
      <c r="C37" s="241"/>
      <c r="D37" s="232"/>
      <c r="E37" s="134"/>
      <c r="F37" s="141"/>
      <c r="G37" s="241"/>
      <c r="H37" s="243">
        <v>0</v>
      </c>
      <c r="I37" s="37"/>
      <c r="J37" s="141"/>
      <c r="K37" s="233"/>
      <c r="L37" s="44"/>
    </row>
    <row r="38" spans="1:12" x14ac:dyDescent="0.25">
      <c r="A38" s="64">
        <v>25</v>
      </c>
      <c r="B38" s="238" t="s">
        <v>506</v>
      </c>
      <c r="C38" s="239">
        <v>-6.0499999999999998E-3</v>
      </c>
      <c r="D38" s="232"/>
      <c r="E38" s="134"/>
      <c r="F38" s="141"/>
      <c r="G38" s="241"/>
      <c r="H38" s="243">
        <v>-6.0499999999999998E-3</v>
      </c>
      <c r="I38" s="37"/>
      <c r="J38" s="141"/>
      <c r="K38" s="233"/>
      <c r="L38" s="44"/>
    </row>
    <row r="39" spans="1:12" x14ac:dyDescent="0.25">
      <c r="A39" s="64">
        <v>26</v>
      </c>
      <c r="B39" s="238" t="s">
        <v>507</v>
      </c>
      <c r="C39" s="241"/>
      <c r="D39" s="232"/>
      <c r="E39" s="134"/>
      <c r="F39" s="141"/>
      <c r="G39" s="241">
        <v>3.0159999999999999E-2</v>
      </c>
      <c r="H39" s="243">
        <v>3.0159999999999999E-2</v>
      </c>
      <c r="I39" s="37"/>
      <c r="J39" s="141"/>
      <c r="K39" s="233"/>
      <c r="L39" s="44"/>
    </row>
    <row r="40" spans="1:12" x14ac:dyDescent="0.25">
      <c r="A40" s="64">
        <v>27</v>
      </c>
      <c r="B40" s="238" t="s">
        <v>508</v>
      </c>
      <c r="C40" s="239">
        <v>6.6669999999999993E-2</v>
      </c>
      <c r="D40" s="232"/>
      <c r="E40" s="134"/>
      <c r="F40" s="141"/>
      <c r="G40" s="241"/>
      <c r="H40" s="243">
        <v>6.6669999999999993E-2</v>
      </c>
      <c r="I40" s="37"/>
      <c r="J40" s="141"/>
      <c r="K40" s="233"/>
      <c r="L40" s="44"/>
    </row>
    <row r="41" spans="1:12" x14ac:dyDescent="0.25">
      <c r="A41" s="64">
        <v>28</v>
      </c>
      <c r="B41" s="238" t="s">
        <v>509</v>
      </c>
      <c r="C41" s="239">
        <v>2.9919999999999999E-2</v>
      </c>
      <c r="D41" s="232"/>
      <c r="E41" s="134"/>
      <c r="F41" s="141"/>
      <c r="G41" s="241"/>
      <c r="H41" s="243">
        <v>2.9919999999999999E-2</v>
      </c>
      <c r="I41" s="37"/>
      <c r="J41" s="141"/>
      <c r="K41" s="233"/>
      <c r="L41" s="44"/>
    </row>
    <row r="42" spans="1:12" x14ac:dyDescent="0.25">
      <c r="A42" s="64">
        <v>29</v>
      </c>
      <c r="B42" s="238" t="s">
        <v>510</v>
      </c>
      <c r="C42" s="239">
        <v>-3.7599999999999999E-3</v>
      </c>
      <c r="D42" s="232"/>
      <c r="E42" s="134"/>
      <c r="F42" s="141"/>
      <c r="G42" s="241"/>
      <c r="H42" s="243">
        <v>-3.7599999999999999E-3</v>
      </c>
      <c r="I42" s="37"/>
      <c r="J42" s="141"/>
      <c r="K42" s="233"/>
      <c r="L42" s="44"/>
    </row>
    <row r="43" spans="1:12" x14ac:dyDescent="0.25">
      <c r="A43" s="64">
        <v>30</v>
      </c>
      <c r="B43" s="238" t="s">
        <v>511</v>
      </c>
      <c r="C43" s="239">
        <v>-1.193E-2</v>
      </c>
      <c r="D43" s="232"/>
      <c r="E43" s="134"/>
      <c r="F43" s="141"/>
      <c r="G43" s="241">
        <v>3.2719999999999999E-2</v>
      </c>
      <c r="H43" s="243">
        <v>2.0789999999999999E-2</v>
      </c>
      <c r="I43" s="37"/>
      <c r="J43" s="141"/>
      <c r="K43" s="233"/>
      <c r="L43" s="44"/>
    </row>
    <row r="44" spans="1:12" x14ac:dyDescent="0.25">
      <c r="A44" s="64">
        <v>31</v>
      </c>
      <c r="B44" s="238" t="s">
        <v>512</v>
      </c>
      <c r="C44" s="239">
        <v>-1.068E-2</v>
      </c>
      <c r="D44" s="232"/>
      <c r="E44" s="134"/>
      <c r="F44" s="141"/>
      <c r="G44" s="241"/>
      <c r="H44" s="243">
        <v>-1.068E-2</v>
      </c>
      <c r="I44" s="37"/>
      <c r="J44" s="141"/>
      <c r="K44" s="233"/>
      <c r="L44" s="44"/>
    </row>
    <row r="45" spans="1:12" x14ac:dyDescent="0.25">
      <c r="A45" s="64">
        <v>32</v>
      </c>
      <c r="B45" s="238" t="s">
        <v>513</v>
      </c>
      <c r="C45" s="239">
        <v>-2.2710000000000001E-2</v>
      </c>
      <c r="D45" s="232"/>
      <c r="E45" s="134"/>
      <c r="F45" s="141"/>
      <c r="G45" s="241"/>
      <c r="H45" s="243">
        <v>-2.2710000000000001E-2</v>
      </c>
      <c r="I45" s="37"/>
      <c r="J45" s="141"/>
      <c r="K45" s="233"/>
      <c r="L45" s="44"/>
    </row>
    <row r="46" spans="1:12" x14ac:dyDescent="0.25">
      <c r="A46" s="64">
        <v>33</v>
      </c>
      <c r="B46" s="238" t="s">
        <v>514</v>
      </c>
      <c r="C46" s="239">
        <v>-1.6799999999999999E-2</v>
      </c>
      <c r="D46" s="232"/>
      <c r="E46" s="134"/>
      <c r="F46" s="141"/>
      <c r="G46" s="241"/>
      <c r="H46" s="243">
        <v>-1.6799999999999999E-2</v>
      </c>
      <c r="I46" s="37"/>
      <c r="J46" s="141"/>
      <c r="K46" s="233"/>
      <c r="L46" s="44"/>
    </row>
    <row r="47" spans="1:12" x14ac:dyDescent="0.25">
      <c r="A47" s="64">
        <v>34</v>
      </c>
      <c r="B47" s="238" t="s">
        <v>515</v>
      </c>
      <c r="C47" s="239">
        <v>4.5199999999999997E-3</v>
      </c>
      <c r="D47" s="232"/>
      <c r="E47" s="134"/>
      <c r="F47" s="141"/>
      <c r="G47" s="241"/>
      <c r="H47" s="243">
        <v>4.5199999999999997E-3</v>
      </c>
      <c r="I47" s="37"/>
      <c r="J47" s="141"/>
      <c r="K47" s="233"/>
      <c r="L47" s="44"/>
    </row>
    <row r="48" spans="1:12" x14ac:dyDescent="0.25">
      <c r="A48" s="64">
        <v>35</v>
      </c>
      <c r="B48" s="238" t="s">
        <v>516</v>
      </c>
      <c r="C48" s="239">
        <v>4.0030000000000003E-2</v>
      </c>
      <c r="D48" s="232"/>
      <c r="E48" s="134"/>
      <c r="F48" s="141"/>
      <c r="G48" s="241"/>
      <c r="H48" s="243">
        <v>4.0030000000000003E-2</v>
      </c>
      <c r="I48" s="37"/>
      <c r="J48" s="141"/>
      <c r="K48" s="233"/>
      <c r="L48" s="44"/>
    </row>
    <row r="49" spans="1:12" x14ac:dyDescent="0.25">
      <c r="A49" s="64">
        <v>36</v>
      </c>
      <c r="B49" s="238" t="s">
        <v>517</v>
      </c>
      <c r="C49" s="239">
        <v>-7.6499999999999997E-3</v>
      </c>
      <c r="D49" s="232"/>
      <c r="E49" s="134"/>
      <c r="F49" s="141"/>
      <c r="G49" s="241"/>
      <c r="H49" s="243">
        <v>-7.6499999999999997E-3</v>
      </c>
      <c r="I49" s="37"/>
      <c r="J49" s="141"/>
      <c r="K49" s="233"/>
      <c r="L49" s="44"/>
    </row>
    <row r="50" spans="1:12" x14ac:dyDescent="0.25">
      <c r="A50" s="64">
        <v>37</v>
      </c>
      <c r="B50" s="238" t="s">
        <v>518</v>
      </c>
      <c r="C50" s="239">
        <v>-2.7200000000000002E-3</v>
      </c>
      <c r="D50" s="232"/>
      <c r="E50" s="134"/>
      <c r="F50" s="141"/>
      <c r="G50" s="241"/>
      <c r="H50" s="243">
        <v>-2.7200000000000002E-3</v>
      </c>
      <c r="I50" s="37"/>
      <c r="J50" s="141"/>
      <c r="K50" s="233"/>
      <c r="L50" s="44"/>
    </row>
    <row r="51" spans="1:12" x14ac:dyDescent="0.25">
      <c r="A51" s="64">
        <v>38</v>
      </c>
      <c r="B51" s="238" t="s">
        <v>519</v>
      </c>
      <c r="C51" s="239">
        <v>-1.97E-3</v>
      </c>
      <c r="D51" s="232"/>
      <c r="E51" s="134"/>
      <c r="F51" s="141"/>
      <c r="G51" s="241"/>
      <c r="H51" s="243">
        <v>-1.97E-3</v>
      </c>
      <c r="I51" s="37"/>
      <c r="J51" s="141"/>
      <c r="K51" s="233"/>
      <c r="L51" s="44"/>
    </row>
    <row r="52" spans="1:12" x14ac:dyDescent="0.25">
      <c r="A52" s="64">
        <v>39</v>
      </c>
      <c r="B52" s="238" t="s">
        <v>520</v>
      </c>
      <c r="C52" s="239">
        <v>-2.31E-3</v>
      </c>
      <c r="D52" s="232"/>
      <c r="E52" s="134"/>
      <c r="F52" s="141"/>
      <c r="G52" s="241">
        <v>6.5189999999999998E-2</v>
      </c>
      <c r="H52" s="243">
        <v>6.2879999999999991E-2</v>
      </c>
      <c r="I52" s="37"/>
      <c r="J52" s="141"/>
      <c r="K52" s="233"/>
      <c r="L52" s="44"/>
    </row>
    <row r="53" spans="1:12" x14ac:dyDescent="0.25">
      <c r="A53" s="64">
        <v>40</v>
      </c>
      <c r="B53" s="238" t="s">
        <v>521</v>
      </c>
      <c r="C53" s="239">
        <v>-3.5999999999999999E-3</v>
      </c>
      <c r="D53" s="232"/>
      <c r="E53" s="134"/>
      <c r="F53" s="141"/>
      <c r="G53" s="241"/>
      <c r="H53" s="243">
        <v>-3.5999999999999999E-3</v>
      </c>
      <c r="I53" s="37"/>
      <c r="J53" s="141"/>
      <c r="K53" s="233"/>
      <c r="L53" s="44"/>
    </row>
    <row r="54" spans="1:12" x14ac:dyDescent="0.25">
      <c r="A54" s="64">
        <v>41</v>
      </c>
      <c r="B54" s="238" t="s">
        <v>522</v>
      </c>
      <c r="C54" s="239">
        <v>-1.4880000000000001E-2</v>
      </c>
      <c r="D54" s="232"/>
      <c r="E54" s="134"/>
      <c r="F54" s="141"/>
      <c r="G54" s="241"/>
      <c r="H54" s="243">
        <v>-1.4880000000000001E-2</v>
      </c>
      <c r="I54" s="37"/>
      <c r="J54" s="141"/>
      <c r="K54" s="233"/>
      <c r="L54" s="44"/>
    </row>
    <row r="55" spans="1:12" x14ac:dyDescent="0.25">
      <c r="A55" s="64">
        <v>42</v>
      </c>
      <c r="B55" s="238" t="s">
        <v>523</v>
      </c>
      <c r="C55" s="239">
        <v>-6.4570000000000002E-2</v>
      </c>
      <c r="D55" s="232"/>
      <c r="E55" s="134"/>
      <c r="F55" s="141"/>
      <c r="G55" s="241"/>
      <c r="H55" s="243">
        <v>-6.4570000000000002E-2</v>
      </c>
      <c r="I55" s="37"/>
      <c r="J55" s="141"/>
      <c r="K55" s="233"/>
      <c r="L55" s="44"/>
    </row>
    <row r="56" spans="1:12" x14ac:dyDescent="0.25">
      <c r="A56" s="64">
        <v>43</v>
      </c>
      <c r="B56" s="238" t="s">
        <v>524</v>
      </c>
      <c r="C56" s="239">
        <v>-3.9820000000000001E-2</v>
      </c>
      <c r="D56" s="241"/>
      <c r="E56" s="244"/>
      <c r="F56" s="245"/>
      <c r="G56" s="241"/>
      <c r="H56" s="243">
        <v>-3.9820000000000001E-2</v>
      </c>
      <c r="I56" s="37"/>
      <c r="J56" s="141"/>
      <c r="K56" s="240"/>
      <c r="L56" s="44"/>
    </row>
    <row r="57" spans="1:12" x14ac:dyDescent="0.25">
      <c r="A57" s="64">
        <v>44</v>
      </c>
      <c r="B57" s="238" t="s">
        <v>525</v>
      </c>
      <c r="C57" s="239">
        <v>5.8199999999999997E-3</v>
      </c>
      <c r="D57" s="232"/>
      <c r="E57" s="134"/>
      <c r="F57" s="141"/>
      <c r="G57" s="241"/>
      <c r="H57" s="243">
        <v>5.8199999999999997E-3</v>
      </c>
      <c r="I57" s="37"/>
      <c r="J57" s="141"/>
      <c r="K57" s="233"/>
      <c r="L57" s="44"/>
    </row>
    <row r="58" spans="1:12" x14ac:dyDescent="0.25">
      <c r="A58" s="64">
        <v>45</v>
      </c>
      <c r="B58" s="238" t="s">
        <v>526</v>
      </c>
      <c r="C58" s="239">
        <v>9.0900000000000009E-3</v>
      </c>
      <c r="D58" s="232"/>
      <c r="E58" s="134"/>
      <c r="F58" s="141"/>
      <c r="G58" s="241"/>
      <c r="H58" s="243">
        <v>9.0900000000000009E-3</v>
      </c>
      <c r="I58" s="37"/>
      <c r="J58" s="141"/>
      <c r="K58" s="233"/>
      <c r="L58" s="44"/>
    </row>
    <row r="59" spans="1:12" x14ac:dyDescent="0.25">
      <c r="A59" s="64">
        <v>46</v>
      </c>
      <c r="B59" s="238" t="s">
        <v>527</v>
      </c>
      <c r="C59" s="239">
        <v>8.9499999999999996E-3</v>
      </c>
      <c r="D59" s="241"/>
      <c r="E59" s="244"/>
      <c r="F59" s="245"/>
      <c r="G59" s="241"/>
      <c r="H59" s="243">
        <v>8.9499999999999996E-3</v>
      </c>
      <c r="I59" s="37"/>
      <c r="J59" s="141"/>
      <c r="K59" s="240"/>
      <c r="L59" s="44"/>
    </row>
    <row r="60" spans="1:12" x14ac:dyDescent="0.25">
      <c r="A60" s="64">
        <v>47</v>
      </c>
      <c r="B60" s="238" t="s">
        <v>528</v>
      </c>
      <c r="C60" s="239">
        <v>8.1099999999999992E-3</v>
      </c>
      <c r="D60" s="241"/>
      <c r="E60" s="244"/>
      <c r="F60" s="245"/>
      <c r="G60" s="241"/>
      <c r="H60" s="243">
        <v>8.1099999999999992E-3</v>
      </c>
      <c r="I60" s="37"/>
      <c r="J60" s="141"/>
      <c r="K60" s="240"/>
      <c r="L60" s="44"/>
    </row>
    <row r="61" spans="1:12" x14ac:dyDescent="0.25">
      <c r="A61" s="64">
        <v>48</v>
      </c>
      <c r="B61" s="238" t="s">
        <v>529</v>
      </c>
      <c r="C61" s="239">
        <v>-6.9870000000000002E-2</v>
      </c>
      <c r="D61" s="241"/>
      <c r="E61" s="244"/>
      <c r="F61" s="245"/>
      <c r="G61" s="241"/>
      <c r="H61" s="243">
        <v>-6.9870000000000002E-2</v>
      </c>
      <c r="I61" s="37"/>
      <c r="J61" s="141"/>
      <c r="K61" s="240"/>
      <c r="L61" s="44"/>
    </row>
    <row r="62" spans="1:12" x14ac:dyDescent="0.25">
      <c r="A62" s="64">
        <v>49</v>
      </c>
      <c r="B62" s="238" t="s">
        <v>530</v>
      </c>
      <c r="C62" s="239">
        <v>1.503E-2</v>
      </c>
      <c r="D62" s="241"/>
      <c r="E62" s="244"/>
      <c r="F62" s="245"/>
      <c r="G62" s="241"/>
      <c r="H62" s="243">
        <v>1.503E-2</v>
      </c>
      <c r="I62" s="37"/>
      <c r="J62" s="141"/>
      <c r="K62" s="240"/>
      <c r="L62" s="44"/>
    </row>
    <row r="63" spans="1:12" x14ac:dyDescent="0.25">
      <c r="A63" s="64">
        <v>50</v>
      </c>
      <c r="B63" s="238" t="s">
        <v>531</v>
      </c>
      <c r="C63" s="239">
        <v>-7.9299999999999995E-3</v>
      </c>
      <c r="D63" s="241"/>
      <c r="E63" s="244"/>
      <c r="F63" s="245"/>
      <c r="G63" s="241"/>
      <c r="H63" s="243">
        <v>-7.9299999999999995E-3</v>
      </c>
      <c r="I63" s="37"/>
      <c r="J63" s="141"/>
      <c r="K63" s="233"/>
      <c r="L63" s="44"/>
    </row>
    <row r="64" spans="1:12" x14ac:dyDescent="0.25">
      <c r="A64" s="64">
        <v>51</v>
      </c>
      <c r="B64" s="238" t="s">
        <v>532</v>
      </c>
      <c r="C64" s="239">
        <v>-2.1909999999999999E-2</v>
      </c>
      <c r="D64" s="241"/>
      <c r="E64" s="244"/>
      <c r="F64" s="245"/>
      <c r="G64" s="241"/>
      <c r="H64" s="243">
        <v>-2.1909999999999999E-2</v>
      </c>
      <c r="I64" s="246">
        <v>-4.1399999999999999E-2</v>
      </c>
      <c r="J64" s="141"/>
      <c r="K64" s="233"/>
      <c r="L64" s="44"/>
    </row>
    <row r="65" spans="1:12" x14ac:dyDescent="0.25">
      <c r="A65" s="64">
        <v>52</v>
      </c>
      <c r="B65" s="238" t="s">
        <v>533</v>
      </c>
      <c r="C65" s="239">
        <v>1.065E-2</v>
      </c>
      <c r="D65" s="241"/>
      <c r="E65" s="244"/>
      <c r="F65" s="245"/>
      <c r="G65" s="241"/>
      <c r="H65" s="243">
        <v>1.065E-2</v>
      </c>
      <c r="I65" s="246">
        <v>1.9E-2</v>
      </c>
      <c r="J65" s="141"/>
      <c r="K65" s="233"/>
      <c r="L65" s="44"/>
    </row>
    <row r="66" spans="1:12" x14ac:dyDescent="0.25">
      <c r="A66" s="64">
        <v>53</v>
      </c>
      <c r="B66" s="238" t="s">
        <v>534</v>
      </c>
      <c r="C66" s="239">
        <v>3.347E-2</v>
      </c>
      <c r="D66" s="241"/>
      <c r="E66" s="244"/>
      <c r="F66" s="245"/>
      <c r="G66" s="241"/>
      <c r="H66" s="243">
        <v>3.347E-2</v>
      </c>
      <c r="I66" s="246">
        <v>6.4000000000000001E-2</v>
      </c>
      <c r="J66" s="141"/>
      <c r="K66" s="233"/>
      <c r="L66" s="44"/>
    </row>
    <row r="67" spans="1:12" x14ac:dyDescent="0.25">
      <c r="A67" s="64">
        <v>54</v>
      </c>
      <c r="B67" s="238" t="s">
        <v>535</v>
      </c>
      <c r="C67" s="239">
        <v>3.8580000000000003E-2</v>
      </c>
      <c r="D67" s="241"/>
      <c r="E67" s="244"/>
      <c r="F67" s="245"/>
      <c r="G67" s="241"/>
      <c r="H67" s="243">
        <v>3.8580000000000003E-2</v>
      </c>
      <c r="I67" s="246">
        <v>7.0000000000000007E-2</v>
      </c>
      <c r="J67" s="141"/>
      <c r="K67" s="233"/>
      <c r="L67" s="44"/>
    </row>
    <row r="68" spans="1:12" x14ac:dyDescent="0.25">
      <c r="A68" s="64">
        <v>55</v>
      </c>
      <c r="B68" s="238" t="s">
        <v>536</v>
      </c>
      <c r="C68" s="239">
        <v>-4.054E-2</v>
      </c>
      <c r="D68" s="241"/>
      <c r="E68" s="244"/>
      <c r="F68" s="245"/>
      <c r="G68" s="241"/>
      <c r="H68" s="243">
        <v>-4.054E-2</v>
      </c>
      <c r="I68" s="246">
        <v>-6.9000000000000006E-2</v>
      </c>
      <c r="J68" s="141"/>
      <c r="K68" s="233"/>
      <c r="L68" s="44"/>
    </row>
    <row r="69" spans="1:12" x14ac:dyDescent="0.25">
      <c r="A69" s="64">
        <v>56</v>
      </c>
      <c r="B69" s="238" t="s">
        <v>537</v>
      </c>
      <c r="C69" s="239">
        <v>-2.1669999999999998E-2</v>
      </c>
      <c r="D69" s="241"/>
      <c r="E69" s="247">
        <v>6.13E-3</v>
      </c>
      <c r="F69" s="245" t="s">
        <v>538</v>
      </c>
      <c r="G69" s="241"/>
      <c r="H69" s="243">
        <v>-1.5539999999999998E-2</v>
      </c>
      <c r="I69" s="246">
        <v>-6.8699999999999997E-2</v>
      </c>
      <c r="J69" s="141"/>
      <c r="K69" s="233"/>
      <c r="L69" s="44"/>
    </row>
    <row r="70" spans="1:12" x14ac:dyDescent="0.25">
      <c r="A70" s="64">
        <v>57</v>
      </c>
      <c r="B70" s="238" t="s">
        <v>539</v>
      </c>
      <c r="C70" s="239">
        <v>1.9499999999999999E-3</v>
      </c>
      <c r="D70" s="239">
        <v>-2.555E-2</v>
      </c>
      <c r="E70" s="247"/>
      <c r="F70" s="245"/>
      <c r="G70" s="241"/>
      <c r="H70" s="243">
        <v>-2.3599999999999999E-2</v>
      </c>
      <c r="I70" s="246">
        <v>4.0000000000000001E-3</v>
      </c>
      <c r="J70" s="141"/>
      <c r="K70" s="233"/>
      <c r="L70" s="44"/>
    </row>
    <row r="71" spans="1:12" x14ac:dyDescent="0.25">
      <c r="A71" s="64">
        <v>58</v>
      </c>
      <c r="B71" s="248" t="s">
        <v>540</v>
      </c>
      <c r="C71" s="239">
        <v>-1.9820000000000001E-2</v>
      </c>
      <c r="D71" s="239">
        <v>-2.9569999999999999E-2</v>
      </c>
      <c r="E71" s="247">
        <v>1.1100000000000001E-3</v>
      </c>
      <c r="F71" s="245" t="s">
        <v>538</v>
      </c>
      <c r="G71" s="241"/>
      <c r="H71" s="243">
        <v>-4.8280000000000003E-2</v>
      </c>
      <c r="I71" s="246">
        <v>-4.4999999999999998E-2</v>
      </c>
      <c r="J71" s="141"/>
      <c r="K71" s="233"/>
      <c r="L71" s="44"/>
    </row>
    <row r="72" spans="1:12" x14ac:dyDescent="0.25">
      <c r="A72" s="64">
        <v>59</v>
      </c>
      <c r="B72" s="248" t="s">
        <v>541</v>
      </c>
      <c r="C72" s="239"/>
      <c r="D72" s="239"/>
      <c r="E72" s="247">
        <v>1.4250000000000001E-3</v>
      </c>
      <c r="F72" s="245" t="s">
        <v>542</v>
      </c>
      <c r="G72" s="239">
        <v>1.3615E-2</v>
      </c>
      <c r="H72" s="239">
        <v>1.5040000000000001E-2</v>
      </c>
      <c r="I72" s="246">
        <v>0.03</v>
      </c>
      <c r="J72" s="141"/>
      <c r="K72" s="233"/>
      <c r="L72" s="44"/>
    </row>
    <row r="73" spans="1:12" x14ac:dyDescent="0.25">
      <c r="A73" s="64">
        <v>60</v>
      </c>
      <c r="B73" s="248" t="s">
        <v>543</v>
      </c>
      <c r="C73" s="239">
        <v>4.6199999999999998E-2</v>
      </c>
      <c r="D73" s="239">
        <v>-3.0509999999999999E-2</v>
      </c>
      <c r="E73" s="247">
        <v>1.4250000000000001E-3</v>
      </c>
      <c r="F73" s="245" t="s">
        <v>542</v>
      </c>
      <c r="G73" s="249"/>
      <c r="H73" s="239">
        <v>1.7114999999999998E-2</v>
      </c>
      <c r="I73" s="246">
        <v>0.09</v>
      </c>
      <c r="J73" s="141"/>
      <c r="K73" s="233"/>
      <c r="L73" s="44"/>
    </row>
    <row r="74" spans="1:12" x14ac:dyDescent="0.25">
      <c r="A74" s="64">
        <v>61</v>
      </c>
      <c r="B74" s="250">
        <v>36130</v>
      </c>
      <c r="C74" s="239">
        <v>6.6100000000000004E-3</v>
      </c>
      <c r="D74" s="239">
        <v>-6.5900000000000004E-3</v>
      </c>
      <c r="E74" s="247">
        <v>1.4250000000000001E-3</v>
      </c>
      <c r="F74" s="245" t="s">
        <v>542</v>
      </c>
      <c r="G74" s="22"/>
      <c r="H74" s="239">
        <v>1.4450000000000001E-3</v>
      </c>
      <c r="I74" s="246">
        <v>5.6000000000000001E-2</v>
      </c>
      <c r="J74" s="141"/>
      <c r="K74" s="233"/>
      <c r="L74" s="44"/>
    </row>
    <row r="75" spans="1:12" x14ac:dyDescent="0.25">
      <c r="A75" s="64">
        <v>62</v>
      </c>
      <c r="B75" s="250">
        <v>36312</v>
      </c>
      <c r="C75" s="239"/>
      <c r="D75" s="239"/>
      <c r="E75" s="247">
        <v>3.9300000000000003E-3</v>
      </c>
      <c r="F75" s="245" t="s">
        <v>544</v>
      </c>
      <c r="G75" s="22"/>
      <c r="H75" s="239">
        <v>3.9300000000000003E-3</v>
      </c>
      <c r="I75" s="246">
        <v>7.1999999999999998E-3</v>
      </c>
      <c r="J75" s="141"/>
      <c r="K75" s="233"/>
      <c r="L75" s="44"/>
    </row>
    <row r="76" spans="1:12" x14ac:dyDescent="0.25">
      <c r="A76" s="64">
        <v>63</v>
      </c>
      <c r="B76" s="250">
        <v>36495</v>
      </c>
      <c r="C76" s="239">
        <v>4.1500000000000002E-2</v>
      </c>
      <c r="D76" s="239">
        <v>1.295E-2</v>
      </c>
      <c r="E76" s="247">
        <v>5.4800000000000005E-3</v>
      </c>
      <c r="F76" s="245" t="s">
        <v>545</v>
      </c>
      <c r="G76" s="22"/>
      <c r="H76" s="239">
        <v>5.9929999999999997E-2</v>
      </c>
      <c r="I76" s="246">
        <v>0.105</v>
      </c>
      <c r="J76" s="141"/>
      <c r="K76" s="233"/>
      <c r="L76" s="44"/>
    </row>
    <row r="77" spans="1:12" x14ac:dyDescent="0.25">
      <c r="A77" s="64">
        <v>64</v>
      </c>
      <c r="B77" s="250">
        <v>36739</v>
      </c>
      <c r="C77" s="239">
        <v>0.14019999999999999</v>
      </c>
      <c r="D77" s="239">
        <v>1.295E-2</v>
      </c>
      <c r="E77" s="247">
        <v>5.2300000000000003E-3</v>
      </c>
      <c r="F77" s="245" t="s">
        <v>545</v>
      </c>
      <c r="G77" s="22"/>
      <c r="H77" s="239">
        <v>0.15837999999999999</v>
      </c>
      <c r="I77" s="246">
        <v>0.23100000000000001</v>
      </c>
      <c r="J77" s="141"/>
      <c r="K77" s="233"/>
      <c r="L77" s="44"/>
    </row>
    <row r="78" spans="1:12" x14ac:dyDescent="0.25">
      <c r="A78" s="64">
        <v>65</v>
      </c>
      <c r="B78" s="250">
        <v>36831</v>
      </c>
      <c r="C78" s="239">
        <v>0</v>
      </c>
      <c r="D78" s="239">
        <v>0</v>
      </c>
      <c r="E78" s="247">
        <v>0</v>
      </c>
      <c r="F78" s="245"/>
      <c r="G78" s="251">
        <v>5.5710000000000003E-2</v>
      </c>
      <c r="H78" s="239">
        <v>5.5710000000000003E-2</v>
      </c>
      <c r="I78" s="246">
        <v>7.1499999999999994E-2</v>
      </c>
      <c r="J78" s="141"/>
      <c r="K78" s="233"/>
      <c r="L78" s="44"/>
    </row>
    <row r="79" spans="1:12" x14ac:dyDescent="0.25">
      <c r="A79" s="64">
        <v>66</v>
      </c>
      <c r="B79" s="250">
        <v>37408</v>
      </c>
      <c r="C79" s="239">
        <v>0</v>
      </c>
      <c r="D79" s="239">
        <v>0</v>
      </c>
      <c r="E79" s="247">
        <v>0</v>
      </c>
      <c r="F79" s="245"/>
      <c r="G79" s="251">
        <v>2.964E-2</v>
      </c>
      <c r="H79" s="239">
        <v>2.964E-2</v>
      </c>
      <c r="I79" s="246">
        <v>3.5400000000000001E-2</v>
      </c>
      <c r="J79" s="141"/>
      <c r="K79" s="233"/>
      <c r="L79" s="44"/>
    </row>
    <row r="80" spans="1:12" x14ac:dyDescent="0.25">
      <c r="A80" s="64">
        <v>67</v>
      </c>
      <c r="B80" s="250">
        <v>37165</v>
      </c>
      <c r="C80" s="239">
        <v>0.16794000000000003</v>
      </c>
      <c r="D80" s="239">
        <v>-1.5299999999999999E-2</v>
      </c>
      <c r="E80" s="247">
        <v>1.5499999999999999E-3</v>
      </c>
      <c r="F80" s="245" t="s">
        <v>542</v>
      </c>
      <c r="G80" s="251">
        <v>0</v>
      </c>
      <c r="H80" s="239">
        <v>0.15419000000000002</v>
      </c>
      <c r="I80" s="246">
        <v>0.18</v>
      </c>
      <c r="J80" s="141"/>
      <c r="K80" s="233"/>
      <c r="L80" s="44"/>
    </row>
    <row r="81" spans="1:12" x14ac:dyDescent="0.25">
      <c r="A81" s="64">
        <v>68</v>
      </c>
      <c r="B81" s="250">
        <v>37530</v>
      </c>
      <c r="C81" s="239">
        <v>-0.13646</v>
      </c>
      <c r="D81" s="239">
        <v>-0.13114000000000001</v>
      </c>
      <c r="E81" s="247">
        <v>-1.2199999999999999E-3</v>
      </c>
      <c r="F81" s="245" t="s">
        <v>542</v>
      </c>
      <c r="G81" s="251">
        <v>0</v>
      </c>
      <c r="H81" s="239">
        <v>-0.26882</v>
      </c>
      <c r="I81" s="246">
        <v>-0.245</v>
      </c>
      <c r="J81" s="141"/>
      <c r="K81" s="233"/>
      <c r="L81" s="44"/>
    </row>
    <row r="82" spans="1:12" x14ac:dyDescent="0.25">
      <c r="A82" s="64">
        <v>69</v>
      </c>
      <c r="B82" s="250">
        <v>37895</v>
      </c>
      <c r="C82" s="239">
        <v>4.1329999999999999E-2</v>
      </c>
      <c r="D82" s="239">
        <v>-4.5940000000000002E-2</v>
      </c>
      <c r="E82" s="247">
        <v>0</v>
      </c>
      <c r="F82" s="245"/>
      <c r="G82" s="251">
        <v>0</v>
      </c>
      <c r="H82" s="239">
        <v>-4.610000000000003E-3</v>
      </c>
      <c r="I82" s="246">
        <v>0.16300000000000001</v>
      </c>
      <c r="J82" s="141"/>
      <c r="K82" s="233"/>
      <c r="L82" s="44"/>
    </row>
    <row r="83" spans="1:12" x14ac:dyDescent="0.25">
      <c r="A83" s="64">
        <v>70</v>
      </c>
      <c r="B83" s="250">
        <v>38169</v>
      </c>
      <c r="C83" s="239"/>
      <c r="D83" s="239"/>
      <c r="E83" s="252"/>
      <c r="F83" s="245"/>
      <c r="G83" s="247">
        <v>5.5919999999999997E-2</v>
      </c>
      <c r="H83" s="239">
        <f>+G83</f>
        <v>5.5919999999999997E-2</v>
      </c>
      <c r="I83" s="246">
        <v>6.5000000000000002E-2</v>
      </c>
      <c r="J83" s="141"/>
      <c r="K83" s="233"/>
      <c r="L83" s="44"/>
    </row>
    <row r="84" spans="1:12" x14ac:dyDescent="0.25">
      <c r="A84" s="64">
        <v>71</v>
      </c>
      <c r="B84" s="253">
        <v>38292</v>
      </c>
      <c r="C84" s="239">
        <v>0.11653013371038373</v>
      </c>
      <c r="D84" s="239">
        <v>1.5130000000000001E-2</v>
      </c>
      <c r="E84" s="252">
        <v>0</v>
      </c>
      <c r="F84" s="245"/>
      <c r="G84" s="247">
        <v>1.1529999999999999E-2</v>
      </c>
      <c r="H84" s="239">
        <v>0.14319013371038375</v>
      </c>
      <c r="I84" s="246">
        <v>0.2123268411006273</v>
      </c>
      <c r="J84" s="141"/>
      <c r="K84" s="233"/>
      <c r="L84" s="44"/>
    </row>
    <row r="85" spans="1:12" x14ac:dyDescent="0.25">
      <c r="A85" s="64">
        <v>72</v>
      </c>
      <c r="B85" s="253">
        <v>38626</v>
      </c>
      <c r="C85" s="239">
        <v>0.1580859350567711</v>
      </c>
      <c r="D85" s="239">
        <v>-3.9899999999999996E-3</v>
      </c>
      <c r="E85" s="252">
        <v>0</v>
      </c>
      <c r="F85" s="245"/>
      <c r="G85" s="247">
        <v>0</v>
      </c>
      <c r="H85" s="239">
        <v>0.15409593505677111</v>
      </c>
      <c r="I85" s="246">
        <v>0.12</v>
      </c>
      <c r="J85" s="141"/>
      <c r="K85" s="233"/>
      <c r="L85" s="44"/>
    </row>
    <row r="86" spans="1:12" x14ac:dyDescent="0.25">
      <c r="A86" s="64">
        <v>73</v>
      </c>
      <c r="B86" s="253">
        <v>39022</v>
      </c>
      <c r="C86" s="251">
        <v>5.2099999999999966E-2</v>
      </c>
      <c r="D86" s="251">
        <v>-1.244E-2</v>
      </c>
      <c r="E86" s="331">
        <v>0</v>
      </c>
      <c r="F86" s="632"/>
      <c r="G86" s="251">
        <v>0</v>
      </c>
      <c r="H86" s="251">
        <v>3.9659999999999966E-2</v>
      </c>
      <c r="I86" s="631">
        <v>0.03</v>
      </c>
      <c r="J86" s="141"/>
      <c r="K86" s="233"/>
      <c r="L86" s="44"/>
    </row>
    <row r="87" spans="1:12" x14ac:dyDescent="0.25">
      <c r="A87" s="64">
        <v>74</v>
      </c>
      <c r="B87" s="253">
        <v>39387</v>
      </c>
      <c r="C87" s="251">
        <v>-4.292E-2</v>
      </c>
      <c r="D87" s="251">
        <v>-8.7559999999999999E-2</v>
      </c>
      <c r="E87" s="331">
        <v>0</v>
      </c>
      <c r="F87" s="632"/>
      <c r="G87" s="212">
        <v>0</v>
      </c>
      <c r="H87" s="251">
        <v>-0.13048000000000001</v>
      </c>
      <c r="I87" s="631">
        <v>-9.8000000000000004E-2</v>
      </c>
      <c r="J87" s="141"/>
      <c r="K87" s="233"/>
      <c r="L87" s="44"/>
    </row>
    <row r="88" spans="1:12" x14ac:dyDescent="0.25">
      <c r="A88" s="64">
        <v>75</v>
      </c>
      <c r="B88" s="253">
        <v>39753</v>
      </c>
      <c r="C88" s="239">
        <v>0.14254</v>
      </c>
      <c r="D88" s="239">
        <v>0.10913</v>
      </c>
      <c r="E88" s="252">
        <v>0</v>
      </c>
      <c r="F88" s="245"/>
      <c r="G88" s="247">
        <v>0</v>
      </c>
      <c r="H88" s="239">
        <f>+C88+D88+E88+G88</f>
        <v>0.25167</v>
      </c>
      <c r="I88" s="246">
        <v>0.218</v>
      </c>
      <c r="J88" s="141"/>
      <c r="K88" s="233"/>
      <c r="L88" s="44"/>
    </row>
    <row r="89" spans="1:12" x14ac:dyDescent="0.25">
      <c r="A89" s="64">
        <v>76</v>
      </c>
      <c r="B89" s="253">
        <f>+'Index &amp; Documentation'!D1</f>
        <v>39814</v>
      </c>
      <c r="C89" s="239">
        <v>0</v>
      </c>
      <c r="D89" s="239">
        <v>2.1900000000000001E-3</v>
      </c>
      <c r="E89" s="252">
        <v>4.7299999999999998E-3</v>
      </c>
      <c r="F89" s="245"/>
      <c r="G89" s="247">
        <v>0</v>
      </c>
      <c r="H89" s="239">
        <f>+C89+D89+E89+G89</f>
        <v>6.9199999999999999E-3</v>
      </c>
      <c r="I89" s="246">
        <v>3.3300000000000003E-2</v>
      </c>
      <c r="J89" s="141"/>
      <c r="K89" s="893"/>
      <c r="L89" s="44"/>
    </row>
    <row r="90" spans="1:12" x14ac:dyDescent="0.25">
      <c r="A90" s="64">
        <v>77</v>
      </c>
      <c r="B90" s="253">
        <v>40118</v>
      </c>
      <c r="C90" s="239">
        <v>-0.26163999999999998</v>
      </c>
      <c r="D90" s="239">
        <v>-6.7680000000000004E-2</v>
      </c>
      <c r="E90" s="252">
        <v>1.6000000000000001E-4</v>
      </c>
      <c r="F90" s="245"/>
      <c r="G90" s="247">
        <v>0</v>
      </c>
      <c r="H90" s="239">
        <v>-0.32916000000000001</v>
      </c>
      <c r="I90" s="246">
        <v>-0.219</v>
      </c>
      <c r="J90" s="141"/>
      <c r="K90" s="893"/>
      <c r="L90" s="44"/>
    </row>
    <row r="91" spans="1:12" x14ac:dyDescent="0.25">
      <c r="A91" s="64">
        <v>78</v>
      </c>
      <c r="B91" s="253">
        <v>40483</v>
      </c>
      <c r="C91" s="239">
        <v>-6.0999999999999999E-2</v>
      </c>
      <c r="D91" s="239">
        <v>2.8820000000000002E-2</v>
      </c>
      <c r="E91" s="252">
        <v>0</v>
      </c>
      <c r="F91" s="245"/>
      <c r="G91" s="247">
        <v>0</v>
      </c>
      <c r="H91" s="239">
        <v>-3.218E-2</v>
      </c>
      <c r="I91" s="246">
        <v>-1.7744368526044548E-2</v>
      </c>
      <c r="J91" s="141"/>
      <c r="K91" s="893"/>
      <c r="L91" s="44"/>
    </row>
    <row r="92" spans="1:12" x14ac:dyDescent="0.25">
      <c r="A92" s="64">
        <v>79</v>
      </c>
      <c r="B92" s="253">
        <v>40848</v>
      </c>
      <c r="C92" s="239">
        <v>-4.3209999999999998E-2</v>
      </c>
      <c r="D92" s="239">
        <v>1.562E-2</v>
      </c>
      <c r="E92" s="252">
        <v>2.5999999999999998E-4</v>
      </c>
      <c r="F92" s="245"/>
      <c r="G92" s="247">
        <v>0</v>
      </c>
      <c r="H92" s="239">
        <v>-2.7329999999999997E-2</v>
      </c>
      <c r="I92" s="246">
        <v>-2.1999999999999999E-2</v>
      </c>
      <c r="J92" s="141"/>
      <c r="K92" s="893"/>
      <c r="L92" s="44"/>
    </row>
    <row r="93" spans="1:12" x14ac:dyDescent="0.25">
      <c r="A93" s="64">
        <v>80</v>
      </c>
      <c r="B93" s="253">
        <v>41214</v>
      </c>
      <c r="C93" s="239">
        <v>-3.236E-2</v>
      </c>
      <c r="D93" s="239">
        <v>2.155E-2</v>
      </c>
      <c r="E93" s="252">
        <v>3.6000000000000002E-4</v>
      </c>
      <c r="F93" s="245"/>
      <c r="G93" s="247">
        <v>0</v>
      </c>
      <c r="H93" s="239">
        <v>-1.0450000000000001E-2</v>
      </c>
      <c r="I93" s="246">
        <v>-7.6999999999999999E-2</v>
      </c>
      <c r="J93" s="141"/>
      <c r="K93" s="893"/>
      <c r="L93" s="44"/>
    </row>
    <row r="94" spans="1:12" x14ac:dyDescent="0.25">
      <c r="A94" s="64">
        <f>+A93+1</f>
        <v>81</v>
      </c>
      <c r="B94" s="253">
        <v>41579</v>
      </c>
      <c r="C94" s="239">
        <v>-3.0300000000000001E-2</v>
      </c>
      <c r="D94" s="239">
        <v>2.937E-2</v>
      </c>
      <c r="E94" s="252">
        <v>0</v>
      </c>
      <c r="F94" s="245"/>
      <c r="G94" s="247">
        <v>0</v>
      </c>
      <c r="H94" s="239">
        <v>-9.3000000000000005E-4</v>
      </c>
      <c r="I94" s="246">
        <v>1.4999999999999999E-2</v>
      </c>
      <c r="J94" s="141"/>
      <c r="K94" s="893"/>
      <c r="L94" s="44"/>
    </row>
    <row r="95" spans="1:12" x14ac:dyDescent="0.25">
      <c r="A95" s="64">
        <f t="shared" ref="A95:A103" si="0">+A94+1</f>
        <v>82</v>
      </c>
      <c r="B95" s="253">
        <v>41944</v>
      </c>
      <c r="C95" s="239">
        <v>1.4719999999999997E-2</v>
      </c>
      <c r="D95" s="239">
        <v>2.4850000000000001E-2</v>
      </c>
      <c r="E95" s="252">
        <v>0</v>
      </c>
      <c r="F95" s="245"/>
      <c r="G95" s="247">
        <v>0</v>
      </c>
      <c r="H95" s="239">
        <v>3.9569999999999994E-2</v>
      </c>
      <c r="I95" s="246">
        <v>6.4000000000000001E-2</v>
      </c>
      <c r="J95" s="141"/>
      <c r="K95" s="893"/>
      <c r="L95" s="44"/>
    </row>
    <row r="96" spans="1:12" x14ac:dyDescent="0.25">
      <c r="A96" s="64">
        <f t="shared" si="0"/>
        <v>83</v>
      </c>
      <c r="B96" s="253">
        <v>42309</v>
      </c>
      <c r="C96" s="239">
        <v>-3.8599999999999995E-2</v>
      </c>
      <c r="D96" s="239">
        <v>2.8670000000000001E-2</v>
      </c>
      <c r="E96" s="252">
        <v>4.8999999999999998E-4</v>
      </c>
      <c r="F96" s="245"/>
      <c r="G96" s="247">
        <v>0</v>
      </c>
      <c r="H96" s="239">
        <v>-9.4399999999999935E-3</v>
      </c>
      <c r="I96" s="246">
        <v>-0.14399999999999999</v>
      </c>
      <c r="J96" s="141"/>
      <c r="K96" s="893"/>
      <c r="L96" s="44"/>
    </row>
    <row r="97" spans="1:12" x14ac:dyDescent="0.25">
      <c r="A97" s="64">
        <f t="shared" si="0"/>
        <v>84</v>
      </c>
      <c r="B97" s="253">
        <v>42675</v>
      </c>
      <c r="C97" s="239">
        <v>-3.5439999999999999E-2</v>
      </c>
      <c r="D97" s="239">
        <v>3.5779999999999999E-2</v>
      </c>
      <c r="E97" s="252">
        <v>0</v>
      </c>
      <c r="F97" s="245"/>
      <c r="G97" s="247">
        <v>0</v>
      </c>
      <c r="H97" s="239">
        <v>3.4000000000000002E-4</v>
      </c>
      <c r="I97" s="246">
        <v>-1.4999999999999999E-2</v>
      </c>
      <c r="J97" s="141"/>
      <c r="K97" s="893"/>
      <c r="L97" s="44"/>
    </row>
    <row r="98" spans="1:12" x14ac:dyDescent="0.25">
      <c r="A98" s="64">
        <f t="shared" si="0"/>
        <v>85</v>
      </c>
      <c r="B98" s="253">
        <v>43040</v>
      </c>
      <c r="C98" s="239">
        <v>-3.9990000000000005E-2</v>
      </c>
      <c r="D98" s="239">
        <v>3.5730000000000005E-2</v>
      </c>
      <c r="E98" s="252">
        <v>0</v>
      </c>
      <c r="F98" s="245"/>
      <c r="G98" s="247">
        <v>0</v>
      </c>
      <c r="H98" s="239">
        <v>-4.2599999999999999E-3</v>
      </c>
      <c r="I98" s="246">
        <v>-3.1E-2</v>
      </c>
      <c r="J98" s="141"/>
      <c r="K98" s="893"/>
      <c r="L98" s="44"/>
    </row>
    <row r="99" spans="1:12" x14ac:dyDescent="0.25">
      <c r="A99" s="64">
        <f t="shared" si="0"/>
        <v>86</v>
      </c>
      <c r="B99" s="253">
        <v>43405</v>
      </c>
      <c r="C99" s="239">
        <v>-5.3129999999999997E-2</v>
      </c>
      <c r="D99" s="239">
        <v>3.9940000000000003E-2</v>
      </c>
      <c r="E99" s="252">
        <v>0</v>
      </c>
      <c r="F99" s="245"/>
      <c r="G99" s="247">
        <v>0</v>
      </c>
      <c r="H99" s="239">
        <v>-1.3189999999999993E-2</v>
      </c>
      <c r="I99" s="246">
        <v>-7.1999999999999995E-2</v>
      </c>
      <c r="J99" s="141"/>
      <c r="K99" s="893"/>
      <c r="L99" s="44"/>
    </row>
    <row r="100" spans="1:12" x14ac:dyDescent="0.25">
      <c r="A100" s="64">
        <f t="shared" si="0"/>
        <v>87</v>
      </c>
      <c r="B100" s="253">
        <f>+EFFDATE</f>
        <v>43770</v>
      </c>
      <c r="C100" s="239">
        <f>+Temporaries!F15+Temporaries!G15</f>
        <v>6.3799999999999968E-3</v>
      </c>
      <c r="D100" s="239">
        <f>+Temporaries!K15+Temporaries!L15+Temporaries!V15</f>
        <v>4.7199999999999992E-2</v>
      </c>
      <c r="E100" s="252">
        <f>+'Summary of Changes in Rate'!D12</f>
        <v>0</v>
      </c>
      <c r="F100" s="245"/>
      <c r="G100" s="247">
        <f>+'Rates in summary'!O17</f>
        <v>0</v>
      </c>
      <c r="H100" s="239">
        <f>+C100+D100+E100+G100</f>
        <v>5.3579999999999989E-2</v>
      </c>
      <c r="I100" s="246">
        <f>+'F Goldenrod'!E87</f>
        <v>5.2999999999999999E-2</v>
      </c>
      <c r="J100" s="141"/>
      <c r="K100" s="893"/>
      <c r="L100" s="44"/>
    </row>
    <row r="101" spans="1:12" x14ac:dyDescent="0.25">
      <c r="A101" s="65">
        <f t="shared" si="0"/>
        <v>88</v>
      </c>
      <c r="B101" s="254"/>
      <c r="C101" s="255"/>
      <c r="D101" s="255"/>
      <c r="E101" s="256"/>
      <c r="F101" s="257"/>
      <c r="G101" s="258"/>
      <c r="H101" s="255"/>
      <c r="I101" s="259"/>
      <c r="J101" s="64"/>
      <c r="K101" s="233"/>
      <c r="L101" s="44"/>
    </row>
    <row r="102" spans="1:12" x14ac:dyDescent="0.25">
      <c r="A102" s="64">
        <f t="shared" si="0"/>
        <v>89</v>
      </c>
      <c r="B102" s="238" t="s">
        <v>546</v>
      </c>
      <c r="C102" s="239">
        <f>SUM(C14:C100)</f>
        <v>0.36099606876715495</v>
      </c>
      <c r="D102" s="239">
        <f>SUM(D14:D100)</f>
        <v>3.6100000000001131E-3</v>
      </c>
      <c r="E102" s="247">
        <f>SUM(E14:E100)</f>
        <v>3.2485E-2</v>
      </c>
      <c r="F102" s="245"/>
      <c r="G102" s="239">
        <f>SUM(G14:G100)</f>
        <v>0.33497499999999997</v>
      </c>
      <c r="H102" s="239">
        <f>SUM(H14:H100)</f>
        <v>0.73206606876715474</v>
      </c>
      <c r="I102" s="260">
        <f>SUM(I14:I100)</f>
        <v>0.77188247257458287</v>
      </c>
      <c r="J102" s="22"/>
      <c r="K102" s="233"/>
      <c r="L102" s="44"/>
    </row>
    <row r="103" spans="1:12" ht="13.8" thickBot="1" x14ac:dyDescent="0.3">
      <c r="A103" s="64">
        <f t="shared" si="0"/>
        <v>90</v>
      </c>
      <c r="B103" s="261" t="s">
        <v>547</v>
      </c>
      <c r="C103" s="262"/>
      <c r="D103" s="263"/>
      <c r="E103" s="264"/>
      <c r="F103" s="265"/>
      <c r="G103" s="262"/>
      <c r="H103" s="262"/>
      <c r="I103" s="266"/>
      <c r="J103" s="267">
        <f>+J8-J7</f>
        <v>0.6102099999999997</v>
      </c>
      <c r="K103" s="240"/>
      <c r="L103" s="44"/>
    </row>
    <row r="104" spans="1:12" x14ac:dyDescent="0.25">
      <c r="A104" s="45"/>
      <c r="B104" s="843" t="s">
        <v>548</v>
      </c>
      <c r="C104" s="843"/>
      <c r="D104" s="45"/>
      <c r="E104" s="45"/>
      <c r="F104" s="45"/>
      <c r="H104" s="268"/>
      <c r="I104" s="45"/>
      <c r="J104" s="45"/>
      <c r="K104" s="45"/>
      <c r="L104" s="45"/>
    </row>
    <row r="105" spans="1:12" x14ac:dyDescent="0.25">
      <c r="A105" s="45"/>
      <c r="B105" s="843" t="s">
        <v>549</v>
      </c>
      <c r="C105" s="843"/>
      <c r="D105" s="45"/>
      <c r="E105" s="45"/>
      <c r="F105" s="45"/>
      <c r="G105" s="45"/>
      <c r="H105" s="45"/>
      <c r="I105" s="45"/>
      <c r="J105" s="45"/>
      <c r="K105" s="45"/>
      <c r="L105" s="45"/>
    </row>
    <row r="106" spans="1:12" x14ac:dyDescent="0.25">
      <c r="B106" s="843" t="s">
        <v>550</v>
      </c>
      <c r="C106" s="843"/>
    </row>
    <row r="107" spans="1:12" x14ac:dyDescent="0.25">
      <c r="B107" s="843" t="s">
        <v>551</v>
      </c>
      <c r="C107" s="843"/>
    </row>
  </sheetData>
  <mergeCells count="1">
    <mergeCell ref="A5:B5"/>
  </mergeCells>
  <phoneticPr fontId="12" type="noConversion"/>
  <pageMargins left="0.73" right="0.6" top="0.27" bottom="0.32" header="0.5" footer="0.27"/>
  <pageSetup scale="5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topLeftCell="A7" zoomScale="90" zoomScaleNormal="90" workbookViewId="0">
      <selection activeCell="A10" sqref="A10"/>
    </sheetView>
  </sheetViews>
  <sheetFormatPr defaultColWidth="12" defaultRowHeight="13.2" x14ac:dyDescent="0.25"/>
  <cols>
    <col min="1" max="1" width="22" style="1" customWidth="1"/>
    <col min="2" max="2" width="23.109375" style="1" customWidth="1"/>
    <col min="3" max="3" width="14.6640625" style="1" customWidth="1"/>
    <col min="4" max="4" width="16.44140625" style="1" customWidth="1"/>
    <col min="5" max="5" width="17.44140625" style="1" customWidth="1"/>
    <col min="6" max="6" width="18.6640625" style="1" customWidth="1"/>
    <col min="7" max="7" width="22.33203125" style="1" customWidth="1"/>
    <col min="8" max="16384" width="12" style="1"/>
  </cols>
  <sheetData>
    <row r="1" spans="1:8" ht="25.2" x14ac:dyDescent="0.25">
      <c r="A1" s="269"/>
      <c r="B1" s="270"/>
      <c r="C1" s="271"/>
      <c r="D1" s="271"/>
      <c r="E1" s="271"/>
      <c r="F1" s="271"/>
      <c r="G1" s="271"/>
      <c r="H1" s="272" t="s">
        <v>552</v>
      </c>
    </row>
    <row r="2" spans="1:8" ht="24.6" x14ac:dyDescent="0.25">
      <c r="A2" s="270"/>
      <c r="B2" s="270"/>
      <c r="C2" s="1843" t="s">
        <v>553</v>
      </c>
      <c r="D2" s="1843"/>
      <c r="E2" s="1843"/>
      <c r="F2" s="1843"/>
      <c r="G2" s="1843"/>
    </row>
    <row r="3" spans="1:8" ht="24.6" x14ac:dyDescent="0.25">
      <c r="A3" s="270"/>
      <c r="B3" s="270"/>
      <c r="C3" s="1844" t="s">
        <v>554</v>
      </c>
      <c r="D3" s="1844"/>
      <c r="E3" s="1844"/>
      <c r="F3" s="1844"/>
      <c r="G3" s="1844"/>
    </row>
    <row r="4" spans="1:8" ht="22.8" x14ac:dyDescent="0.25">
      <c r="A4" s="273" t="s">
        <v>231</v>
      </c>
      <c r="B4" s="274"/>
      <c r="C4" s="274"/>
      <c r="D4" s="274"/>
      <c r="E4" s="274"/>
      <c r="F4" s="274"/>
      <c r="G4" s="274"/>
      <c r="H4" s="274"/>
    </row>
    <row r="5" spans="1:8" ht="22.8" x14ac:dyDescent="0.25">
      <c r="A5" s="273"/>
      <c r="B5" s="274"/>
      <c r="C5" s="274"/>
      <c r="D5" s="274"/>
      <c r="E5" s="274"/>
      <c r="F5" s="274"/>
      <c r="G5" s="274"/>
      <c r="H5" s="274"/>
    </row>
    <row r="6" spans="1:8" x14ac:dyDescent="0.25">
      <c r="A6" s="274"/>
      <c r="B6" s="274"/>
      <c r="C6" s="274"/>
      <c r="D6" s="274"/>
      <c r="E6" s="274"/>
      <c r="F6" s="274"/>
      <c r="G6" s="274"/>
    </row>
    <row r="7" spans="1:8" ht="13.8" thickBot="1" x14ac:dyDescent="0.3">
      <c r="D7" s="274"/>
    </row>
    <row r="8" spans="1:8" ht="17.399999999999999" x14ac:dyDescent="0.25">
      <c r="A8" s="275"/>
      <c r="B8" s="276"/>
      <c r="C8" s="277" t="s">
        <v>555</v>
      </c>
      <c r="D8" s="278"/>
      <c r="E8" s="278"/>
      <c r="F8" s="279"/>
      <c r="G8" s="280" t="s">
        <v>556</v>
      </c>
    </row>
    <row r="9" spans="1:8" ht="17.399999999999999" x14ac:dyDescent="0.25">
      <c r="A9" s="281"/>
      <c r="B9" s="282"/>
      <c r="C9" s="283" t="s">
        <v>557</v>
      </c>
      <c r="D9" s="284"/>
      <c r="E9" s="284" t="s">
        <v>558</v>
      </c>
      <c r="F9" s="285"/>
      <c r="G9" s="207" t="s">
        <v>559</v>
      </c>
    </row>
    <row r="10" spans="1:8" ht="17.399999999999999" x14ac:dyDescent="0.25">
      <c r="A10" s="286" t="s">
        <v>314</v>
      </c>
      <c r="B10" s="287" t="s">
        <v>314</v>
      </c>
      <c r="C10" s="288"/>
      <c r="D10" s="288"/>
      <c r="E10" s="288"/>
      <c r="F10" s="288"/>
      <c r="G10" s="207" t="s">
        <v>560</v>
      </c>
    </row>
    <row r="11" spans="1:8" ht="17.399999999999999" x14ac:dyDescent="0.25">
      <c r="A11" s="289" t="s">
        <v>561</v>
      </c>
      <c r="B11" s="290" t="s">
        <v>313</v>
      </c>
      <c r="C11" s="290" t="s">
        <v>562</v>
      </c>
      <c r="D11" s="290" t="s">
        <v>255</v>
      </c>
      <c r="E11" s="290" t="s">
        <v>563</v>
      </c>
      <c r="F11" s="290" t="s">
        <v>255</v>
      </c>
      <c r="G11" s="291" t="s">
        <v>564</v>
      </c>
    </row>
    <row r="12" spans="1:8" ht="17.399999999999999" x14ac:dyDescent="0.25">
      <c r="A12" s="281"/>
      <c r="B12" s="282"/>
      <c r="C12" s="282"/>
      <c r="D12" s="282"/>
      <c r="E12" s="282"/>
      <c r="F12" s="282"/>
      <c r="G12" s="204"/>
    </row>
    <row r="13" spans="1:8" ht="17.399999999999999" x14ac:dyDescent="0.25">
      <c r="A13" s="292">
        <v>27208</v>
      </c>
      <c r="B13" s="287"/>
      <c r="C13" s="294">
        <v>0.6</v>
      </c>
      <c r="D13" s="295">
        <v>0.06</v>
      </c>
      <c r="E13" s="294">
        <v>0.5</v>
      </c>
      <c r="F13" s="295">
        <v>0.05</v>
      </c>
      <c r="G13" s="296">
        <v>0.13500000000000001</v>
      </c>
    </row>
    <row r="14" spans="1:8" ht="17.399999999999999" x14ac:dyDescent="0.25">
      <c r="A14" s="286"/>
      <c r="B14" s="287"/>
      <c r="C14" s="294"/>
      <c r="D14" s="295"/>
      <c r="E14" s="294"/>
      <c r="F14" s="295"/>
      <c r="G14" s="296"/>
    </row>
    <row r="15" spans="1:8" ht="17.399999999999999" x14ac:dyDescent="0.25">
      <c r="A15" s="292">
        <v>27758</v>
      </c>
      <c r="B15" s="293">
        <v>27955</v>
      </c>
      <c r="C15" s="294">
        <v>0.6</v>
      </c>
      <c r="D15" s="295">
        <v>0.03</v>
      </c>
      <c r="E15" s="294">
        <v>0.6</v>
      </c>
      <c r="F15" s="295">
        <v>0.03</v>
      </c>
      <c r="G15" s="296">
        <v>0.13500000000000001</v>
      </c>
    </row>
    <row r="16" spans="1:8" ht="17.399999999999999" x14ac:dyDescent="0.25">
      <c r="A16" s="292"/>
      <c r="B16" s="293"/>
      <c r="C16" s="294"/>
      <c r="D16" s="295"/>
      <c r="E16" s="294"/>
      <c r="F16" s="295"/>
      <c r="G16" s="296"/>
    </row>
    <row r="17" spans="1:7" ht="17.399999999999999" x14ac:dyDescent="0.25">
      <c r="A17" s="292">
        <v>28278</v>
      </c>
      <c r="B17" s="293">
        <v>28439</v>
      </c>
      <c r="C17" s="294">
        <v>2.5</v>
      </c>
      <c r="D17" s="295">
        <v>0.09</v>
      </c>
      <c r="E17" s="294">
        <v>2.2000000000000002</v>
      </c>
      <c r="F17" s="295">
        <v>0.08</v>
      </c>
      <c r="G17" s="296">
        <v>0.13500000000000001</v>
      </c>
    </row>
    <row r="18" spans="1:7" ht="17.399999999999999" x14ac:dyDescent="0.25">
      <c r="A18" s="292"/>
      <c r="B18" s="293"/>
      <c r="C18" s="294"/>
      <c r="D18" s="295"/>
      <c r="E18" s="294"/>
      <c r="F18" s="295"/>
      <c r="G18" s="296"/>
    </row>
    <row r="19" spans="1:7" ht="17.399999999999999" x14ac:dyDescent="0.25">
      <c r="A19" s="292">
        <v>28808</v>
      </c>
      <c r="B19" s="293">
        <v>28956</v>
      </c>
      <c r="C19" s="294">
        <v>0.9</v>
      </c>
      <c r="D19" s="295">
        <v>0.04</v>
      </c>
      <c r="E19" s="294">
        <v>0.7</v>
      </c>
      <c r="F19" s="295">
        <v>0.03</v>
      </c>
      <c r="G19" s="296">
        <v>0.13500000000000001</v>
      </c>
    </row>
    <row r="20" spans="1:7" ht="17.399999999999999" x14ac:dyDescent="0.25">
      <c r="A20" s="292"/>
      <c r="B20" s="293"/>
      <c r="C20" s="294"/>
      <c r="D20" s="295"/>
      <c r="E20" s="294"/>
      <c r="F20" s="295"/>
      <c r="G20" s="296"/>
    </row>
    <row r="21" spans="1:7" ht="17.399999999999999" x14ac:dyDescent="0.25">
      <c r="A21" s="292">
        <v>29311</v>
      </c>
      <c r="B21" s="293">
        <v>29627</v>
      </c>
      <c r="C21" s="294">
        <v>1.5</v>
      </c>
      <c r="D21" s="295">
        <v>0.04</v>
      </c>
      <c r="E21" s="294">
        <v>1.1000000000000001</v>
      </c>
      <c r="F21" s="295">
        <v>0.03</v>
      </c>
      <c r="G21" s="296">
        <v>0.14749999999999999</v>
      </c>
    </row>
    <row r="22" spans="1:7" ht="17.399999999999999" x14ac:dyDescent="0.25">
      <c r="A22" s="292"/>
      <c r="B22" s="293"/>
      <c r="C22" s="294"/>
      <c r="D22" s="295"/>
      <c r="E22" s="294"/>
      <c r="F22" s="295"/>
      <c r="G22" s="296"/>
    </row>
    <row r="23" spans="1:7" ht="17.399999999999999" x14ac:dyDescent="0.25">
      <c r="A23" s="292">
        <v>29672</v>
      </c>
      <c r="B23" s="293">
        <v>29746</v>
      </c>
      <c r="C23" s="294">
        <v>0.8</v>
      </c>
      <c r="D23" s="295">
        <v>1.7999999999999999E-2</v>
      </c>
      <c r="E23" s="294">
        <v>0.7</v>
      </c>
      <c r="F23" s="295">
        <v>1.7000000000000001E-2</v>
      </c>
      <c r="G23" s="296">
        <v>0.14749999999999999</v>
      </c>
    </row>
    <row r="24" spans="1:7" ht="17.399999999999999" x14ac:dyDescent="0.25">
      <c r="A24" s="292"/>
      <c r="B24" s="293"/>
      <c r="C24" s="294"/>
      <c r="D24" s="295"/>
      <c r="E24" s="294"/>
      <c r="F24" s="295"/>
      <c r="G24" s="296"/>
    </row>
    <row r="25" spans="1:7" ht="17.399999999999999" x14ac:dyDescent="0.25">
      <c r="A25" s="292">
        <v>30084</v>
      </c>
      <c r="B25" s="293">
        <v>30287</v>
      </c>
      <c r="C25" s="294">
        <v>3.4</v>
      </c>
      <c r="D25" s="295">
        <v>6.2E-2</v>
      </c>
      <c r="E25" s="294">
        <v>2.1</v>
      </c>
      <c r="F25" s="295">
        <v>4.8000000000000001E-2</v>
      </c>
      <c r="G25" s="296">
        <v>0.154</v>
      </c>
    </row>
    <row r="26" spans="1:7" ht="17.399999999999999" x14ac:dyDescent="0.25">
      <c r="A26" s="292"/>
      <c r="B26" s="293"/>
      <c r="C26" s="294"/>
      <c r="D26" s="295"/>
      <c r="E26" s="294"/>
      <c r="F26" s="295"/>
      <c r="G26" s="296"/>
    </row>
    <row r="27" spans="1:7" ht="17.399999999999999" x14ac:dyDescent="0.25">
      <c r="A27" s="292">
        <v>30598</v>
      </c>
      <c r="B27" s="293">
        <v>30730</v>
      </c>
      <c r="C27" s="294">
        <v>1.7</v>
      </c>
      <c r="D27" s="295">
        <v>5.1999999999999998E-2</v>
      </c>
      <c r="E27" s="294">
        <v>1.8</v>
      </c>
      <c r="F27" s="295">
        <v>5.2999999999999999E-2</v>
      </c>
      <c r="G27" s="296">
        <v>0.154</v>
      </c>
    </row>
    <row r="28" spans="1:7" ht="17.399999999999999" x14ac:dyDescent="0.25">
      <c r="A28" s="292"/>
      <c r="B28" s="293"/>
      <c r="C28" s="294"/>
      <c r="D28" s="295"/>
      <c r="E28" s="294"/>
      <c r="F28" s="295"/>
      <c r="G28" s="296"/>
    </row>
    <row r="29" spans="1:7" ht="17.399999999999999" x14ac:dyDescent="0.25">
      <c r="A29" s="292">
        <v>31481</v>
      </c>
      <c r="B29" s="293">
        <v>31686</v>
      </c>
      <c r="C29" s="294">
        <v>3</v>
      </c>
      <c r="D29" s="295">
        <v>4.4999999999999998E-2</v>
      </c>
      <c r="E29" s="294">
        <v>1.8</v>
      </c>
      <c r="F29" s="295">
        <v>8.5999999999999993E-2</v>
      </c>
      <c r="G29" s="296">
        <v>0.13250000000000001</v>
      </c>
    </row>
    <row r="30" spans="1:7" ht="17.399999999999999" x14ac:dyDescent="0.25">
      <c r="A30" s="281"/>
      <c r="B30" s="282"/>
      <c r="C30" s="297"/>
      <c r="D30" s="282"/>
      <c r="E30" s="297"/>
      <c r="F30" s="282"/>
      <c r="G30" s="204"/>
    </row>
    <row r="31" spans="1:7" ht="17.399999999999999" x14ac:dyDescent="0.25">
      <c r="A31" s="298" t="s">
        <v>565</v>
      </c>
      <c r="B31" s="299" t="s">
        <v>566</v>
      </c>
      <c r="C31" s="294">
        <v>1.2</v>
      </c>
      <c r="D31" s="295">
        <v>0.05</v>
      </c>
      <c r="E31" s="294">
        <v>0.6</v>
      </c>
      <c r="F31" s="295">
        <v>0.03</v>
      </c>
      <c r="G31" s="296">
        <v>0.1125</v>
      </c>
    </row>
    <row r="32" spans="1:7" ht="17.399999999999999" x14ac:dyDescent="0.25">
      <c r="A32" s="298"/>
      <c r="B32" s="299"/>
      <c r="C32" s="294"/>
      <c r="D32" s="295"/>
      <c r="E32" s="294"/>
      <c r="F32" s="295"/>
      <c r="G32" s="296"/>
    </row>
    <row r="33" spans="1:7" ht="17.399999999999999" x14ac:dyDescent="0.25">
      <c r="A33" s="292">
        <v>36546</v>
      </c>
      <c r="B33" s="293">
        <v>36831</v>
      </c>
      <c r="C33" s="294">
        <v>6.2</v>
      </c>
      <c r="D33" s="295">
        <v>0.188</v>
      </c>
      <c r="E33" s="294">
        <v>4.3</v>
      </c>
      <c r="F33" s="295">
        <v>0.12089999999999999</v>
      </c>
      <c r="G33" s="296" t="s">
        <v>70</v>
      </c>
    </row>
    <row r="34" spans="1:7" ht="17.399999999999999" x14ac:dyDescent="0.25">
      <c r="A34" s="298"/>
      <c r="B34" s="299"/>
      <c r="C34" s="294"/>
      <c r="D34" s="295"/>
      <c r="E34" s="294"/>
      <c r="F34" s="295"/>
      <c r="G34" s="296"/>
    </row>
    <row r="35" spans="1:7" ht="17.399999999999999" x14ac:dyDescent="0.25">
      <c r="A35" s="292">
        <v>37944</v>
      </c>
      <c r="B35" s="293">
        <v>38169</v>
      </c>
      <c r="C35" s="294">
        <v>7.9</v>
      </c>
      <c r="D35" s="295">
        <v>0.151</v>
      </c>
      <c r="E35" s="294">
        <v>3.5</v>
      </c>
      <c r="F35" s="295">
        <v>6.5000000000000002E-2</v>
      </c>
      <c r="G35" s="296" t="s">
        <v>70</v>
      </c>
    </row>
    <row r="36" spans="1:7" ht="17.399999999999999" x14ac:dyDescent="0.25">
      <c r="A36" s="292"/>
      <c r="B36" s="293"/>
      <c r="C36" s="294"/>
      <c r="D36" s="295"/>
      <c r="E36" s="294"/>
      <c r="F36" s="295"/>
      <c r="G36" s="296"/>
    </row>
    <row r="37" spans="1:7" ht="17.399999999999999" x14ac:dyDescent="0.25">
      <c r="A37" s="292">
        <v>39535</v>
      </c>
      <c r="B37" s="293">
        <v>39814</v>
      </c>
      <c r="C37" s="294">
        <v>4.3</v>
      </c>
      <c r="D37" s="295">
        <v>6.3E-2</v>
      </c>
      <c r="E37" s="294">
        <v>2.7</v>
      </c>
      <c r="F37" s="295">
        <v>3.5000000000000003E-2</v>
      </c>
      <c r="G37" s="296">
        <v>0.10100000000000001</v>
      </c>
    </row>
    <row r="38" spans="1:7" ht="13.8" thickBot="1" x14ac:dyDescent="0.3">
      <c r="A38" s="1746"/>
      <c r="B38" s="1747"/>
      <c r="C38" s="1747"/>
      <c r="D38" s="1748"/>
      <c r="E38" s="1747"/>
      <c r="F38" s="1747"/>
      <c r="G38" s="1749"/>
    </row>
    <row r="39" spans="1:7" x14ac:dyDescent="0.25">
      <c r="D39" s="274"/>
    </row>
    <row r="40" spans="1:7" x14ac:dyDescent="0.25">
      <c r="D40" s="274"/>
    </row>
    <row r="41" spans="1:7" x14ac:dyDescent="0.25">
      <c r="D41" s="274"/>
    </row>
    <row r="42" spans="1:7" ht="17.399999999999999" x14ac:dyDescent="0.25">
      <c r="D42" s="274"/>
      <c r="F42" s="200" t="s">
        <v>567</v>
      </c>
    </row>
    <row r="43" spans="1:7" ht="17.399999999999999" x14ac:dyDescent="0.25">
      <c r="D43" s="274"/>
      <c r="F43" s="300">
        <f>+Cover!A10</f>
        <v>43770</v>
      </c>
    </row>
    <row r="44" spans="1:7" x14ac:dyDescent="0.25">
      <c r="D44" s="274"/>
    </row>
    <row r="45" spans="1:7" x14ac:dyDescent="0.25">
      <c r="D45" s="274"/>
    </row>
    <row r="46" spans="1:7" x14ac:dyDescent="0.25">
      <c r="D46" s="274"/>
    </row>
  </sheetData>
  <mergeCells count="2">
    <mergeCell ref="C2:G2"/>
    <mergeCell ref="C3:G3"/>
  </mergeCells>
  <phoneticPr fontId="12" type="noConversion"/>
  <pageMargins left="0.84" right="0.75" top="0.65" bottom="1" header="0.5" footer="0.5"/>
  <pageSetup scale="6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showGridLines="0" zoomScaleNormal="100" workbookViewId="0">
      <pane xSplit="1" ySplit="7" topLeftCell="B21" activePane="bottomRight" state="frozen"/>
      <selection activeCell="A10" sqref="A10"/>
      <selection pane="topRight" activeCell="A10" sqref="A10"/>
      <selection pane="bottomLeft" activeCell="A10" sqref="A10"/>
      <selection pane="bottomRight" activeCell="A10" sqref="A10"/>
    </sheetView>
  </sheetViews>
  <sheetFormatPr defaultColWidth="12" defaultRowHeight="13.2" x14ac:dyDescent="0.25"/>
  <cols>
    <col min="1" max="1" width="46.88671875" style="1" customWidth="1"/>
    <col min="2" max="2" width="6.88671875" style="1" customWidth="1"/>
    <col min="3" max="3" width="26.33203125" style="1" customWidth="1"/>
    <col min="4" max="4" width="3.88671875" style="1" customWidth="1"/>
    <col min="5" max="5" width="35" style="1" customWidth="1"/>
    <col min="6" max="16384" width="12" style="1"/>
  </cols>
  <sheetData>
    <row r="1" spans="1:12" ht="13.8" x14ac:dyDescent="0.25">
      <c r="D1" s="1846" t="s">
        <v>568</v>
      </c>
      <c r="E1" s="1846"/>
      <c r="F1" s="45"/>
      <c r="G1" s="45"/>
      <c r="H1" s="45"/>
      <c r="I1" s="45"/>
      <c r="J1" s="45"/>
      <c r="K1" s="45"/>
      <c r="L1" s="45"/>
    </row>
    <row r="2" spans="1:12" ht="25.2" x14ac:dyDescent="0.25">
      <c r="A2" s="269"/>
      <c r="B2" s="1845" t="s">
        <v>764</v>
      </c>
      <c r="C2" s="1845"/>
      <c r="D2" s="1845"/>
      <c r="E2" s="1845"/>
      <c r="F2" s="302"/>
      <c r="J2" s="45"/>
      <c r="K2" s="45"/>
      <c r="L2" s="45"/>
    </row>
    <row r="3" spans="1:12" ht="20.399999999999999" x14ac:dyDescent="0.25">
      <c r="C3" s="302" t="s">
        <v>570</v>
      </c>
      <c r="D3" s="302"/>
      <c r="E3" s="302"/>
      <c r="F3" s="302"/>
      <c r="J3" s="45"/>
      <c r="K3" s="45"/>
      <c r="L3" s="45"/>
    </row>
    <row r="4" spans="1:12" ht="21" x14ac:dyDescent="0.25">
      <c r="A4" s="47" t="s">
        <v>231</v>
      </c>
      <c r="B4" s="47"/>
      <c r="C4" s="303"/>
      <c r="D4" s="303"/>
      <c r="E4" s="303"/>
      <c r="F4" s="45"/>
      <c r="G4" s="45"/>
      <c r="H4" s="45"/>
      <c r="I4" s="45"/>
      <c r="J4" s="45"/>
      <c r="K4" s="45"/>
      <c r="L4" s="45"/>
    </row>
    <row r="5" spans="1:12" x14ac:dyDescent="0.25">
      <c r="A5" s="63"/>
      <c r="B5" s="63"/>
      <c r="C5" s="63"/>
      <c r="D5" s="63"/>
      <c r="E5" s="63"/>
      <c r="F5" s="45"/>
      <c r="G5" s="45"/>
      <c r="H5" s="45"/>
      <c r="I5" s="45"/>
      <c r="J5" s="45"/>
      <c r="K5" s="45"/>
      <c r="L5" s="45"/>
    </row>
    <row r="6" spans="1:12" ht="13.8" thickBot="1" x14ac:dyDescent="0.3">
      <c r="A6" s="45"/>
      <c r="B6" s="45"/>
      <c r="C6" s="45"/>
      <c r="D6" s="45"/>
      <c r="E6" s="45"/>
      <c r="F6" s="45"/>
      <c r="G6" s="45"/>
      <c r="H6" s="45"/>
      <c r="I6" s="45"/>
      <c r="J6" s="45"/>
      <c r="K6" s="45"/>
      <c r="L6" s="45"/>
    </row>
    <row r="7" spans="1:12" ht="13.8" thickBot="1" x14ac:dyDescent="0.3">
      <c r="A7" s="304" t="s">
        <v>571</v>
      </c>
      <c r="B7" s="305"/>
      <c r="C7" s="306" t="s">
        <v>572</v>
      </c>
      <c r="D7" s="44" t="s">
        <v>538</v>
      </c>
      <c r="E7" s="45"/>
      <c r="F7" s="45"/>
      <c r="G7" s="45"/>
      <c r="H7" s="45"/>
      <c r="I7" s="45"/>
      <c r="J7" s="45"/>
      <c r="K7" s="45"/>
      <c r="L7" s="45"/>
    </row>
    <row r="8" spans="1:12" x14ac:dyDescent="0.25">
      <c r="A8" s="307"/>
      <c r="B8" s="38"/>
      <c r="C8" s="34"/>
      <c r="D8" s="45"/>
      <c r="E8" s="45"/>
      <c r="F8" s="45"/>
      <c r="G8" s="45"/>
      <c r="H8" s="45"/>
      <c r="I8" s="45"/>
      <c r="J8" s="45"/>
      <c r="K8" s="45"/>
      <c r="L8" s="45"/>
    </row>
    <row r="9" spans="1:12" x14ac:dyDescent="0.25">
      <c r="A9" s="1685">
        <v>32143</v>
      </c>
      <c r="B9" s="309"/>
      <c r="C9" s="310">
        <v>0.21046000000000001</v>
      </c>
      <c r="D9" s="45"/>
      <c r="E9" s="45"/>
      <c r="F9" s="45"/>
      <c r="G9" s="45"/>
      <c r="H9" s="45"/>
      <c r="I9" s="45"/>
      <c r="J9" s="45"/>
      <c r="K9" s="45"/>
      <c r="L9" s="45"/>
    </row>
    <row r="10" spans="1:12" x14ac:dyDescent="0.25">
      <c r="A10" s="1685">
        <v>32234</v>
      </c>
      <c r="B10" s="309"/>
      <c r="C10" s="310">
        <v>0.24506</v>
      </c>
      <c r="D10" s="45"/>
      <c r="E10" s="45"/>
      <c r="F10" s="45"/>
      <c r="G10" s="45"/>
      <c r="H10" s="45"/>
      <c r="I10" s="45"/>
      <c r="J10" s="45"/>
      <c r="K10" s="45"/>
      <c r="L10" s="45"/>
    </row>
    <row r="11" spans="1:12" ht="13.8" thickBot="1" x14ac:dyDescent="0.3">
      <c r="A11" s="311"/>
      <c r="B11" s="43"/>
      <c r="C11" s="312"/>
      <c r="D11" s="45"/>
      <c r="E11" s="45"/>
      <c r="F11" s="45"/>
      <c r="G11" s="45"/>
      <c r="H11" s="45"/>
      <c r="I11" s="45"/>
      <c r="J11" s="45"/>
      <c r="K11" s="45"/>
      <c r="L11" s="45"/>
    </row>
    <row r="12" spans="1:12" ht="13.8" thickBot="1" x14ac:dyDescent="0.3">
      <c r="A12" s="307"/>
      <c r="B12" s="38"/>
      <c r="C12" s="313"/>
      <c r="D12" s="45"/>
      <c r="E12" s="45"/>
      <c r="F12" s="45"/>
      <c r="G12" s="45"/>
      <c r="H12" s="45"/>
      <c r="I12" s="45"/>
      <c r="J12" s="45"/>
      <c r="K12" s="45"/>
      <c r="L12" s="45"/>
    </row>
    <row r="13" spans="1:12" ht="13.8" thickBot="1" x14ac:dyDescent="0.3">
      <c r="A13" s="304" t="s">
        <v>571</v>
      </c>
      <c r="B13" s="1440"/>
      <c r="C13" s="306" t="s">
        <v>572</v>
      </c>
      <c r="D13" s="44" t="s">
        <v>542</v>
      </c>
      <c r="E13" s="45"/>
      <c r="F13" s="45"/>
      <c r="G13" s="45"/>
      <c r="H13" s="45"/>
      <c r="I13" s="45"/>
      <c r="J13" s="45"/>
      <c r="K13" s="45"/>
      <c r="L13" s="45"/>
    </row>
    <row r="14" spans="1:12" x14ac:dyDescent="0.25">
      <c r="A14" s="314"/>
      <c r="B14" s="33"/>
      <c r="C14" s="34"/>
      <c r="D14" s="45"/>
      <c r="E14" s="45"/>
      <c r="F14" s="45"/>
      <c r="G14" s="45"/>
      <c r="H14" s="45"/>
      <c r="I14" s="45"/>
      <c r="J14" s="45"/>
      <c r="K14" s="45"/>
      <c r="L14" s="45"/>
    </row>
    <row r="15" spans="1:12" x14ac:dyDescent="0.25">
      <c r="A15" s="1685">
        <v>32509</v>
      </c>
      <c r="B15" s="316"/>
      <c r="C15" s="310">
        <v>0.16811000000000001</v>
      </c>
      <c r="D15" s="45"/>
      <c r="E15" s="45"/>
      <c r="F15" s="45"/>
      <c r="G15" s="45"/>
      <c r="H15" s="45"/>
      <c r="I15" s="45"/>
      <c r="J15" s="45"/>
      <c r="K15" s="45"/>
      <c r="L15" s="45"/>
    </row>
    <row r="16" spans="1:12" x14ac:dyDescent="0.25">
      <c r="A16" s="1685">
        <v>32874</v>
      </c>
      <c r="B16" s="316"/>
      <c r="C16" s="310">
        <v>0.16211999999999999</v>
      </c>
      <c r="D16" s="233"/>
      <c r="E16" s="45"/>
      <c r="F16" s="45"/>
      <c r="G16" s="45"/>
      <c r="H16" s="45"/>
      <c r="I16" s="45"/>
      <c r="J16" s="45"/>
      <c r="K16" s="45"/>
      <c r="L16" s="45"/>
    </row>
    <row r="17" spans="1:12" x14ac:dyDescent="0.25">
      <c r="A17" s="1685">
        <v>33239</v>
      </c>
      <c r="B17" s="316"/>
      <c r="C17" s="310">
        <v>0.15964999999999999</v>
      </c>
      <c r="D17" s="233"/>
      <c r="E17" s="45"/>
      <c r="F17" s="45"/>
      <c r="G17" s="45"/>
      <c r="H17" s="45"/>
      <c r="I17" s="45"/>
      <c r="J17" s="45"/>
      <c r="K17" s="45"/>
      <c r="L17" s="45"/>
    </row>
    <row r="18" spans="1:12" x14ac:dyDescent="0.25">
      <c r="A18" s="1685">
        <v>33573</v>
      </c>
      <c r="B18" s="316"/>
      <c r="C18" s="310">
        <v>0.15556</v>
      </c>
      <c r="D18" s="233"/>
      <c r="E18" s="45"/>
      <c r="F18" s="45"/>
      <c r="G18" s="45"/>
      <c r="H18" s="45"/>
      <c r="I18" s="45"/>
      <c r="J18" s="45"/>
      <c r="K18" s="45"/>
      <c r="L18" s="45"/>
    </row>
    <row r="19" spans="1:12" x14ac:dyDescent="0.25">
      <c r="A19" s="1685">
        <v>33939</v>
      </c>
      <c r="B19" s="316"/>
      <c r="C19" s="310">
        <v>0.16558999999999999</v>
      </c>
      <c r="D19" s="233"/>
      <c r="E19" s="45"/>
      <c r="F19" s="45"/>
      <c r="G19" s="45"/>
      <c r="H19" s="45"/>
      <c r="I19" s="45"/>
      <c r="J19" s="45"/>
      <c r="K19" s="45"/>
      <c r="L19" s="45"/>
    </row>
    <row r="20" spans="1:12" x14ac:dyDescent="0.25">
      <c r="A20" s="1685">
        <v>34121</v>
      </c>
      <c r="B20" s="316"/>
      <c r="C20" s="310">
        <v>0.15901999999999999</v>
      </c>
      <c r="D20" s="233"/>
      <c r="E20" s="45"/>
      <c r="F20" s="45"/>
      <c r="G20" s="45"/>
      <c r="H20" s="45"/>
      <c r="I20" s="45"/>
      <c r="J20" s="45"/>
      <c r="K20" s="45"/>
      <c r="L20" s="45"/>
    </row>
    <row r="21" spans="1:12" x14ac:dyDescent="0.25">
      <c r="A21" s="1685">
        <v>34304</v>
      </c>
      <c r="B21" s="316"/>
      <c r="C21" s="310">
        <v>0.17068</v>
      </c>
      <c r="D21" s="45"/>
      <c r="E21" s="45"/>
      <c r="F21" s="45"/>
      <c r="G21" s="45"/>
      <c r="H21" s="45"/>
      <c r="I21" s="45"/>
      <c r="J21" s="45"/>
      <c r="K21" s="45"/>
      <c r="L21" s="45"/>
    </row>
    <row r="22" spans="1:12" x14ac:dyDescent="0.25">
      <c r="A22" s="1685">
        <v>34669</v>
      </c>
      <c r="B22" s="316"/>
      <c r="C22" s="310">
        <v>0.14555000000000001</v>
      </c>
      <c r="D22" s="45"/>
      <c r="E22" s="45"/>
      <c r="F22" s="45"/>
      <c r="G22" s="45"/>
      <c r="H22" s="45"/>
      <c r="I22" s="45"/>
      <c r="J22" s="45"/>
      <c r="K22" s="45"/>
      <c r="L22" s="45"/>
    </row>
    <row r="23" spans="1:12" x14ac:dyDescent="0.25">
      <c r="A23" s="1685">
        <v>35034</v>
      </c>
      <c r="B23" s="316"/>
      <c r="C23" s="310">
        <v>0.10563</v>
      </c>
      <c r="D23" s="45"/>
      <c r="E23" s="45"/>
      <c r="F23" s="45"/>
      <c r="G23" s="45"/>
      <c r="H23" s="45"/>
      <c r="I23" s="45"/>
      <c r="J23" s="45"/>
      <c r="K23" s="45"/>
      <c r="L23" s="45"/>
    </row>
    <row r="24" spans="1:12" x14ac:dyDescent="0.25">
      <c r="A24" s="1685">
        <v>35096</v>
      </c>
      <c r="B24" s="316"/>
      <c r="C24" s="310">
        <v>0.10648000000000001</v>
      </c>
      <c r="D24" s="45"/>
      <c r="E24" s="44"/>
      <c r="F24" s="45"/>
      <c r="G24" s="45"/>
      <c r="H24" s="45"/>
      <c r="I24" s="45"/>
      <c r="J24" s="45"/>
      <c r="K24" s="45"/>
      <c r="L24" s="45"/>
    </row>
    <row r="25" spans="1:12" x14ac:dyDescent="0.25">
      <c r="A25" s="1685">
        <v>35400</v>
      </c>
      <c r="B25" s="316"/>
      <c r="C25" s="310">
        <v>9.4969999999999999E-2</v>
      </c>
      <c r="D25" s="45"/>
      <c r="E25" s="44"/>
      <c r="F25" s="45"/>
      <c r="G25" s="45"/>
      <c r="H25" s="45"/>
      <c r="I25" s="45"/>
      <c r="J25" s="45"/>
      <c r="K25" s="45"/>
      <c r="L25" s="45"/>
    </row>
    <row r="26" spans="1:12" x14ac:dyDescent="0.25">
      <c r="A26" s="1685">
        <v>35765</v>
      </c>
      <c r="B26" s="316"/>
      <c r="C26" s="310">
        <v>0.14734</v>
      </c>
      <c r="D26" s="45"/>
      <c r="E26" s="44"/>
      <c r="F26" s="45"/>
      <c r="G26" s="45"/>
      <c r="H26" s="45"/>
      <c r="I26" s="45"/>
      <c r="J26" s="45"/>
      <c r="K26" s="45"/>
      <c r="L26" s="45"/>
    </row>
    <row r="27" spans="1:12" x14ac:dyDescent="0.25">
      <c r="A27" s="1685">
        <v>36130</v>
      </c>
      <c r="B27" s="316"/>
      <c r="C27" s="310">
        <v>0.15701000000000001</v>
      </c>
      <c r="D27" s="45"/>
      <c r="E27" s="44"/>
      <c r="F27" s="45"/>
      <c r="G27" s="45"/>
      <c r="H27" s="45"/>
      <c r="I27" s="45"/>
      <c r="J27" s="45"/>
      <c r="K27" s="45"/>
      <c r="L27" s="45"/>
    </row>
    <row r="28" spans="1:12" x14ac:dyDescent="0.25">
      <c r="A28" s="1685">
        <v>36495</v>
      </c>
      <c r="B28" s="316"/>
      <c r="C28" s="310">
        <v>0.20188999999999999</v>
      </c>
      <c r="D28" s="45"/>
      <c r="E28" s="44"/>
      <c r="F28" s="45"/>
      <c r="G28" s="45"/>
      <c r="H28" s="45"/>
      <c r="I28" s="45"/>
      <c r="J28" s="45"/>
      <c r="K28" s="45"/>
      <c r="L28" s="45"/>
    </row>
    <row r="29" spans="1:12" x14ac:dyDescent="0.25">
      <c r="A29" s="1685">
        <v>36739</v>
      </c>
      <c r="B29" s="316"/>
      <c r="C29" s="310">
        <v>0.32921</v>
      </c>
      <c r="D29" s="45"/>
      <c r="E29" s="44"/>
      <c r="F29" s="45"/>
      <c r="G29" s="45"/>
      <c r="H29" s="45"/>
      <c r="I29" s="45"/>
      <c r="J29" s="45"/>
      <c r="K29" s="45"/>
      <c r="L29" s="45"/>
    </row>
    <row r="30" spans="1:12" x14ac:dyDescent="0.25">
      <c r="A30" s="1685">
        <v>37165</v>
      </c>
      <c r="B30" s="316"/>
      <c r="C30" s="310">
        <v>0.52014000000000005</v>
      </c>
      <c r="D30" s="45"/>
      <c r="E30" s="44"/>
      <c r="F30" s="45"/>
      <c r="G30" s="45"/>
      <c r="H30" s="45"/>
      <c r="I30" s="45"/>
      <c r="J30" s="45"/>
      <c r="K30" s="45"/>
      <c r="L30" s="45"/>
    </row>
    <row r="31" spans="1:12" x14ac:dyDescent="0.25">
      <c r="A31" s="1685">
        <v>37530</v>
      </c>
      <c r="B31" s="316"/>
      <c r="C31" s="310">
        <v>0.38643</v>
      </c>
      <c r="D31" s="45"/>
      <c r="E31" s="44"/>
      <c r="F31" s="45"/>
      <c r="G31" s="45"/>
      <c r="H31" s="45"/>
      <c r="I31" s="45"/>
      <c r="J31" s="45"/>
      <c r="K31" s="45"/>
      <c r="L31" s="45"/>
    </row>
    <row r="32" spans="1:12" x14ac:dyDescent="0.25">
      <c r="A32" s="1685">
        <v>37895</v>
      </c>
      <c r="B32" s="316"/>
      <c r="C32" s="310">
        <v>0.42480000000000001</v>
      </c>
      <c r="D32" s="45"/>
      <c r="E32" s="44"/>
      <c r="F32" s="45"/>
      <c r="G32" s="45"/>
      <c r="H32" s="45"/>
      <c r="I32" s="45"/>
      <c r="J32" s="45"/>
      <c r="K32" s="45"/>
      <c r="L32" s="45"/>
    </row>
    <row r="33" spans="1:12" x14ac:dyDescent="0.25">
      <c r="A33" s="1686">
        <v>38292</v>
      </c>
      <c r="B33" s="317"/>
      <c r="C33" s="310">
        <v>0.54778969395762489</v>
      </c>
      <c r="D33" s="45"/>
      <c r="E33" s="45"/>
      <c r="F33" s="45"/>
      <c r="G33" s="45"/>
      <c r="H33" s="45"/>
      <c r="I33" s="45"/>
      <c r="J33" s="45"/>
      <c r="K33" s="45"/>
      <c r="L33" s="45"/>
    </row>
    <row r="34" spans="1:12" x14ac:dyDescent="0.25">
      <c r="A34" s="1686">
        <v>38626</v>
      </c>
      <c r="B34" s="317"/>
      <c r="C34" s="310">
        <v>0.74371023107836565</v>
      </c>
      <c r="D34" s="45"/>
      <c r="E34" s="45"/>
      <c r="F34" s="45"/>
      <c r="G34" s="45"/>
      <c r="H34" s="45"/>
      <c r="I34" s="45"/>
      <c r="J34" s="45"/>
      <c r="K34" s="45"/>
      <c r="L34" s="45"/>
    </row>
    <row r="35" spans="1:12" x14ac:dyDescent="0.25">
      <c r="A35" s="1686">
        <v>38991</v>
      </c>
      <c r="B35" s="317"/>
      <c r="C35" s="310">
        <v>0.77059999999999995</v>
      </c>
      <c r="D35" s="45"/>
      <c r="E35" s="45"/>
      <c r="F35" s="45"/>
      <c r="G35" s="45"/>
      <c r="H35" s="45"/>
      <c r="I35" s="45"/>
      <c r="J35" s="45"/>
      <c r="K35" s="45"/>
      <c r="L35" s="45"/>
    </row>
    <row r="36" spans="1:12" x14ac:dyDescent="0.25">
      <c r="A36" s="1686">
        <v>39387</v>
      </c>
      <c r="B36" s="317"/>
      <c r="C36" s="310">
        <v>0.71914999999999996</v>
      </c>
      <c r="D36" s="45"/>
      <c r="E36" s="45"/>
      <c r="F36" s="45"/>
      <c r="G36" s="45"/>
      <c r="H36" s="45"/>
      <c r="I36" s="45"/>
      <c r="J36" s="45"/>
      <c r="K36" s="45"/>
      <c r="L36" s="45"/>
    </row>
    <row r="37" spans="1:12" x14ac:dyDescent="0.25">
      <c r="A37" s="1686">
        <v>39753</v>
      </c>
      <c r="B37" s="317"/>
      <c r="C37" s="310">
        <v>0.86463999999999996</v>
      </c>
      <c r="D37" s="45"/>
      <c r="E37" s="45"/>
      <c r="F37" s="45"/>
      <c r="G37" s="45"/>
      <c r="H37" s="45"/>
      <c r="I37" s="45"/>
      <c r="J37" s="45"/>
      <c r="K37" s="45"/>
      <c r="L37" s="45"/>
    </row>
    <row r="38" spans="1:12" x14ac:dyDescent="0.25">
      <c r="A38" s="1686">
        <v>40118</v>
      </c>
      <c r="B38" s="317"/>
      <c r="C38" s="310">
        <v>0.59653999999999996</v>
      </c>
      <c r="D38" s="45"/>
      <c r="E38" s="45"/>
      <c r="F38" s="45"/>
      <c r="G38" s="45"/>
      <c r="H38" s="45"/>
      <c r="I38" s="45"/>
      <c r="J38" s="45"/>
      <c r="K38" s="45"/>
      <c r="L38" s="45"/>
    </row>
    <row r="39" spans="1:12" x14ac:dyDescent="0.25">
      <c r="A39" s="1686">
        <v>40483</v>
      </c>
      <c r="B39" s="317"/>
      <c r="C39" s="310">
        <v>0.53364999999999996</v>
      </c>
      <c r="D39" s="45"/>
      <c r="E39" s="45"/>
      <c r="F39" s="45"/>
      <c r="G39" s="45"/>
      <c r="H39" s="45"/>
      <c r="I39" s="45"/>
      <c r="J39" s="45"/>
      <c r="K39" s="45"/>
      <c r="L39" s="45"/>
    </row>
    <row r="40" spans="1:12" x14ac:dyDescent="0.25">
      <c r="A40" s="1686">
        <v>40848</v>
      </c>
      <c r="B40" s="317"/>
      <c r="C40" s="310">
        <v>0.49539</v>
      </c>
      <c r="D40" s="45"/>
      <c r="E40" s="45"/>
      <c r="F40" s="45"/>
      <c r="G40" s="45"/>
      <c r="H40" s="45"/>
      <c r="I40" s="45"/>
      <c r="J40" s="45"/>
      <c r="K40" s="45"/>
      <c r="L40" s="45"/>
    </row>
    <row r="41" spans="1:12" x14ac:dyDescent="0.25">
      <c r="A41" s="1686">
        <v>41214</v>
      </c>
      <c r="B41" s="317"/>
      <c r="C41" s="310">
        <v>0.38658999999999999</v>
      </c>
      <c r="D41" s="45"/>
      <c r="E41" s="45"/>
      <c r="F41" s="45"/>
      <c r="G41" s="45"/>
      <c r="H41" s="45"/>
      <c r="I41" s="45"/>
      <c r="J41" s="45"/>
      <c r="K41" s="45"/>
      <c r="L41" s="45"/>
    </row>
    <row r="42" spans="1:12" x14ac:dyDescent="0.25">
      <c r="A42" s="1686">
        <v>41579</v>
      </c>
      <c r="B42" s="317"/>
      <c r="C42" s="310">
        <v>0.39696999999999999</v>
      </c>
      <c r="D42" s="45"/>
      <c r="E42" s="45"/>
      <c r="F42" s="45"/>
      <c r="G42" s="45"/>
      <c r="H42" s="45"/>
      <c r="I42" s="45"/>
      <c r="J42" s="45"/>
      <c r="K42" s="45"/>
      <c r="L42" s="45"/>
    </row>
    <row r="43" spans="1:12" x14ac:dyDescent="0.25">
      <c r="A43" s="1686">
        <v>41944</v>
      </c>
      <c r="B43" s="317"/>
      <c r="C43" s="310">
        <v>0.42873</v>
      </c>
      <c r="D43" s="45"/>
      <c r="E43" s="45"/>
      <c r="F43" s="45"/>
      <c r="G43" s="45"/>
      <c r="H43" s="45"/>
      <c r="I43" s="45"/>
      <c r="J43" s="45"/>
      <c r="K43" s="45"/>
      <c r="L43" s="45"/>
    </row>
    <row r="44" spans="1:12" x14ac:dyDescent="0.25">
      <c r="A44" s="1686">
        <v>42309</v>
      </c>
      <c r="B44" s="317"/>
      <c r="C44" s="310">
        <v>0.3216</v>
      </c>
      <c r="D44" s="45"/>
      <c r="E44" s="45"/>
      <c r="F44" s="45"/>
      <c r="G44" s="45"/>
      <c r="H44" s="45"/>
      <c r="I44" s="45"/>
      <c r="J44" s="45"/>
      <c r="K44" s="45"/>
      <c r="L44" s="45"/>
    </row>
    <row r="45" spans="1:12" x14ac:dyDescent="0.25">
      <c r="A45" s="1686">
        <v>42675</v>
      </c>
      <c r="B45" s="317"/>
      <c r="C45" s="310">
        <v>0.29379</v>
      </c>
      <c r="D45" s="45"/>
      <c r="E45" s="45"/>
      <c r="F45" s="45"/>
      <c r="G45" s="45"/>
      <c r="H45" s="45"/>
      <c r="I45" s="45"/>
      <c r="J45" s="45"/>
      <c r="K45" s="45"/>
      <c r="L45" s="45"/>
    </row>
    <row r="46" spans="1:12" x14ac:dyDescent="0.25">
      <c r="A46" s="1686">
        <v>43040</v>
      </c>
      <c r="B46" s="317"/>
      <c r="C46" s="310">
        <v>0.27038000000000001</v>
      </c>
      <c r="D46" s="45"/>
      <c r="E46" s="45"/>
      <c r="F46" s="45"/>
      <c r="G46" s="45"/>
      <c r="H46" s="45"/>
      <c r="I46" s="45"/>
      <c r="J46" s="45"/>
      <c r="K46" s="45"/>
      <c r="L46" s="45"/>
    </row>
    <row r="47" spans="1:12" x14ac:dyDescent="0.25">
      <c r="A47" s="1686">
        <v>43405</v>
      </c>
      <c r="B47" s="317"/>
      <c r="C47" s="310">
        <v>0.22356000000000001</v>
      </c>
      <c r="D47" s="45"/>
      <c r="E47" s="45"/>
      <c r="F47" s="45"/>
      <c r="G47" s="45"/>
      <c r="H47" s="45"/>
      <c r="I47" s="45"/>
      <c r="J47" s="45"/>
      <c r="K47" s="45"/>
      <c r="L47" s="45"/>
    </row>
    <row r="48" spans="1:12" ht="13.8" thickBot="1" x14ac:dyDescent="0.3">
      <c r="A48" s="1687">
        <f>+EFFDATE</f>
        <v>43770</v>
      </c>
      <c r="B48" s="1506"/>
      <c r="C48" s="639">
        <f>Inputs!$B$16</f>
        <v>0.20291000000000001</v>
      </c>
      <c r="D48" s="45"/>
      <c r="E48" s="45"/>
      <c r="F48" s="45"/>
      <c r="G48" s="45"/>
      <c r="H48" s="45"/>
      <c r="I48" s="45"/>
      <c r="J48" s="45"/>
      <c r="K48" s="45"/>
      <c r="L48" s="45"/>
    </row>
    <row r="49" spans="1:12" x14ac:dyDescent="0.25">
      <c r="D49" s="45"/>
      <c r="E49" s="45"/>
      <c r="F49" s="45"/>
      <c r="G49" s="45"/>
      <c r="H49" s="45"/>
      <c r="I49" s="45"/>
      <c r="J49" s="45"/>
      <c r="K49" s="45"/>
      <c r="L49" s="45"/>
    </row>
    <row r="50" spans="1:12" x14ac:dyDescent="0.25">
      <c r="A50" s="33"/>
      <c r="B50" s="33"/>
      <c r="C50" s="33"/>
      <c r="D50" s="45"/>
      <c r="E50" s="45"/>
      <c r="F50" s="45"/>
      <c r="G50" s="45"/>
      <c r="H50" s="45"/>
      <c r="I50" s="45"/>
      <c r="J50" s="45"/>
      <c r="K50" s="45"/>
      <c r="L50" s="45"/>
    </row>
    <row r="51" spans="1:12" x14ac:dyDescent="0.25">
      <c r="A51" s="33"/>
      <c r="B51" s="33"/>
      <c r="C51" s="33"/>
      <c r="D51" s="45"/>
      <c r="E51" s="45"/>
      <c r="F51" s="45"/>
      <c r="G51" s="45"/>
      <c r="H51" s="45"/>
      <c r="I51" s="45"/>
      <c r="J51" s="45"/>
      <c r="K51" s="45"/>
      <c r="L51" s="45"/>
    </row>
    <row r="52" spans="1:12" x14ac:dyDescent="0.25">
      <c r="A52" s="33"/>
      <c r="B52" s="33"/>
      <c r="C52" s="33"/>
      <c r="D52" s="45"/>
      <c r="E52" s="45"/>
      <c r="F52" s="45"/>
      <c r="G52" s="45"/>
      <c r="H52" s="45"/>
      <c r="I52" s="45"/>
      <c r="J52" s="45"/>
      <c r="K52" s="45"/>
      <c r="L52" s="45"/>
    </row>
    <row r="53" spans="1:12" x14ac:dyDescent="0.25">
      <c r="A53" s="44" t="s">
        <v>573</v>
      </c>
      <c r="B53" s="44"/>
      <c r="C53" s="45"/>
      <c r="D53" s="45"/>
      <c r="E53" s="45"/>
      <c r="F53" s="45"/>
      <c r="G53" s="45"/>
      <c r="H53" s="45"/>
      <c r="I53" s="45"/>
      <c r="J53" s="45"/>
      <c r="K53" s="45"/>
      <c r="L53" s="45"/>
    </row>
    <row r="54" spans="1:12" x14ac:dyDescent="0.25">
      <c r="A54" s="44" t="s">
        <v>574</v>
      </c>
      <c r="B54" s="44"/>
      <c r="C54" s="45"/>
      <c r="D54" s="45"/>
      <c r="E54" s="45"/>
      <c r="F54" s="45"/>
      <c r="G54" s="45"/>
      <c r="H54" s="45"/>
      <c r="I54" s="45"/>
      <c r="J54" s="45"/>
      <c r="K54" s="45"/>
      <c r="L54" s="45"/>
    </row>
    <row r="55" spans="1:12" x14ac:dyDescent="0.25">
      <c r="A55" s="45"/>
      <c r="B55" s="45"/>
      <c r="C55" s="45"/>
      <c r="D55" s="45"/>
      <c r="E55" s="319">
        <f>+Cover!A10</f>
        <v>43770</v>
      </c>
      <c r="F55" s="45"/>
      <c r="G55" s="45"/>
      <c r="H55" s="45"/>
      <c r="I55" s="45"/>
      <c r="J55" s="45"/>
      <c r="K55" s="45"/>
      <c r="L55" s="45"/>
    </row>
    <row r="56" spans="1:12" x14ac:dyDescent="0.25">
      <c r="A56" s="240" t="s">
        <v>575</v>
      </c>
      <c r="B56" s="240"/>
      <c r="C56" s="318" t="s">
        <v>567</v>
      </c>
      <c r="D56" s="45"/>
      <c r="E56" s="45"/>
      <c r="F56" s="45"/>
      <c r="G56" s="45"/>
      <c r="H56" s="45"/>
      <c r="I56" s="45"/>
      <c r="J56" s="45"/>
      <c r="K56" s="45"/>
      <c r="L56" s="45"/>
    </row>
    <row r="57" spans="1:12" x14ac:dyDescent="0.25">
      <c r="A57" s="45"/>
      <c r="B57" s="45"/>
      <c r="C57" s="45"/>
      <c r="D57" s="45"/>
      <c r="E57" s="45"/>
      <c r="F57" s="45"/>
      <c r="G57" s="45"/>
      <c r="H57" s="45"/>
      <c r="I57" s="45"/>
      <c r="J57" s="45"/>
      <c r="K57" s="45"/>
      <c r="L57" s="45"/>
    </row>
    <row r="58" spans="1:12" x14ac:dyDescent="0.25">
      <c r="A58" s="45"/>
      <c r="B58" s="45"/>
      <c r="D58" s="45"/>
      <c r="E58" s="320"/>
      <c r="F58" s="45"/>
      <c r="G58" s="45"/>
      <c r="H58" s="45"/>
      <c r="I58" s="45"/>
      <c r="J58" s="45"/>
      <c r="K58" s="45"/>
      <c r="L58" s="45"/>
    </row>
    <row r="59" spans="1:12" x14ac:dyDescent="0.25">
      <c r="A59" s="45"/>
      <c r="B59" s="45"/>
      <c r="C59" s="45"/>
      <c r="D59" s="45"/>
      <c r="E59" s="45"/>
      <c r="F59" s="45"/>
      <c r="G59" s="45"/>
      <c r="H59" s="45"/>
      <c r="I59" s="45"/>
      <c r="J59" s="45"/>
      <c r="K59" s="45"/>
      <c r="L59" s="45"/>
    </row>
    <row r="60" spans="1:12" x14ac:dyDescent="0.25">
      <c r="A60" s="45"/>
      <c r="B60" s="45"/>
      <c r="C60" s="45"/>
      <c r="D60" s="44"/>
      <c r="E60" s="45"/>
      <c r="F60" s="45"/>
      <c r="G60" s="45"/>
      <c r="H60" s="45"/>
      <c r="I60" s="45"/>
      <c r="J60" s="45"/>
      <c r="K60" s="45"/>
      <c r="L60" s="45"/>
    </row>
    <row r="61" spans="1:12" x14ac:dyDescent="0.25">
      <c r="A61" s="45"/>
      <c r="B61" s="45"/>
      <c r="C61" s="45"/>
      <c r="E61" s="45"/>
      <c r="F61" s="45"/>
      <c r="G61" s="45"/>
      <c r="H61" s="45"/>
      <c r="I61" s="45"/>
      <c r="J61" s="45"/>
      <c r="K61" s="45"/>
      <c r="L61" s="45"/>
    </row>
    <row r="62" spans="1:12" x14ac:dyDescent="0.25">
      <c r="A62" s="45"/>
      <c r="B62" s="45"/>
      <c r="C62" s="45"/>
      <c r="D62" s="45"/>
      <c r="E62" s="45"/>
      <c r="F62" s="45"/>
      <c r="G62" s="45"/>
      <c r="H62" s="45"/>
      <c r="I62" s="45"/>
      <c r="J62" s="45"/>
      <c r="K62" s="45"/>
      <c r="L62" s="45"/>
    </row>
    <row r="63" spans="1:12" x14ac:dyDescent="0.25">
      <c r="A63" s="45"/>
      <c r="B63" s="45"/>
      <c r="C63" s="45"/>
      <c r="D63" s="45"/>
      <c r="E63" s="45"/>
      <c r="F63" s="45"/>
      <c r="G63" s="45"/>
      <c r="H63" s="45"/>
      <c r="I63" s="45"/>
      <c r="J63" s="45"/>
      <c r="K63" s="45"/>
      <c r="L63" s="45"/>
    </row>
    <row r="64" spans="1:12" x14ac:dyDescent="0.25">
      <c r="A64" s="45"/>
      <c r="B64" s="45"/>
      <c r="C64" s="45"/>
      <c r="D64" s="45"/>
      <c r="E64" s="45"/>
      <c r="F64" s="45"/>
      <c r="G64" s="45"/>
      <c r="H64" s="45"/>
      <c r="I64" s="45"/>
      <c r="J64" s="45"/>
      <c r="K64" s="45"/>
      <c r="L64" s="45"/>
    </row>
    <row r="65" spans="1:12" x14ac:dyDescent="0.25">
      <c r="A65" s="45"/>
      <c r="B65" s="45"/>
      <c r="C65" s="45"/>
      <c r="D65" s="45"/>
      <c r="E65" s="45"/>
      <c r="F65" s="45"/>
      <c r="G65" s="45"/>
      <c r="H65" s="45"/>
      <c r="I65" s="45"/>
      <c r="J65" s="45"/>
      <c r="K65" s="45"/>
      <c r="L65" s="45"/>
    </row>
    <row r="66" spans="1:12" x14ac:dyDescent="0.25">
      <c r="A66" s="45"/>
      <c r="B66" s="45"/>
      <c r="C66" s="45"/>
      <c r="D66" s="45"/>
      <c r="E66" s="45"/>
      <c r="F66" s="45"/>
      <c r="G66" s="45"/>
      <c r="H66" s="45"/>
      <c r="I66" s="45"/>
      <c r="J66" s="45"/>
      <c r="K66" s="45"/>
      <c r="L66" s="45"/>
    </row>
    <row r="67" spans="1:12" x14ac:dyDescent="0.25">
      <c r="A67" s="45"/>
      <c r="B67" s="45"/>
      <c r="C67" s="45"/>
      <c r="D67" s="45"/>
      <c r="E67" s="45"/>
      <c r="F67" s="45"/>
      <c r="G67" s="45"/>
      <c r="H67" s="45"/>
      <c r="I67" s="45"/>
      <c r="J67" s="45"/>
      <c r="K67" s="45"/>
      <c r="L67" s="45"/>
    </row>
    <row r="68" spans="1:12" x14ac:dyDescent="0.25">
      <c r="A68" s="45"/>
      <c r="B68" s="45"/>
      <c r="C68" s="45"/>
      <c r="D68" s="45"/>
      <c r="E68" s="45"/>
      <c r="F68" s="45"/>
      <c r="G68" s="45"/>
      <c r="H68" s="45"/>
      <c r="I68" s="45"/>
      <c r="J68" s="45"/>
      <c r="K68" s="45"/>
      <c r="L68" s="45"/>
    </row>
    <row r="69" spans="1:12" x14ac:dyDescent="0.25">
      <c r="A69" s="45"/>
      <c r="B69" s="45"/>
      <c r="C69" s="45"/>
      <c r="D69" s="45"/>
      <c r="E69" s="45"/>
      <c r="F69" s="45"/>
      <c r="G69" s="45"/>
      <c r="H69" s="45"/>
      <c r="I69" s="45"/>
      <c r="J69" s="45"/>
      <c r="K69" s="45"/>
      <c r="L69" s="45"/>
    </row>
    <row r="70" spans="1:12" x14ac:dyDescent="0.25">
      <c r="A70" s="45"/>
      <c r="B70" s="45"/>
      <c r="C70" s="45"/>
      <c r="D70" s="45"/>
      <c r="E70" s="45"/>
      <c r="F70" s="45"/>
      <c r="G70" s="45"/>
      <c r="H70" s="45"/>
      <c r="I70" s="45"/>
      <c r="J70" s="45"/>
      <c r="K70" s="45"/>
      <c r="L70" s="45"/>
    </row>
    <row r="71" spans="1:12" x14ac:dyDescent="0.25">
      <c r="A71" s="45"/>
      <c r="B71" s="45"/>
      <c r="C71" s="45"/>
      <c r="D71" s="45"/>
      <c r="E71" s="45"/>
      <c r="F71" s="45"/>
      <c r="G71" s="45"/>
      <c r="H71" s="45"/>
      <c r="I71" s="45"/>
      <c r="J71" s="45"/>
      <c r="K71" s="45"/>
      <c r="L71" s="45"/>
    </row>
    <row r="72" spans="1:12" x14ac:dyDescent="0.25">
      <c r="A72" s="45"/>
      <c r="B72" s="45"/>
      <c r="C72" s="45"/>
      <c r="D72" s="45"/>
      <c r="E72" s="45"/>
      <c r="F72" s="45"/>
      <c r="G72" s="45"/>
      <c r="H72" s="45"/>
      <c r="I72" s="45"/>
      <c r="J72" s="45"/>
      <c r="K72" s="45"/>
      <c r="L72" s="45"/>
    </row>
    <row r="73" spans="1:12" x14ac:dyDescent="0.25">
      <c r="A73" s="45"/>
      <c r="B73" s="45"/>
      <c r="C73" s="45"/>
      <c r="D73" s="45"/>
      <c r="E73" s="45"/>
      <c r="F73" s="45"/>
      <c r="G73" s="45"/>
      <c r="H73" s="45"/>
      <c r="I73" s="45"/>
      <c r="J73" s="45"/>
      <c r="K73" s="45"/>
      <c r="L73" s="45"/>
    </row>
    <row r="74" spans="1:12" x14ac:dyDescent="0.25">
      <c r="A74" s="45"/>
      <c r="B74" s="45"/>
      <c r="C74" s="45"/>
      <c r="D74" s="45"/>
      <c r="E74" s="45"/>
      <c r="F74" s="45"/>
      <c r="G74" s="45"/>
      <c r="H74" s="45"/>
      <c r="I74" s="45"/>
      <c r="J74" s="45"/>
      <c r="K74" s="45"/>
      <c r="L74" s="45"/>
    </row>
    <row r="75" spans="1:12" x14ac:dyDescent="0.25">
      <c r="A75" s="45"/>
      <c r="B75" s="45"/>
      <c r="C75" s="45"/>
      <c r="D75" s="45"/>
      <c r="E75" s="45"/>
      <c r="F75" s="45"/>
      <c r="G75" s="45"/>
      <c r="H75" s="45"/>
      <c r="I75" s="45"/>
      <c r="J75" s="45"/>
      <c r="K75" s="45"/>
      <c r="L75" s="45"/>
    </row>
    <row r="76" spans="1:12" x14ac:dyDescent="0.25">
      <c r="A76" s="45"/>
      <c r="B76" s="45"/>
      <c r="C76" s="45"/>
      <c r="D76" s="45"/>
      <c r="E76" s="45"/>
      <c r="F76" s="45"/>
      <c r="G76" s="45"/>
      <c r="H76" s="45"/>
      <c r="I76" s="45"/>
      <c r="J76" s="45"/>
      <c r="K76" s="45"/>
      <c r="L76" s="45"/>
    </row>
    <row r="77" spans="1:12" x14ac:dyDescent="0.25">
      <c r="A77" s="45"/>
      <c r="B77" s="45"/>
      <c r="C77" s="45"/>
      <c r="D77" s="45"/>
      <c r="E77" s="45"/>
      <c r="F77" s="45"/>
      <c r="G77" s="45"/>
      <c r="H77" s="45"/>
      <c r="I77" s="45"/>
      <c r="J77" s="45"/>
      <c r="K77" s="45"/>
      <c r="L77" s="45"/>
    </row>
    <row r="78" spans="1:12" x14ac:dyDescent="0.25">
      <c r="A78" s="45"/>
      <c r="B78" s="45"/>
      <c r="C78" s="45"/>
      <c r="D78" s="45"/>
      <c r="E78" s="45"/>
      <c r="F78" s="45"/>
      <c r="G78" s="45"/>
      <c r="H78" s="45"/>
      <c r="I78" s="45"/>
      <c r="J78" s="45"/>
      <c r="K78" s="45"/>
      <c r="L78" s="45"/>
    </row>
    <row r="79" spans="1:12" x14ac:dyDescent="0.25">
      <c r="A79" s="45"/>
      <c r="B79" s="45"/>
      <c r="C79" s="45"/>
      <c r="D79" s="45"/>
      <c r="E79" s="45"/>
      <c r="F79" s="45"/>
      <c r="G79" s="45"/>
      <c r="H79" s="45"/>
      <c r="I79" s="45"/>
      <c r="J79" s="45"/>
      <c r="K79" s="45"/>
      <c r="L79" s="45"/>
    </row>
    <row r="80" spans="1:12" x14ac:dyDescent="0.25">
      <c r="A80" s="45"/>
      <c r="B80" s="45"/>
      <c r="C80" s="45"/>
      <c r="D80" s="45"/>
      <c r="E80" s="45"/>
      <c r="F80" s="45"/>
      <c r="G80" s="45"/>
      <c r="H80" s="45"/>
      <c r="I80" s="45"/>
      <c r="J80" s="45"/>
      <c r="K80" s="45"/>
      <c r="L80" s="45"/>
    </row>
    <row r="81" spans="1:12" x14ac:dyDescent="0.25">
      <c r="A81" s="45"/>
      <c r="B81" s="45"/>
      <c r="C81" s="45"/>
      <c r="D81" s="45"/>
      <c r="E81" s="45"/>
      <c r="F81" s="45"/>
      <c r="G81" s="45"/>
      <c r="H81" s="45"/>
      <c r="I81" s="45"/>
      <c r="J81" s="45"/>
      <c r="K81" s="45"/>
      <c r="L81" s="45"/>
    </row>
    <row r="82" spans="1:12" x14ac:dyDescent="0.25">
      <c r="A82" s="45"/>
      <c r="B82" s="45"/>
      <c r="C82" s="45"/>
      <c r="D82" s="45"/>
      <c r="E82" s="45"/>
      <c r="F82" s="45"/>
      <c r="G82" s="45"/>
      <c r="H82" s="45"/>
      <c r="I82" s="45"/>
      <c r="J82" s="45"/>
      <c r="K82" s="45"/>
      <c r="L82" s="45"/>
    </row>
    <row r="83" spans="1:12" x14ac:dyDescent="0.25">
      <c r="A83" s="45"/>
      <c r="B83" s="45"/>
      <c r="C83" s="45"/>
      <c r="D83" s="45"/>
      <c r="E83" s="45"/>
      <c r="F83" s="45"/>
      <c r="G83" s="45"/>
      <c r="H83" s="45"/>
      <c r="I83" s="45"/>
      <c r="J83" s="45"/>
      <c r="K83" s="45"/>
      <c r="L83" s="45"/>
    </row>
    <row r="84" spans="1:12" x14ac:dyDescent="0.25">
      <c r="A84" s="45"/>
      <c r="B84" s="45"/>
      <c r="C84" s="45"/>
      <c r="D84" s="45"/>
      <c r="E84" s="45"/>
      <c r="F84" s="45"/>
      <c r="G84" s="45"/>
      <c r="H84" s="45"/>
      <c r="I84" s="45"/>
      <c r="J84" s="45"/>
      <c r="K84" s="45"/>
      <c r="L84" s="45"/>
    </row>
    <row r="85" spans="1:12" x14ac:dyDescent="0.25">
      <c r="A85" s="45"/>
      <c r="B85" s="45"/>
      <c r="C85" s="45"/>
      <c r="D85" s="45"/>
      <c r="E85" s="45"/>
      <c r="F85" s="45"/>
      <c r="G85" s="45"/>
      <c r="H85" s="45"/>
      <c r="I85" s="45"/>
      <c r="J85" s="45"/>
      <c r="K85" s="45"/>
      <c r="L85" s="45"/>
    </row>
    <row r="86" spans="1:12" x14ac:dyDescent="0.25">
      <c r="A86" s="45"/>
      <c r="B86" s="45"/>
      <c r="C86" s="45"/>
      <c r="D86" s="45"/>
      <c r="E86" s="45"/>
      <c r="F86" s="45"/>
      <c r="G86" s="45"/>
      <c r="H86" s="45"/>
      <c r="I86" s="45"/>
      <c r="J86" s="45"/>
      <c r="K86" s="45"/>
      <c r="L86" s="45"/>
    </row>
    <row r="87" spans="1:12" x14ac:dyDescent="0.25">
      <c r="A87" s="45"/>
      <c r="B87" s="45"/>
      <c r="C87" s="45"/>
      <c r="D87" s="45"/>
      <c r="E87" s="45"/>
      <c r="F87" s="45"/>
      <c r="G87" s="45"/>
      <c r="H87" s="45"/>
      <c r="I87" s="45"/>
      <c r="J87" s="45"/>
      <c r="K87" s="45"/>
      <c r="L87" s="45"/>
    </row>
    <row r="88" spans="1:12" x14ac:dyDescent="0.25">
      <c r="A88" s="45"/>
      <c r="B88" s="45"/>
      <c r="C88" s="45"/>
      <c r="D88" s="45"/>
      <c r="E88" s="45"/>
      <c r="F88" s="45"/>
      <c r="G88" s="45"/>
      <c r="H88" s="45"/>
      <c r="I88" s="45"/>
      <c r="J88" s="45"/>
      <c r="K88" s="45"/>
      <c r="L88" s="45"/>
    </row>
    <row r="89" spans="1:12" x14ac:dyDescent="0.25">
      <c r="A89" s="45"/>
      <c r="B89" s="45"/>
      <c r="C89" s="45"/>
      <c r="D89" s="45"/>
      <c r="E89" s="45"/>
      <c r="F89" s="45"/>
      <c r="G89" s="45"/>
      <c r="H89" s="45"/>
      <c r="I89" s="45"/>
      <c r="J89" s="45"/>
      <c r="K89" s="45"/>
      <c r="L89" s="45"/>
    </row>
    <row r="90" spans="1:12" x14ac:dyDescent="0.25">
      <c r="A90" s="45"/>
      <c r="B90" s="45"/>
      <c r="C90" s="45"/>
      <c r="D90" s="45"/>
      <c r="E90" s="45"/>
      <c r="F90" s="45"/>
      <c r="G90" s="45"/>
      <c r="H90" s="45"/>
      <c r="I90" s="45"/>
      <c r="J90" s="45"/>
      <c r="K90" s="45"/>
      <c r="L90" s="45"/>
    </row>
    <row r="91" spans="1:12" x14ac:dyDescent="0.25">
      <c r="A91" s="45"/>
      <c r="B91" s="45"/>
      <c r="C91" s="45"/>
      <c r="D91" s="45"/>
      <c r="E91" s="45"/>
      <c r="F91" s="45"/>
      <c r="G91" s="45"/>
      <c r="H91" s="45"/>
      <c r="I91" s="45"/>
      <c r="J91" s="45"/>
      <c r="K91" s="45"/>
      <c r="L91" s="45"/>
    </row>
    <row r="92" spans="1:12" x14ac:dyDescent="0.25">
      <c r="A92" s="45"/>
      <c r="B92" s="45"/>
      <c r="C92" s="45"/>
      <c r="D92" s="45"/>
      <c r="E92" s="45"/>
      <c r="F92" s="45"/>
      <c r="G92" s="45"/>
      <c r="H92" s="45"/>
      <c r="I92" s="45"/>
      <c r="J92" s="45"/>
      <c r="K92" s="45"/>
      <c r="L92" s="45"/>
    </row>
    <row r="93" spans="1:12" x14ac:dyDescent="0.25">
      <c r="A93" s="45"/>
      <c r="B93" s="45"/>
      <c r="C93" s="45"/>
      <c r="D93" s="45"/>
      <c r="E93" s="45"/>
      <c r="F93" s="45"/>
      <c r="G93" s="45"/>
      <c r="H93" s="45"/>
      <c r="I93" s="45"/>
      <c r="J93" s="45"/>
      <c r="K93" s="45"/>
      <c r="L93" s="45"/>
    </row>
    <row r="94" spans="1:12" x14ac:dyDescent="0.25">
      <c r="A94" s="45"/>
      <c r="B94" s="45"/>
      <c r="C94" s="45"/>
      <c r="D94" s="45"/>
      <c r="E94" s="45"/>
      <c r="F94" s="45"/>
      <c r="G94" s="45"/>
      <c r="H94" s="45"/>
      <c r="I94" s="45"/>
      <c r="J94" s="45"/>
      <c r="K94" s="45"/>
      <c r="L94" s="45"/>
    </row>
    <row r="95" spans="1:12" x14ac:dyDescent="0.25">
      <c r="A95" s="45"/>
      <c r="B95" s="45"/>
      <c r="C95" s="45"/>
      <c r="D95" s="45"/>
      <c r="E95" s="45"/>
      <c r="F95" s="45"/>
      <c r="G95" s="45"/>
      <c r="H95" s="45"/>
      <c r="I95" s="45"/>
      <c r="J95" s="45"/>
      <c r="K95" s="45"/>
      <c r="L95" s="45"/>
    </row>
    <row r="96" spans="1:12" x14ac:dyDescent="0.25">
      <c r="A96" s="45"/>
      <c r="B96" s="45"/>
      <c r="C96" s="45"/>
      <c r="D96" s="45"/>
      <c r="E96" s="45"/>
      <c r="F96" s="45"/>
      <c r="G96" s="45"/>
      <c r="H96" s="45"/>
      <c r="I96" s="45"/>
      <c r="J96" s="45"/>
      <c r="K96" s="45"/>
      <c r="L96" s="45"/>
    </row>
    <row r="97" spans="1:12" x14ac:dyDescent="0.25">
      <c r="A97" s="45"/>
      <c r="B97" s="45"/>
      <c r="C97" s="45"/>
      <c r="D97" s="45"/>
      <c r="E97" s="45"/>
      <c r="F97" s="45"/>
      <c r="G97" s="45"/>
      <c r="H97" s="45"/>
      <c r="I97" s="45"/>
      <c r="J97" s="45"/>
      <c r="K97" s="45"/>
      <c r="L97" s="45"/>
    </row>
    <row r="98" spans="1:12" x14ac:dyDescent="0.25">
      <c r="A98" s="45"/>
      <c r="B98" s="45"/>
      <c r="C98" s="45"/>
      <c r="D98" s="45"/>
      <c r="E98" s="45"/>
      <c r="F98" s="45"/>
      <c r="G98" s="45"/>
      <c r="H98" s="45"/>
      <c r="I98" s="45"/>
      <c r="J98" s="45"/>
      <c r="K98" s="45"/>
      <c r="L98" s="45"/>
    </row>
    <row r="99" spans="1:12" x14ac:dyDescent="0.25">
      <c r="A99" s="45"/>
      <c r="B99" s="45"/>
      <c r="C99" s="45"/>
      <c r="D99" s="45"/>
      <c r="E99" s="45"/>
      <c r="F99" s="45"/>
      <c r="G99" s="45"/>
      <c r="H99" s="45"/>
      <c r="I99" s="45"/>
      <c r="J99" s="45"/>
      <c r="K99" s="45"/>
      <c r="L99" s="45"/>
    </row>
    <row r="100" spans="1:12" x14ac:dyDescent="0.25">
      <c r="A100" s="45"/>
      <c r="B100" s="45"/>
      <c r="C100" s="45"/>
      <c r="D100" s="45"/>
      <c r="E100" s="45"/>
      <c r="F100" s="45"/>
      <c r="G100" s="45"/>
      <c r="H100" s="45"/>
      <c r="I100" s="45"/>
      <c r="J100" s="45"/>
      <c r="K100" s="45"/>
      <c r="L100" s="45"/>
    </row>
    <row r="101" spans="1:12" x14ac:dyDescent="0.25">
      <c r="A101" s="45"/>
      <c r="B101" s="45"/>
      <c r="C101" s="45"/>
      <c r="D101" s="45"/>
      <c r="E101" s="45"/>
      <c r="F101" s="45"/>
      <c r="G101" s="45"/>
      <c r="H101" s="45"/>
      <c r="I101" s="45"/>
      <c r="J101" s="45"/>
      <c r="K101" s="45"/>
      <c r="L101" s="45"/>
    </row>
    <row r="102" spans="1:12" x14ac:dyDescent="0.25">
      <c r="A102" s="45"/>
      <c r="B102" s="45"/>
      <c r="C102" s="45"/>
      <c r="D102" s="45"/>
      <c r="E102" s="45"/>
      <c r="F102" s="45"/>
      <c r="G102" s="45"/>
      <c r="H102" s="45"/>
      <c r="I102" s="45"/>
      <c r="J102" s="45"/>
      <c r="K102" s="45"/>
      <c r="L102" s="45"/>
    </row>
    <row r="103" spans="1:12" x14ac:dyDescent="0.25">
      <c r="A103" s="45"/>
      <c r="B103" s="45"/>
      <c r="C103" s="45"/>
      <c r="D103" s="45"/>
      <c r="E103" s="45"/>
      <c r="F103" s="45"/>
      <c r="G103" s="45"/>
      <c r="H103" s="45"/>
      <c r="I103" s="45"/>
      <c r="J103" s="45"/>
      <c r="K103" s="45"/>
      <c r="L103" s="45"/>
    </row>
    <row r="104" spans="1:12" x14ac:dyDescent="0.25">
      <c r="A104" s="45"/>
      <c r="B104" s="45"/>
      <c r="C104" s="45"/>
      <c r="D104" s="45"/>
      <c r="E104" s="45"/>
      <c r="F104" s="45"/>
      <c r="G104" s="45"/>
      <c r="H104" s="45"/>
      <c r="I104" s="45"/>
      <c r="J104" s="45"/>
      <c r="K104" s="45"/>
      <c r="L104" s="45"/>
    </row>
    <row r="105" spans="1:12" x14ac:dyDescent="0.25">
      <c r="A105" s="45"/>
      <c r="B105" s="45"/>
      <c r="C105" s="45"/>
      <c r="D105" s="45"/>
      <c r="E105" s="45"/>
      <c r="F105" s="45"/>
      <c r="G105" s="45"/>
      <c r="H105" s="45"/>
      <c r="I105" s="45"/>
      <c r="J105" s="45"/>
      <c r="K105" s="45"/>
      <c r="L105" s="45"/>
    </row>
    <row r="106" spans="1:12" x14ac:dyDescent="0.25">
      <c r="A106" s="45"/>
      <c r="B106" s="45"/>
      <c r="C106" s="45"/>
      <c r="D106" s="45"/>
      <c r="E106" s="45"/>
      <c r="F106" s="45"/>
      <c r="G106" s="45"/>
      <c r="H106" s="45"/>
      <c r="I106" s="45"/>
      <c r="J106" s="45"/>
      <c r="K106" s="45"/>
      <c r="L106" s="45"/>
    </row>
    <row r="107" spans="1:12" x14ac:dyDescent="0.25">
      <c r="A107" s="45"/>
      <c r="B107" s="45"/>
      <c r="C107" s="45"/>
      <c r="D107" s="45"/>
      <c r="E107" s="45"/>
      <c r="F107" s="45"/>
      <c r="G107" s="45"/>
      <c r="H107" s="45"/>
      <c r="I107" s="45"/>
      <c r="J107" s="45"/>
      <c r="K107" s="45"/>
      <c r="L107" s="45"/>
    </row>
    <row r="108" spans="1:12" x14ac:dyDescent="0.25">
      <c r="A108" s="45"/>
      <c r="B108" s="45"/>
      <c r="C108" s="45"/>
      <c r="D108" s="45"/>
      <c r="E108" s="45"/>
      <c r="F108" s="45"/>
      <c r="G108" s="45"/>
      <c r="H108" s="45"/>
      <c r="I108" s="45"/>
      <c r="J108" s="45"/>
      <c r="K108" s="45"/>
      <c r="L108" s="45"/>
    </row>
    <row r="109" spans="1:12" x14ac:dyDescent="0.25">
      <c r="A109" s="45"/>
      <c r="B109" s="45"/>
      <c r="C109" s="45"/>
      <c r="D109" s="45"/>
      <c r="E109" s="45"/>
      <c r="F109" s="45"/>
      <c r="G109" s="45"/>
      <c r="H109" s="45"/>
      <c r="I109" s="45"/>
      <c r="J109" s="45"/>
      <c r="K109" s="45"/>
      <c r="L109" s="45"/>
    </row>
    <row r="110" spans="1:12" x14ac:dyDescent="0.25">
      <c r="A110" s="45"/>
      <c r="B110" s="45"/>
      <c r="C110" s="45"/>
      <c r="D110" s="45"/>
      <c r="E110" s="45"/>
      <c r="F110" s="45"/>
      <c r="G110" s="45"/>
      <c r="H110" s="45"/>
      <c r="I110" s="45"/>
      <c r="J110" s="45"/>
      <c r="K110" s="45"/>
      <c r="L110" s="45"/>
    </row>
    <row r="111" spans="1:12" x14ac:dyDescent="0.25">
      <c r="A111" s="45"/>
      <c r="B111" s="45"/>
      <c r="C111" s="45"/>
      <c r="D111" s="45"/>
      <c r="E111" s="45"/>
      <c r="F111" s="45"/>
      <c r="G111" s="45"/>
      <c r="H111" s="45"/>
      <c r="I111" s="45"/>
      <c r="J111" s="45"/>
      <c r="K111" s="45"/>
      <c r="L111" s="45"/>
    </row>
    <row r="112" spans="1:12" x14ac:dyDescent="0.25">
      <c r="A112" s="45"/>
      <c r="B112" s="45"/>
      <c r="C112" s="45"/>
      <c r="D112" s="45"/>
      <c r="E112" s="45"/>
      <c r="F112" s="45"/>
      <c r="G112" s="45"/>
      <c r="H112" s="45"/>
      <c r="I112" s="45"/>
      <c r="J112" s="45"/>
      <c r="K112" s="45"/>
      <c r="L112" s="45"/>
    </row>
    <row r="113" spans="1:12" x14ac:dyDescent="0.25">
      <c r="A113" s="45"/>
      <c r="B113" s="45"/>
      <c r="C113" s="45"/>
      <c r="D113" s="45"/>
      <c r="E113" s="45"/>
      <c r="F113" s="45"/>
      <c r="G113" s="45"/>
      <c r="H113" s="45"/>
      <c r="I113" s="45"/>
      <c r="J113" s="45"/>
      <c r="K113" s="45"/>
      <c r="L113" s="45"/>
    </row>
    <row r="114" spans="1:12" x14ac:dyDescent="0.25">
      <c r="A114" s="45"/>
      <c r="B114" s="45"/>
      <c r="C114" s="45"/>
      <c r="D114" s="45"/>
      <c r="E114" s="45"/>
      <c r="F114" s="45"/>
      <c r="G114" s="45"/>
      <c r="H114" s="45"/>
      <c r="I114" s="45"/>
      <c r="J114" s="45"/>
      <c r="K114" s="45"/>
      <c r="L114" s="45"/>
    </row>
    <row r="115" spans="1:12" x14ac:dyDescent="0.25">
      <c r="A115" s="45"/>
      <c r="B115" s="45"/>
      <c r="C115" s="45"/>
      <c r="D115" s="45"/>
      <c r="E115" s="45"/>
      <c r="F115" s="45"/>
      <c r="G115" s="45"/>
      <c r="H115" s="45"/>
      <c r="I115" s="45"/>
      <c r="J115" s="45"/>
      <c r="K115" s="45"/>
      <c r="L115" s="45"/>
    </row>
    <row r="116" spans="1:12" x14ac:dyDescent="0.25">
      <c r="A116" s="45"/>
      <c r="B116" s="45"/>
      <c r="C116" s="45"/>
      <c r="D116" s="45"/>
      <c r="E116" s="45"/>
      <c r="F116" s="45"/>
      <c r="G116" s="45"/>
      <c r="H116" s="45"/>
      <c r="I116" s="45"/>
      <c r="J116" s="45"/>
      <c r="K116" s="45"/>
      <c r="L116" s="45"/>
    </row>
    <row r="117" spans="1:12" x14ac:dyDescent="0.25">
      <c r="A117" s="45"/>
      <c r="B117" s="45"/>
      <c r="C117" s="45"/>
      <c r="D117" s="45"/>
      <c r="E117" s="45"/>
      <c r="F117" s="45"/>
      <c r="G117" s="45"/>
      <c r="H117" s="45"/>
      <c r="I117" s="45"/>
      <c r="J117" s="45"/>
      <c r="K117" s="45"/>
      <c r="L117" s="45"/>
    </row>
    <row r="118" spans="1:12" x14ac:dyDescent="0.25">
      <c r="A118" s="45"/>
      <c r="B118" s="45"/>
      <c r="C118" s="45"/>
      <c r="D118" s="45"/>
      <c r="E118" s="45"/>
      <c r="F118" s="45"/>
      <c r="G118" s="45"/>
      <c r="H118" s="45"/>
      <c r="I118" s="45"/>
      <c r="J118" s="45"/>
      <c r="K118" s="45"/>
      <c r="L118" s="45"/>
    </row>
    <row r="119" spans="1:12" x14ac:dyDescent="0.25">
      <c r="A119" s="45"/>
      <c r="B119" s="45"/>
      <c r="C119" s="45"/>
      <c r="D119" s="45"/>
      <c r="E119" s="45"/>
      <c r="F119" s="45"/>
      <c r="G119" s="45"/>
      <c r="H119" s="45"/>
      <c r="I119" s="45"/>
      <c r="J119" s="45"/>
      <c r="K119" s="45"/>
      <c r="L119" s="45"/>
    </row>
    <row r="120" spans="1:12" x14ac:dyDescent="0.25">
      <c r="A120" s="45"/>
      <c r="B120" s="45"/>
      <c r="C120" s="45"/>
      <c r="D120" s="45"/>
      <c r="E120" s="45"/>
      <c r="F120" s="45"/>
      <c r="G120" s="45"/>
      <c r="H120" s="45"/>
      <c r="I120" s="45"/>
      <c r="J120" s="45"/>
      <c r="K120" s="45"/>
      <c r="L120" s="45"/>
    </row>
    <row r="121" spans="1:12" x14ac:dyDescent="0.25">
      <c r="A121" s="45"/>
      <c r="B121" s="45"/>
      <c r="C121" s="45"/>
      <c r="D121" s="45"/>
      <c r="E121" s="45"/>
      <c r="F121" s="45"/>
      <c r="G121" s="45"/>
      <c r="H121" s="45"/>
      <c r="I121" s="45"/>
      <c r="J121" s="45"/>
      <c r="K121" s="45"/>
      <c r="L121" s="45"/>
    </row>
    <row r="122" spans="1:12" x14ac:dyDescent="0.25">
      <c r="A122" s="45"/>
      <c r="B122" s="45"/>
      <c r="C122" s="45"/>
      <c r="D122" s="45"/>
      <c r="E122" s="45"/>
      <c r="F122" s="45"/>
      <c r="G122" s="45"/>
      <c r="H122" s="45"/>
      <c r="I122" s="45"/>
      <c r="J122" s="45"/>
      <c r="K122" s="45"/>
      <c r="L122" s="45"/>
    </row>
    <row r="123" spans="1:12" x14ac:dyDescent="0.25">
      <c r="A123" s="45"/>
      <c r="B123" s="45"/>
      <c r="C123" s="45"/>
      <c r="D123" s="45"/>
      <c r="E123" s="45"/>
      <c r="F123" s="45"/>
      <c r="G123" s="45"/>
      <c r="H123" s="45"/>
      <c r="I123" s="45"/>
      <c r="J123" s="45"/>
      <c r="K123" s="45"/>
      <c r="L123" s="45"/>
    </row>
    <row r="124" spans="1:12" x14ac:dyDescent="0.25">
      <c r="A124" s="45"/>
      <c r="B124" s="45"/>
      <c r="C124" s="45"/>
      <c r="D124" s="45"/>
      <c r="E124" s="45"/>
      <c r="F124" s="45"/>
      <c r="G124" s="45"/>
      <c r="H124" s="45"/>
      <c r="I124" s="45"/>
      <c r="J124" s="45"/>
      <c r="K124" s="45"/>
      <c r="L124" s="45"/>
    </row>
    <row r="125" spans="1:12" x14ac:dyDescent="0.25">
      <c r="A125" s="45"/>
      <c r="B125" s="45"/>
      <c r="C125" s="45"/>
      <c r="D125" s="45"/>
      <c r="E125" s="45"/>
      <c r="F125" s="45"/>
      <c r="G125" s="45"/>
      <c r="H125" s="45"/>
      <c r="I125" s="45"/>
      <c r="J125" s="45"/>
      <c r="K125" s="45"/>
      <c r="L125" s="45"/>
    </row>
    <row r="126" spans="1:12" x14ac:dyDescent="0.25">
      <c r="A126" s="45"/>
      <c r="B126" s="45"/>
      <c r="C126" s="45"/>
      <c r="D126" s="45"/>
      <c r="E126" s="45"/>
      <c r="F126" s="45"/>
      <c r="G126" s="45"/>
      <c r="H126" s="45"/>
      <c r="I126" s="45"/>
      <c r="J126" s="45"/>
      <c r="K126" s="45"/>
      <c r="L126" s="45"/>
    </row>
    <row r="127" spans="1:12" x14ac:dyDescent="0.25">
      <c r="A127" s="45"/>
      <c r="B127" s="45"/>
      <c r="C127" s="45"/>
      <c r="D127" s="45"/>
      <c r="E127" s="45"/>
      <c r="F127" s="45"/>
      <c r="G127" s="45"/>
      <c r="H127" s="45"/>
      <c r="I127" s="45"/>
      <c r="J127" s="45"/>
      <c r="K127" s="45"/>
      <c r="L127" s="45"/>
    </row>
    <row r="128" spans="1:12" x14ac:dyDescent="0.25">
      <c r="A128" s="45"/>
      <c r="B128" s="45"/>
      <c r="C128" s="45"/>
      <c r="D128" s="45"/>
      <c r="E128" s="45"/>
      <c r="F128" s="45"/>
      <c r="G128" s="45"/>
      <c r="H128" s="45"/>
      <c r="I128" s="45"/>
      <c r="J128" s="45"/>
      <c r="K128" s="45"/>
      <c r="L128" s="45"/>
    </row>
    <row r="129" spans="1:12" x14ac:dyDescent="0.25">
      <c r="A129" s="45"/>
      <c r="B129" s="45"/>
      <c r="C129" s="45"/>
      <c r="D129" s="45"/>
      <c r="E129" s="45"/>
      <c r="F129" s="45"/>
      <c r="G129" s="45"/>
      <c r="H129" s="45"/>
      <c r="I129" s="45"/>
      <c r="J129" s="45"/>
      <c r="K129" s="45"/>
      <c r="L129" s="45"/>
    </row>
    <row r="130" spans="1:12" x14ac:dyDescent="0.25">
      <c r="A130" s="45"/>
      <c r="B130" s="45"/>
      <c r="C130" s="45"/>
      <c r="D130" s="45"/>
      <c r="E130" s="45"/>
      <c r="F130" s="45"/>
      <c r="G130" s="45"/>
      <c r="H130" s="45"/>
      <c r="I130" s="45"/>
      <c r="J130" s="45"/>
      <c r="K130" s="45"/>
      <c r="L130" s="45"/>
    </row>
    <row r="131" spans="1:12" x14ac:dyDescent="0.25">
      <c r="A131" s="45"/>
      <c r="B131" s="45"/>
      <c r="C131" s="45"/>
      <c r="D131" s="45"/>
      <c r="E131" s="45"/>
      <c r="F131" s="45"/>
      <c r="G131" s="45"/>
      <c r="H131" s="45"/>
      <c r="I131" s="45"/>
      <c r="J131" s="45"/>
      <c r="K131" s="45"/>
      <c r="L131" s="45"/>
    </row>
    <row r="132" spans="1:12" x14ac:dyDescent="0.25">
      <c r="A132" s="45"/>
      <c r="B132" s="45"/>
      <c r="C132" s="45"/>
      <c r="D132" s="45"/>
      <c r="E132" s="45"/>
      <c r="F132" s="45"/>
      <c r="G132" s="45"/>
      <c r="H132" s="45"/>
      <c r="I132" s="45"/>
      <c r="J132" s="45"/>
      <c r="K132" s="45"/>
      <c r="L132" s="45"/>
    </row>
    <row r="133" spans="1:12" x14ac:dyDescent="0.25">
      <c r="A133" s="45"/>
      <c r="B133" s="45"/>
      <c r="C133" s="45"/>
      <c r="D133" s="45"/>
      <c r="E133" s="45"/>
      <c r="F133" s="45"/>
      <c r="G133" s="45"/>
      <c r="H133" s="45"/>
      <c r="I133" s="45"/>
      <c r="J133" s="45"/>
      <c r="K133" s="45"/>
      <c r="L133" s="45"/>
    </row>
    <row r="134" spans="1:12" x14ac:dyDescent="0.25">
      <c r="A134" s="45"/>
      <c r="B134" s="45"/>
      <c r="C134" s="45"/>
      <c r="D134" s="45"/>
      <c r="E134" s="45"/>
      <c r="F134" s="45"/>
      <c r="G134" s="45"/>
      <c r="H134" s="45"/>
      <c r="I134" s="45"/>
      <c r="J134" s="45"/>
      <c r="K134" s="45"/>
      <c r="L134" s="45"/>
    </row>
    <row r="135" spans="1:12" x14ac:dyDescent="0.25">
      <c r="A135" s="45"/>
      <c r="B135" s="45"/>
      <c r="C135" s="45"/>
      <c r="D135" s="45"/>
      <c r="E135" s="45"/>
      <c r="F135" s="45"/>
      <c r="G135" s="45"/>
      <c r="H135" s="45"/>
      <c r="I135" s="45"/>
      <c r="J135" s="45"/>
      <c r="K135" s="45"/>
      <c r="L135" s="45"/>
    </row>
    <row r="136" spans="1:12" x14ac:dyDescent="0.25">
      <c r="A136" s="45"/>
      <c r="B136" s="45"/>
      <c r="C136" s="45"/>
      <c r="D136" s="45"/>
      <c r="E136" s="45"/>
      <c r="F136" s="45"/>
      <c r="G136" s="45"/>
      <c r="H136" s="45"/>
      <c r="I136" s="45"/>
      <c r="J136" s="45"/>
      <c r="K136" s="45"/>
      <c r="L136" s="45"/>
    </row>
    <row r="137" spans="1:12" x14ac:dyDescent="0.25">
      <c r="A137" s="45"/>
      <c r="B137" s="45"/>
      <c r="C137" s="45"/>
      <c r="D137" s="45"/>
      <c r="E137" s="45"/>
      <c r="F137" s="45"/>
      <c r="G137" s="45"/>
      <c r="H137" s="45"/>
      <c r="I137" s="45"/>
      <c r="J137" s="45"/>
      <c r="K137" s="45"/>
      <c r="L137" s="45"/>
    </row>
    <row r="138" spans="1:12" x14ac:dyDescent="0.25">
      <c r="A138" s="45"/>
      <c r="B138" s="45"/>
      <c r="C138" s="45"/>
      <c r="D138" s="45"/>
      <c r="E138" s="45"/>
      <c r="F138" s="45"/>
      <c r="G138" s="45"/>
      <c r="H138" s="45"/>
      <c r="I138" s="45"/>
      <c r="J138" s="45"/>
      <c r="K138" s="45"/>
      <c r="L138" s="45"/>
    </row>
    <row r="139" spans="1:12" x14ac:dyDescent="0.25">
      <c r="A139" s="45"/>
      <c r="B139" s="45"/>
      <c r="C139" s="45"/>
      <c r="D139" s="45"/>
      <c r="E139" s="45"/>
      <c r="F139" s="45"/>
      <c r="G139" s="45"/>
      <c r="H139" s="45"/>
      <c r="I139" s="45"/>
      <c r="J139" s="45"/>
      <c r="K139" s="45"/>
      <c r="L139" s="45"/>
    </row>
    <row r="140" spans="1:12" x14ac:dyDescent="0.25">
      <c r="A140" s="45"/>
      <c r="B140" s="45"/>
      <c r="C140" s="45"/>
      <c r="D140" s="45"/>
      <c r="E140" s="45"/>
      <c r="F140" s="45"/>
      <c r="G140" s="45"/>
      <c r="H140" s="45"/>
      <c r="I140" s="45"/>
      <c r="J140" s="45"/>
      <c r="K140" s="45"/>
      <c r="L140" s="45"/>
    </row>
    <row r="141" spans="1:12" x14ac:dyDescent="0.25">
      <c r="A141" s="45"/>
      <c r="B141" s="45"/>
      <c r="C141" s="45"/>
      <c r="D141" s="45"/>
      <c r="E141" s="45"/>
      <c r="F141" s="45"/>
      <c r="G141" s="45"/>
      <c r="H141" s="45"/>
      <c r="I141" s="45"/>
      <c r="J141" s="45"/>
      <c r="K141" s="45"/>
      <c r="L141" s="45"/>
    </row>
    <row r="142" spans="1:12" x14ac:dyDescent="0.25">
      <c r="A142" s="45"/>
      <c r="B142" s="45"/>
      <c r="C142" s="45"/>
      <c r="D142" s="45"/>
      <c r="E142" s="45"/>
      <c r="F142" s="45"/>
      <c r="G142" s="45"/>
      <c r="H142" s="45"/>
      <c r="I142" s="45"/>
      <c r="J142" s="45"/>
      <c r="K142" s="45"/>
      <c r="L142" s="45"/>
    </row>
    <row r="143" spans="1:12" x14ac:dyDescent="0.25">
      <c r="A143" s="45"/>
      <c r="B143" s="45"/>
      <c r="C143" s="45"/>
      <c r="D143" s="45"/>
      <c r="E143" s="45"/>
      <c r="F143" s="45"/>
      <c r="G143" s="45"/>
      <c r="H143" s="45"/>
      <c r="I143" s="45"/>
      <c r="J143" s="45"/>
      <c r="K143" s="45"/>
      <c r="L143" s="45"/>
    </row>
    <row r="144" spans="1:12" x14ac:dyDescent="0.25">
      <c r="A144" s="45"/>
      <c r="B144" s="45"/>
      <c r="C144" s="45"/>
      <c r="D144" s="45"/>
      <c r="E144" s="45"/>
      <c r="F144" s="45"/>
      <c r="G144" s="45"/>
      <c r="H144" s="45"/>
      <c r="I144" s="45"/>
      <c r="J144" s="45"/>
      <c r="K144" s="45"/>
      <c r="L144" s="45"/>
    </row>
    <row r="145" spans="1:12" x14ac:dyDescent="0.25">
      <c r="A145" s="45"/>
      <c r="B145" s="45"/>
      <c r="C145" s="45"/>
      <c r="D145" s="45"/>
      <c r="E145" s="45"/>
      <c r="F145" s="45"/>
      <c r="G145" s="45"/>
      <c r="H145" s="45"/>
      <c r="I145" s="45"/>
      <c r="J145" s="45"/>
      <c r="K145" s="45"/>
      <c r="L145" s="45"/>
    </row>
    <row r="146" spans="1:12" x14ac:dyDescent="0.25">
      <c r="A146" s="45"/>
      <c r="B146" s="45"/>
      <c r="C146" s="45"/>
      <c r="D146" s="45"/>
      <c r="E146" s="45"/>
      <c r="F146" s="45"/>
      <c r="G146" s="45"/>
      <c r="H146" s="45"/>
      <c r="I146" s="45"/>
      <c r="J146" s="45"/>
      <c r="K146" s="45"/>
      <c r="L146" s="45"/>
    </row>
    <row r="147" spans="1:12" x14ac:dyDescent="0.25">
      <c r="A147" s="45"/>
      <c r="B147" s="45"/>
      <c r="C147" s="45"/>
      <c r="D147" s="45"/>
      <c r="E147" s="45"/>
      <c r="F147" s="45"/>
      <c r="G147" s="45"/>
      <c r="H147" s="45"/>
      <c r="I147" s="45"/>
      <c r="J147" s="45"/>
      <c r="K147" s="45"/>
      <c r="L147" s="45"/>
    </row>
    <row r="148" spans="1:12" x14ac:dyDescent="0.25">
      <c r="A148" s="45"/>
      <c r="B148" s="45"/>
      <c r="C148" s="45"/>
      <c r="D148" s="45"/>
      <c r="E148" s="45"/>
      <c r="F148" s="45"/>
      <c r="G148" s="45"/>
      <c r="H148" s="45"/>
      <c r="I148" s="45"/>
      <c r="J148" s="45"/>
      <c r="K148" s="45"/>
      <c r="L148" s="45"/>
    </row>
    <row r="149" spans="1:12" x14ac:dyDescent="0.25">
      <c r="A149" s="45"/>
      <c r="B149" s="45"/>
      <c r="C149" s="45"/>
      <c r="D149" s="45"/>
      <c r="E149" s="45"/>
      <c r="F149" s="45"/>
      <c r="G149" s="45"/>
      <c r="H149" s="45"/>
      <c r="I149" s="45"/>
      <c r="J149" s="45"/>
      <c r="K149" s="45"/>
      <c r="L149" s="45"/>
    </row>
    <row r="150" spans="1:12" x14ac:dyDescent="0.25">
      <c r="A150" s="45"/>
      <c r="B150" s="45"/>
      <c r="C150" s="45"/>
      <c r="D150" s="45"/>
      <c r="E150" s="45"/>
      <c r="F150" s="45"/>
      <c r="G150" s="45"/>
      <c r="H150" s="45"/>
      <c r="I150" s="45"/>
      <c r="J150" s="45"/>
      <c r="K150" s="45"/>
      <c r="L150" s="45"/>
    </row>
    <row r="151" spans="1:12" x14ac:dyDescent="0.25">
      <c r="A151" s="45"/>
      <c r="B151" s="45"/>
      <c r="C151" s="45"/>
      <c r="D151" s="45"/>
      <c r="E151" s="45"/>
      <c r="F151" s="45"/>
      <c r="G151" s="45"/>
      <c r="H151" s="45"/>
      <c r="I151" s="45"/>
      <c r="J151" s="45"/>
      <c r="K151" s="45"/>
      <c r="L151" s="45"/>
    </row>
    <row r="152" spans="1:12" x14ac:dyDescent="0.25">
      <c r="A152" s="45"/>
      <c r="B152" s="45"/>
      <c r="C152" s="45"/>
      <c r="D152" s="45"/>
      <c r="E152" s="45"/>
      <c r="F152" s="45"/>
      <c r="G152" s="45"/>
      <c r="H152" s="45"/>
      <c r="I152" s="45"/>
      <c r="J152" s="45"/>
      <c r="K152" s="45"/>
      <c r="L152" s="45"/>
    </row>
    <row r="153" spans="1:12" x14ac:dyDescent="0.25">
      <c r="A153" s="45"/>
      <c r="B153" s="45"/>
      <c r="C153" s="45"/>
      <c r="D153" s="45"/>
      <c r="E153" s="45"/>
      <c r="F153" s="45"/>
      <c r="G153" s="45"/>
      <c r="H153" s="45"/>
      <c r="I153" s="45"/>
      <c r="J153" s="45"/>
      <c r="K153" s="45"/>
      <c r="L153" s="45"/>
    </row>
    <row r="154" spans="1:12" x14ac:dyDescent="0.25">
      <c r="A154" s="45"/>
      <c r="B154" s="45"/>
      <c r="C154" s="45"/>
      <c r="D154" s="45"/>
      <c r="E154" s="45"/>
      <c r="F154" s="45"/>
      <c r="G154" s="45"/>
      <c r="H154" s="45"/>
      <c r="I154" s="45"/>
      <c r="J154" s="45"/>
      <c r="K154" s="45"/>
      <c r="L154" s="45"/>
    </row>
    <row r="155" spans="1:12" x14ac:dyDescent="0.25">
      <c r="A155" s="45"/>
      <c r="B155" s="45"/>
      <c r="C155" s="45"/>
      <c r="D155" s="45"/>
      <c r="E155" s="45"/>
      <c r="F155" s="45"/>
      <c r="G155" s="45"/>
      <c r="H155" s="45"/>
      <c r="I155" s="45"/>
      <c r="J155" s="45"/>
      <c r="K155" s="45"/>
      <c r="L155" s="45"/>
    </row>
    <row r="156" spans="1:12" x14ac:dyDescent="0.25">
      <c r="A156" s="45"/>
      <c r="B156" s="45"/>
      <c r="C156" s="45"/>
      <c r="D156" s="45"/>
      <c r="E156" s="45"/>
      <c r="F156" s="45"/>
      <c r="G156" s="45"/>
      <c r="H156" s="45"/>
      <c r="I156" s="45"/>
      <c r="J156" s="45"/>
      <c r="K156" s="45"/>
      <c r="L156" s="45"/>
    </row>
    <row r="157" spans="1:12" x14ac:dyDescent="0.25">
      <c r="A157" s="45"/>
      <c r="B157" s="45"/>
      <c r="C157" s="45"/>
      <c r="D157" s="45"/>
      <c r="E157" s="45"/>
      <c r="F157" s="45"/>
      <c r="G157" s="45"/>
      <c r="H157" s="45"/>
      <c r="I157" s="45"/>
      <c r="J157" s="45"/>
      <c r="K157" s="45"/>
      <c r="L157" s="45"/>
    </row>
    <row r="158" spans="1:12" x14ac:dyDescent="0.25">
      <c r="A158" s="45"/>
      <c r="B158" s="45"/>
      <c r="C158" s="45"/>
      <c r="D158" s="45"/>
      <c r="E158" s="45"/>
      <c r="F158" s="45"/>
      <c r="G158" s="45"/>
      <c r="H158" s="45"/>
      <c r="I158" s="45"/>
      <c r="J158" s="45"/>
      <c r="K158" s="45"/>
      <c r="L158" s="45"/>
    </row>
    <row r="159" spans="1:12" x14ac:dyDescent="0.25">
      <c r="A159" s="45"/>
      <c r="B159" s="45"/>
      <c r="C159" s="45"/>
      <c r="D159" s="45"/>
      <c r="E159" s="45"/>
      <c r="F159" s="45"/>
      <c r="G159" s="45"/>
      <c r="H159" s="45"/>
      <c r="I159" s="45"/>
      <c r="J159" s="45"/>
      <c r="K159" s="45"/>
      <c r="L159" s="45"/>
    </row>
    <row r="160" spans="1:12" x14ac:dyDescent="0.25">
      <c r="A160" s="45"/>
      <c r="B160" s="45"/>
      <c r="C160" s="45"/>
      <c r="D160" s="45"/>
      <c r="E160" s="45"/>
      <c r="F160" s="45"/>
      <c r="G160" s="45"/>
      <c r="H160" s="45"/>
      <c r="I160" s="45"/>
      <c r="J160" s="45"/>
      <c r="K160" s="45"/>
      <c r="L160" s="45"/>
    </row>
    <row r="161" spans="1:12" x14ac:dyDescent="0.25">
      <c r="A161" s="45"/>
      <c r="B161" s="45"/>
      <c r="C161" s="45"/>
      <c r="D161" s="45"/>
      <c r="E161" s="45"/>
      <c r="F161" s="45"/>
      <c r="G161" s="45"/>
      <c r="H161" s="45"/>
      <c r="I161" s="45"/>
      <c r="J161" s="45"/>
      <c r="K161" s="45"/>
      <c r="L161" s="45"/>
    </row>
    <row r="162" spans="1:12" x14ac:dyDescent="0.25">
      <c r="A162" s="45"/>
      <c r="B162" s="45"/>
      <c r="C162" s="45"/>
      <c r="D162" s="45"/>
      <c r="E162" s="45"/>
      <c r="F162" s="45"/>
      <c r="G162" s="45"/>
      <c r="H162" s="45"/>
      <c r="I162" s="45"/>
      <c r="J162" s="45"/>
      <c r="K162" s="45"/>
      <c r="L162" s="45"/>
    </row>
    <row r="163" spans="1:12" x14ac:dyDescent="0.25">
      <c r="A163" s="45"/>
      <c r="B163" s="45"/>
      <c r="C163" s="45"/>
      <c r="D163" s="45"/>
      <c r="E163" s="45"/>
      <c r="F163" s="45"/>
      <c r="G163" s="45"/>
      <c r="H163" s="45"/>
      <c r="I163" s="45"/>
      <c r="J163" s="45"/>
      <c r="K163" s="45"/>
      <c r="L163" s="45"/>
    </row>
    <row r="164" spans="1:12" x14ac:dyDescent="0.25">
      <c r="A164" s="45"/>
      <c r="B164" s="45"/>
      <c r="C164" s="45"/>
      <c r="D164" s="45"/>
      <c r="E164" s="45"/>
      <c r="F164" s="45"/>
      <c r="G164" s="45"/>
      <c r="H164" s="45"/>
      <c r="I164" s="45"/>
      <c r="J164" s="45"/>
      <c r="K164" s="45"/>
      <c r="L164" s="45"/>
    </row>
    <row r="165" spans="1:12" x14ac:dyDescent="0.25">
      <c r="A165" s="45"/>
      <c r="B165" s="45"/>
      <c r="C165" s="45"/>
      <c r="D165" s="45"/>
      <c r="E165" s="45"/>
      <c r="F165" s="45"/>
      <c r="G165" s="45"/>
      <c r="H165" s="45"/>
      <c r="I165" s="45"/>
      <c r="J165" s="45"/>
      <c r="K165" s="45"/>
      <c r="L165" s="45"/>
    </row>
    <row r="166" spans="1:12" x14ac:dyDescent="0.25">
      <c r="A166" s="45"/>
      <c r="B166" s="45"/>
      <c r="C166" s="45"/>
      <c r="D166" s="45"/>
      <c r="E166" s="45"/>
      <c r="F166" s="45"/>
      <c r="G166" s="45"/>
      <c r="H166" s="45"/>
      <c r="I166" s="45"/>
      <c r="J166" s="45"/>
      <c r="K166" s="45"/>
      <c r="L166" s="45"/>
    </row>
    <row r="167" spans="1:12" x14ac:dyDescent="0.25">
      <c r="A167" s="45"/>
      <c r="B167" s="45"/>
      <c r="C167" s="45"/>
      <c r="D167" s="45"/>
      <c r="E167" s="45"/>
      <c r="F167" s="45"/>
      <c r="G167" s="45"/>
      <c r="H167" s="45"/>
      <c r="I167" s="45"/>
      <c r="J167" s="45"/>
      <c r="K167" s="45"/>
      <c r="L167" s="45"/>
    </row>
    <row r="168" spans="1:12" x14ac:dyDescent="0.25">
      <c r="A168" s="45"/>
      <c r="B168" s="45"/>
      <c r="C168" s="45"/>
      <c r="D168" s="45"/>
      <c r="E168" s="45"/>
      <c r="F168" s="45"/>
      <c r="G168" s="45"/>
      <c r="H168" s="45"/>
      <c r="I168" s="45"/>
      <c r="J168" s="45"/>
      <c r="K168" s="45"/>
      <c r="L168" s="45"/>
    </row>
    <row r="169" spans="1:12" x14ac:dyDescent="0.25">
      <c r="A169" s="45"/>
      <c r="B169" s="45"/>
      <c r="C169" s="45"/>
      <c r="D169" s="45"/>
      <c r="E169" s="45"/>
      <c r="F169" s="45"/>
      <c r="G169" s="45"/>
      <c r="H169" s="45"/>
      <c r="I169" s="45"/>
      <c r="J169" s="45"/>
      <c r="K169" s="45"/>
      <c r="L169" s="45"/>
    </row>
    <row r="170" spans="1:12" x14ac:dyDescent="0.25">
      <c r="A170" s="45"/>
      <c r="B170" s="45"/>
      <c r="C170" s="45"/>
      <c r="D170" s="45"/>
      <c r="E170" s="45"/>
      <c r="F170" s="45"/>
      <c r="G170" s="45"/>
      <c r="H170" s="45"/>
      <c r="I170" s="45"/>
      <c r="J170" s="45"/>
      <c r="K170" s="45"/>
      <c r="L170" s="45"/>
    </row>
    <row r="171" spans="1:12" x14ac:dyDescent="0.25">
      <c r="A171" s="45"/>
      <c r="B171" s="45"/>
      <c r="C171" s="45"/>
      <c r="D171" s="45"/>
      <c r="E171" s="45"/>
      <c r="F171" s="45"/>
      <c r="G171" s="45"/>
      <c r="H171" s="45"/>
      <c r="I171" s="45"/>
      <c r="J171" s="45"/>
      <c r="K171" s="45"/>
      <c r="L171" s="45"/>
    </row>
    <row r="172" spans="1:12" x14ac:dyDescent="0.25">
      <c r="A172" s="45"/>
      <c r="B172" s="45"/>
      <c r="C172" s="45"/>
      <c r="D172" s="45"/>
      <c r="E172" s="45"/>
      <c r="F172" s="45"/>
      <c r="G172" s="45"/>
      <c r="H172" s="45"/>
      <c r="I172" s="45"/>
      <c r="J172" s="45"/>
      <c r="K172" s="45"/>
      <c r="L172" s="45"/>
    </row>
    <row r="173" spans="1:12" x14ac:dyDescent="0.25">
      <c r="A173" s="45"/>
      <c r="B173" s="45"/>
      <c r="C173" s="45"/>
      <c r="D173" s="45"/>
      <c r="E173" s="45"/>
      <c r="F173" s="45"/>
      <c r="G173" s="45"/>
      <c r="H173" s="45"/>
      <c r="I173" s="45"/>
      <c r="J173" s="45"/>
      <c r="K173" s="45"/>
      <c r="L173" s="45"/>
    </row>
    <row r="174" spans="1:12" x14ac:dyDescent="0.25">
      <c r="A174" s="45"/>
      <c r="B174" s="45"/>
      <c r="C174" s="45"/>
      <c r="D174" s="45"/>
      <c r="E174" s="45"/>
      <c r="F174" s="45"/>
      <c r="G174" s="45"/>
      <c r="H174" s="45"/>
      <c r="I174" s="45"/>
      <c r="J174" s="45"/>
      <c r="K174" s="45"/>
      <c r="L174" s="45"/>
    </row>
    <row r="175" spans="1:12" x14ac:dyDescent="0.25">
      <c r="A175" s="45"/>
      <c r="B175" s="45"/>
      <c r="C175" s="45"/>
      <c r="D175" s="45"/>
      <c r="E175" s="45"/>
      <c r="F175" s="45"/>
      <c r="G175" s="45"/>
      <c r="H175" s="45"/>
      <c r="I175" s="45"/>
      <c r="J175" s="45"/>
      <c r="K175" s="45"/>
      <c r="L175" s="45"/>
    </row>
    <row r="176" spans="1:12" x14ac:dyDescent="0.25">
      <c r="A176" s="45"/>
      <c r="B176" s="45"/>
      <c r="C176" s="45"/>
      <c r="D176" s="45"/>
      <c r="E176" s="45"/>
      <c r="F176" s="45"/>
      <c r="G176" s="45"/>
      <c r="H176" s="45"/>
      <c r="I176" s="45"/>
      <c r="J176" s="45"/>
      <c r="K176" s="45"/>
      <c r="L176" s="45"/>
    </row>
    <row r="177" spans="1:12" x14ac:dyDescent="0.25">
      <c r="A177" s="45"/>
      <c r="B177" s="45"/>
      <c r="C177" s="45"/>
      <c r="D177" s="45"/>
      <c r="E177" s="45"/>
      <c r="F177" s="45"/>
      <c r="G177" s="45"/>
      <c r="H177" s="45"/>
      <c r="I177" s="45"/>
      <c r="J177" s="45"/>
      <c r="K177" s="45"/>
      <c r="L177" s="45"/>
    </row>
    <row r="178" spans="1:12" x14ac:dyDescent="0.25">
      <c r="A178" s="45"/>
      <c r="B178" s="45"/>
      <c r="C178" s="45"/>
      <c r="D178" s="45"/>
      <c r="E178" s="45"/>
      <c r="F178" s="45"/>
      <c r="G178" s="45"/>
      <c r="H178" s="45"/>
      <c r="I178" s="45"/>
      <c r="J178" s="45"/>
      <c r="K178" s="45"/>
      <c r="L178" s="45"/>
    </row>
    <row r="179" spans="1:12" x14ac:dyDescent="0.25">
      <c r="A179" s="45"/>
      <c r="B179" s="45"/>
      <c r="C179" s="45"/>
      <c r="D179" s="45"/>
      <c r="E179" s="45"/>
      <c r="F179" s="45"/>
      <c r="G179" s="45"/>
      <c r="H179" s="45"/>
      <c r="I179" s="45"/>
      <c r="J179" s="45"/>
      <c r="K179" s="45"/>
      <c r="L179" s="45"/>
    </row>
    <row r="180" spans="1:12" x14ac:dyDescent="0.25">
      <c r="A180" s="45"/>
      <c r="B180" s="45"/>
      <c r="C180" s="45"/>
      <c r="D180" s="45"/>
      <c r="E180" s="45"/>
      <c r="F180" s="45"/>
      <c r="G180" s="45"/>
      <c r="H180" s="45"/>
      <c r="I180" s="45"/>
      <c r="J180" s="45"/>
      <c r="K180" s="45"/>
      <c r="L180" s="45"/>
    </row>
    <row r="181" spans="1:12" x14ac:dyDescent="0.25">
      <c r="A181" s="45"/>
      <c r="B181" s="45"/>
      <c r="C181" s="45"/>
      <c r="D181" s="45"/>
      <c r="E181" s="45"/>
      <c r="F181" s="45"/>
      <c r="G181" s="45"/>
      <c r="H181" s="45"/>
      <c r="I181" s="45"/>
      <c r="J181" s="45"/>
      <c r="K181" s="45"/>
      <c r="L181" s="45"/>
    </row>
    <row r="182" spans="1:12" x14ac:dyDescent="0.25">
      <c r="A182" s="45"/>
      <c r="B182" s="45"/>
      <c r="C182" s="45"/>
      <c r="D182" s="45"/>
      <c r="E182" s="45"/>
      <c r="F182" s="45"/>
      <c r="G182" s="45"/>
      <c r="H182" s="45"/>
      <c r="I182" s="45"/>
      <c r="J182" s="45"/>
      <c r="K182" s="45"/>
      <c r="L182" s="45"/>
    </row>
    <row r="183" spans="1:12" x14ac:dyDescent="0.25">
      <c r="A183" s="45"/>
      <c r="B183" s="45"/>
      <c r="C183" s="45"/>
      <c r="D183" s="45"/>
      <c r="E183" s="45"/>
      <c r="F183" s="45"/>
      <c r="G183" s="45"/>
      <c r="H183" s="45"/>
      <c r="I183" s="45"/>
      <c r="J183" s="45"/>
      <c r="K183" s="45"/>
      <c r="L183" s="45"/>
    </row>
    <row r="184" spans="1:12" x14ac:dyDescent="0.25">
      <c r="A184" s="45"/>
      <c r="B184" s="45"/>
      <c r="C184" s="45"/>
      <c r="D184" s="45"/>
      <c r="E184" s="45"/>
      <c r="F184" s="45"/>
      <c r="G184" s="45"/>
      <c r="H184" s="45"/>
      <c r="I184" s="45"/>
      <c r="J184" s="45"/>
      <c r="K184" s="45"/>
      <c r="L184" s="45"/>
    </row>
    <row r="185" spans="1:12" x14ac:dyDescent="0.25">
      <c r="A185" s="45"/>
      <c r="B185" s="45"/>
      <c r="C185" s="45"/>
      <c r="D185" s="45"/>
      <c r="E185" s="45"/>
      <c r="F185" s="45"/>
      <c r="G185" s="45"/>
      <c r="H185" s="45"/>
      <c r="I185" s="45"/>
      <c r="J185" s="45"/>
      <c r="K185" s="45"/>
      <c r="L185" s="45"/>
    </row>
    <row r="186" spans="1:12" x14ac:dyDescent="0.25">
      <c r="A186" s="45"/>
      <c r="B186" s="45"/>
      <c r="C186" s="45"/>
      <c r="D186" s="45"/>
      <c r="E186" s="45"/>
      <c r="F186" s="45"/>
      <c r="G186" s="45"/>
      <c r="H186" s="45"/>
      <c r="I186" s="45"/>
      <c r="J186" s="45"/>
      <c r="K186" s="45"/>
      <c r="L186" s="45"/>
    </row>
    <row r="187" spans="1:12" x14ac:dyDescent="0.25">
      <c r="A187" s="45"/>
      <c r="B187" s="45"/>
      <c r="C187" s="45"/>
      <c r="D187" s="45"/>
      <c r="E187" s="45"/>
      <c r="F187" s="45"/>
      <c r="G187" s="45"/>
      <c r="H187" s="45"/>
      <c r="I187" s="45"/>
      <c r="J187" s="45"/>
      <c r="K187" s="45"/>
      <c r="L187" s="45"/>
    </row>
    <row r="188" spans="1:12" x14ac:dyDescent="0.25">
      <c r="A188" s="45"/>
      <c r="B188" s="45"/>
      <c r="C188" s="45"/>
      <c r="D188" s="45"/>
      <c r="E188" s="45"/>
      <c r="F188" s="45"/>
      <c r="G188" s="45"/>
      <c r="H188" s="45"/>
      <c r="I188" s="45"/>
      <c r="J188" s="45"/>
      <c r="K188" s="45"/>
      <c r="L188" s="45"/>
    </row>
    <row r="189" spans="1:12" x14ac:dyDescent="0.25">
      <c r="A189" s="45"/>
      <c r="B189" s="45"/>
      <c r="C189" s="45"/>
      <c r="D189" s="45"/>
      <c r="E189" s="45"/>
      <c r="F189" s="45"/>
      <c r="G189" s="45"/>
      <c r="H189" s="45"/>
      <c r="I189" s="45"/>
      <c r="J189" s="45"/>
      <c r="K189" s="45"/>
      <c r="L189" s="45"/>
    </row>
    <row r="190" spans="1:12" x14ac:dyDescent="0.25">
      <c r="A190" s="45"/>
      <c r="B190" s="45"/>
      <c r="C190" s="45"/>
      <c r="D190" s="45"/>
      <c r="E190" s="45"/>
      <c r="F190" s="45"/>
      <c r="G190" s="45"/>
      <c r="H190" s="45"/>
      <c r="I190" s="45"/>
      <c r="J190" s="45"/>
      <c r="K190" s="45"/>
      <c r="L190" s="45"/>
    </row>
    <row r="191" spans="1:12" x14ac:dyDescent="0.25">
      <c r="A191" s="45"/>
      <c r="B191" s="45"/>
      <c r="C191" s="45"/>
      <c r="D191" s="45"/>
      <c r="E191" s="45"/>
      <c r="F191" s="45"/>
      <c r="G191" s="45"/>
      <c r="H191" s="45"/>
      <c r="I191" s="45"/>
      <c r="J191" s="45"/>
      <c r="K191" s="45"/>
      <c r="L191" s="45"/>
    </row>
    <row r="192" spans="1:12" x14ac:dyDescent="0.25">
      <c r="A192" s="45"/>
      <c r="B192" s="45"/>
      <c r="C192" s="45"/>
      <c r="D192" s="45"/>
      <c r="E192" s="45"/>
      <c r="F192" s="45"/>
      <c r="G192" s="45"/>
      <c r="H192" s="45"/>
      <c r="I192" s="45"/>
      <c r="J192" s="45"/>
      <c r="K192" s="45"/>
      <c r="L192" s="45"/>
    </row>
    <row r="193" spans="1:12" x14ac:dyDescent="0.25">
      <c r="A193" s="45"/>
      <c r="B193" s="45"/>
      <c r="C193" s="45"/>
      <c r="D193" s="45"/>
      <c r="E193" s="45"/>
      <c r="F193" s="45"/>
      <c r="G193" s="45"/>
      <c r="H193" s="45"/>
      <c r="I193" s="45"/>
      <c r="J193" s="45"/>
      <c r="K193" s="45"/>
      <c r="L193" s="45"/>
    </row>
    <row r="194" spans="1:12" x14ac:dyDescent="0.25">
      <c r="A194" s="45"/>
      <c r="B194" s="45"/>
      <c r="C194" s="45"/>
      <c r="D194" s="45"/>
      <c r="E194" s="45"/>
      <c r="F194" s="45"/>
      <c r="G194" s="45"/>
      <c r="H194" s="45"/>
      <c r="I194" s="45"/>
      <c r="J194" s="45"/>
      <c r="K194" s="45"/>
      <c r="L194" s="45"/>
    </row>
    <row r="195" spans="1:12" x14ac:dyDescent="0.25">
      <c r="A195" s="45"/>
      <c r="B195" s="45"/>
      <c r="C195" s="45"/>
      <c r="D195" s="45"/>
      <c r="E195" s="45"/>
      <c r="F195" s="45"/>
      <c r="G195" s="45"/>
      <c r="H195" s="45"/>
      <c r="I195" s="45"/>
      <c r="J195" s="45"/>
      <c r="K195" s="45"/>
      <c r="L195" s="45"/>
    </row>
    <row r="196" spans="1:12" x14ac:dyDescent="0.25">
      <c r="A196" s="45"/>
      <c r="B196" s="45"/>
      <c r="C196" s="45"/>
      <c r="D196" s="45"/>
      <c r="E196" s="45"/>
      <c r="F196" s="45"/>
      <c r="G196" s="45"/>
      <c r="H196" s="45"/>
      <c r="I196" s="45"/>
      <c r="J196" s="45"/>
      <c r="K196" s="45"/>
      <c r="L196" s="45"/>
    </row>
    <row r="197" spans="1:12" x14ac:dyDescent="0.25">
      <c r="A197" s="45"/>
      <c r="B197" s="45"/>
      <c r="C197" s="45"/>
      <c r="D197" s="45"/>
      <c r="E197" s="45"/>
      <c r="F197" s="45"/>
      <c r="G197" s="45"/>
      <c r="H197" s="45"/>
      <c r="I197" s="45"/>
      <c r="J197" s="45"/>
      <c r="K197" s="45"/>
      <c r="L197" s="45"/>
    </row>
    <row r="198" spans="1:12" x14ac:dyDescent="0.25">
      <c r="A198" s="45"/>
      <c r="B198" s="45"/>
      <c r="C198" s="45"/>
      <c r="D198" s="45"/>
      <c r="E198" s="45"/>
      <c r="F198" s="45"/>
      <c r="G198" s="45"/>
      <c r="H198" s="45"/>
      <c r="I198" s="45"/>
      <c r="J198" s="45"/>
      <c r="K198" s="45"/>
      <c r="L198" s="45"/>
    </row>
    <row r="199" spans="1:12" x14ac:dyDescent="0.25">
      <c r="A199" s="45"/>
      <c r="B199" s="45"/>
      <c r="C199" s="45"/>
      <c r="D199" s="45"/>
      <c r="E199" s="45"/>
      <c r="F199" s="45"/>
      <c r="G199" s="45"/>
      <c r="H199" s="45"/>
      <c r="I199" s="45"/>
      <c r="J199" s="45"/>
      <c r="K199" s="45"/>
      <c r="L199" s="45"/>
    </row>
    <row r="200" spans="1:12" x14ac:dyDescent="0.25">
      <c r="A200" s="45"/>
      <c r="B200" s="45"/>
      <c r="C200" s="45"/>
      <c r="D200" s="45"/>
      <c r="E200" s="45"/>
      <c r="F200" s="45"/>
      <c r="G200" s="45"/>
      <c r="H200" s="45"/>
      <c r="I200" s="45"/>
      <c r="J200" s="45"/>
      <c r="K200" s="45"/>
      <c r="L200" s="45"/>
    </row>
    <row r="201" spans="1:12" x14ac:dyDescent="0.25">
      <c r="A201" s="45"/>
      <c r="B201" s="45"/>
      <c r="C201" s="45"/>
      <c r="D201" s="45"/>
      <c r="E201" s="45"/>
      <c r="F201" s="45"/>
      <c r="G201" s="45"/>
      <c r="H201" s="45"/>
      <c r="I201" s="45"/>
      <c r="J201" s="45"/>
      <c r="K201" s="45"/>
      <c r="L201" s="45"/>
    </row>
    <row r="202" spans="1:12" x14ac:dyDescent="0.25">
      <c r="A202" s="45"/>
      <c r="B202" s="45"/>
      <c r="C202" s="45"/>
      <c r="D202" s="45"/>
      <c r="E202" s="45"/>
      <c r="F202" s="45"/>
      <c r="G202" s="45"/>
      <c r="H202" s="45"/>
      <c r="I202" s="45"/>
      <c r="J202" s="45"/>
      <c r="K202" s="45"/>
      <c r="L202" s="45"/>
    </row>
    <row r="203" spans="1:12" x14ac:dyDescent="0.25">
      <c r="A203" s="45"/>
      <c r="B203" s="45"/>
      <c r="C203" s="45"/>
      <c r="D203" s="45"/>
      <c r="E203" s="45"/>
      <c r="F203" s="45"/>
      <c r="G203" s="45"/>
      <c r="H203" s="45"/>
      <c r="I203" s="45"/>
      <c r="J203" s="45"/>
      <c r="K203" s="45"/>
      <c r="L203" s="45"/>
    </row>
    <row r="204" spans="1:12" x14ac:dyDescent="0.25">
      <c r="A204" s="45"/>
      <c r="B204" s="45"/>
      <c r="C204" s="45"/>
      <c r="D204" s="45"/>
      <c r="E204" s="45"/>
      <c r="F204" s="45"/>
      <c r="G204" s="45"/>
      <c r="H204" s="45"/>
      <c r="I204" s="45"/>
      <c r="J204" s="45"/>
      <c r="K204" s="45"/>
      <c r="L204" s="45"/>
    </row>
    <row r="205" spans="1:12" x14ac:dyDescent="0.25">
      <c r="A205" s="45"/>
      <c r="B205" s="45"/>
      <c r="C205" s="45"/>
      <c r="D205" s="45"/>
      <c r="E205" s="45"/>
      <c r="F205" s="45"/>
      <c r="G205" s="45"/>
      <c r="H205" s="45"/>
      <c r="I205" s="45"/>
      <c r="J205" s="45"/>
      <c r="K205" s="45"/>
      <c r="L205" s="45"/>
    </row>
    <row r="206" spans="1:12" x14ac:dyDescent="0.25">
      <c r="A206" s="45"/>
      <c r="B206" s="45"/>
      <c r="C206" s="45"/>
      <c r="D206" s="45"/>
      <c r="E206" s="45"/>
      <c r="F206" s="45"/>
      <c r="G206" s="45"/>
      <c r="H206" s="45"/>
      <c r="I206" s="45"/>
      <c r="J206" s="45"/>
      <c r="K206" s="45"/>
      <c r="L206" s="45"/>
    </row>
    <row r="207" spans="1:12" x14ac:dyDescent="0.25">
      <c r="A207" s="45"/>
      <c r="B207" s="45"/>
      <c r="C207" s="45"/>
      <c r="D207" s="45"/>
      <c r="E207" s="45"/>
      <c r="F207" s="45"/>
      <c r="G207" s="45"/>
      <c r="H207" s="45"/>
      <c r="I207" s="45"/>
      <c r="J207" s="45"/>
      <c r="K207" s="45"/>
      <c r="L207" s="45"/>
    </row>
    <row r="208" spans="1:12" x14ac:dyDescent="0.25">
      <c r="A208" s="45"/>
      <c r="B208" s="45"/>
      <c r="C208" s="45"/>
      <c r="D208" s="45"/>
      <c r="E208" s="45"/>
      <c r="F208" s="45"/>
      <c r="G208" s="45"/>
      <c r="H208" s="45"/>
      <c r="I208" s="45"/>
      <c r="J208" s="45"/>
      <c r="K208" s="45"/>
      <c r="L208" s="45"/>
    </row>
    <row r="209" spans="1:12" x14ac:dyDescent="0.25">
      <c r="A209" s="45"/>
      <c r="B209" s="45"/>
      <c r="C209" s="45"/>
      <c r="D209" s="45"/>
      <c r="E209" s="45"/>
      <c r="F209" s="45"/>
      <c r="G209" s="45"/>
      <c r="H209" s="45"/>
      <c r="I209" s="45"/>
      <c r="J209" s="45"/>
      <c r="K209" s="45"/>
      <c r="L209" s="45"/>
    </row>
    <row r="210" spans="1:12" x14ac:dyDescent="0.25">
      <c r="A210" s="45"/>
      <c r="B210" s="45"/>
      <c r="C210" s="45"/>
      <c r="D210" s="45"/>
      <c r="E210" s="45"/>
      <c r="F210" s="45"/>
      <c r="G210" s="45"/>
      <c r="H210" s="45"/>
      <c r="I210" s="45"/>
      <c r="J210" s="45"/>
      <c r="K210" s="45"/>
      <c r="L210" s="45"/>
    </row>
    <row r="211" spans="1:12" x14ac:dyDescent="0.25">
      <c r="A211" s="45"/>
      <c r="B211" s="45"/>
      <c r="C211" s="45"/>
      <c r="D211" s="45"/>
      <c r="E211" s="45"/>
      <c r="F211" s="45"/>
      <c r="G211" s="45"/>
      <c r="H211" s="45"/>
      <c r="I211" s="45"/>
      <c r="J211" s="45"/>
      <c r="K211" s="45"/>
      <c r="L211" s="45"/>
    </row>
    <row r="212" spans="1:12" x14ac:dyDescent="0.25">
      <c r="A212" s="45"/>
      <c r="B212" s="45"/>
      <c r="C212" s="45"/>
      <c r="D212" s="45"/>
      <c r="E212" s="45"/>
      <c r="F212" s="45"/>
      <c r="G212" s="45"/>
      <c r="H212" s="45"/>
      <c r="I212" s="45"/>
      <c r="J212" s="45"/>
      <c r="K212" s="45"/>
      <c r="L212" s="45"/>
    </row>
    <row r="213" spans="1:12" x14ac:dyDescent="0.25">
      <c r="A213" s="45"/>
      <c r="B213" s="45"/>
      <c r="C213" s="45"/>
      <c r="D213" s="45"/>
      <c r="E213" s="45"/>
      <c r="F213" s="45"/>
      <c r="G213" s="45"/>
      <c r="H213" s="45"/>
      <c r="I213" s="45"/>
      <c r="J213" s="45"/>
      <c r="K213" s="45"/>
      <c r="L213" s="45"/>
    </row>
    <row r="214" spans="1:12" x14ac:dyDescent="0.25">
      <c r="A214" s="45"/>
      <c r="B214" s="45"/>
      <c r="C214" s="45"/>
      <c r="D214" s="45"/>
      <c r="E214" s="45"/>
      <c r="F214" s="45"/>
      <c r="G214" s="45"/>
      <c r="H214" s="45"/>
      <c r="I214" s="45"/>
      <c r="J214" s="45"/>
      <c r="K214" s="45"/>
      <c r="L214" s="45"/>
    </row>
    <row r="215" spans="1:12" x14ac:dyDescent="0.25">
      <c r="A215" s="45"/>
      <c r="B215" s="45"/>
      <c r="C215" s="45"/>
      <c r="D215" s="45"/>
      <c r="E215" s="45"/>
      <c r="F215" s="45"/>
      <c r="G215" s="45"/>
      <c r="H215" s="45"/>
      <c r="I215" s="45"/>
      <c r="J215" s="45"/>
      <c r="K215" s="45"/>
      <c r="L215" s="45"/>
    </row>
    <row r="216" spans="1:12" x14ac:dyDescent="0.25">
      <c r="A216" s="45"/>
      <c r="B216" s="45"/>
      <c r="C216" s="45"/>
      <c r="D216" s="45"/>
      <c r="E216" s="45"/>
      <c r="F216" s="45"/>
      <c r="G216" s="45"/>
      <c r="H216" s="45"/>
      <c r="I216" s="45"/>
      <c r="J216" s="45"/>
      <c r="K216" s="45"/>
      <c r="L216" s="45"/>
    </row>
    <row r="217" spans="1:12" x14ac:dyDescent="0.25">
      <c r="A217" s="45"/>
      <c r="B217" s="45"/>
      <c r="C217" s="45"/>
      <c r="D217" s="45"/>
      <c r="E217" s="45"/>
      <c r="F217" s="45"/>
      <c r="G217" s="45"/>
      <c r="H217" s="45"/>
      <c r="I217" s="45"/>
      <c r="J217" s="45"/>
      <c r="K217" s="45"/>
      <c r="L217" s="45"/>
    </row>
    <row r="218" spans="1:12" x14ac:dyDescent="0.25">
      <c r="A218" s="45"/>
      <c r="B218" s="45"/>
      <c r="C218" s="45"/>
      <c r="D218" s="45"/>
      <c r="E218" s="45"/>
      <c r="F218" s="45"/>
      <c r="G218" s="45"/>
      <c r="H218" s="45"/>
      <c r="I218" s="45"/>
      <c r="J218" s="45"/>
      <c r="K218" s="45"/>
      <c r="L218" s="45"/>
    </row>
    <row r="219" spans="1:12" x14ac:dyDescent="0.25">
      <c r="A219" s="45"/>
      <c r="B219" s="45"/>
      <c r="C219" s="45"/>
      <c r="D219" s="45"/>
      <c r="E219" s="45"/>
      <c r="F219" s="45"/>
      <c r="G219" s="45"/>
      <c r="H219" s="45"/>
      <c r="I219" s="45"/>
      <c r="J219" s="45"/>
      <c r="K219" s="45"/>
      <c r="L219" s="45"/>
    </row>
    <row r="220" spans="1:12" x14ac:dyDescent="0.25">
      <c r="A220" s="45"/>
      <c r="B220" s="45"/>
      <c r="C220" s="45"/>
      <c r="D220" s="45"/>
      <c r="E220" s="45"/>
      <c r="F220" s="45"/>
      <c r="G220" s="45"/>
      <c r="H220" s="45"/>
      <c r="I220" s="45"/>
      <c r="J220" s="45"/>
      <c r="K220" s="45"/>
      <c r="L220" s="45"/>
    </row>
    <row r="221" spans="1:12" x14ac:dyDescent="0.25">
      <c r="A221" s="45"/>
      <c r="B221" s="45"/>
      <c r="C221" s="45"/>
      <c r="D221" s="45"/>
      <c r="E221" s="45"/>
      <c r="F221" s="45"/>
      <c r="G221" s="45"/>
      <c r="H221" s="45"/>
      <c r="I221" s="45"/>
      <c r="J221" s="45"/>
      <c r="K221" s="45"/>
      <c r="L221" s="45"/>
    </row>
    <row r="222" spans="1:12" x14ac:dyDescent="0.25">
      <c r="A222" s="45"/>
      <c r="B222" s="45"/>
      <c r="C222" s="45"/>
      <c r="D222" s="45"/>
      <c r="E222" s="45"/>
      <c r="F222" s="45"/>
      <c r="G222" s="45"/>
      <c r="H222" s="45"/>
      <c r="I222" s="45"/>
      <c r="J222" s="45"/>
      <c r="K222" s="45"/>
      <c r="L222" s="45"/>
    </row>
    <row r="223" spans="1:12" x14ac:dyDescent="0.25">
      <c r="A223" s="45"/>
      <c r="B223" s="45"/>
      <c r="C223" s="45"/>
      <c r="D223" s="45"/>
      <c r="E223" s="45"/>
      <c r="F223" s="45"/>
      <c r="G223" s="45"/>
      <c r="H223" s="45"/>
      <c r="I223" s="45"/>
      <c r="J223" s="45"/>
      <c r="K223" s="45"/>
      <c r="L223" s="45"/>
    </row>
    <row r="224" spans="1:12" x14ac:dyDescent="0.25">
      <c r="A224" s="45"/>
      <c r="B224" s="45"/>
      <c r="C224" s="45"/>
      <c r="D224" s="45"/>
      <c r="E224" s="45"/>
      <c r="F224" s="45"/>
      <c r="G224" s="45"/>
      <c r="H224" s="45"/>
      <c r="I224" s="45"/>
      <c r="J224" s="45"/>
      <c r="K224" s="45"/>
      <c r="L224" s="45"/>
    </row>
    <row r="225" spans="1:12" x14ac:dyDescent="0.25">
      <c r="A225" s="45"/>
      <c r="B225" s="45"/>
      <c r="C225" s="45"/>
      <c r="D225" s="45"/>
      <c r="E225" s="45"/>
      <c r="F225" s="45"/>
      <c r="G225" s="45"/>
      <c r="H225" s="45"/>
      <c r="I225" s="45"/>
      <c r="J225" s="45"/>
      <c r="K225" s="45"/>
      <c r="L225" s="45"/>
    </row>
    <row r="226" spans="1:12" x14ac:dyDescent="0.25">
      <c r="A226" s="45"/>
      <c r="B226" s="45"/>
      <c r="C226" s="45"/>
      <c r="D226" s="45"/>
      <c r="E226" s="45"/>
      <c r="F226" s="45"/>
      <c r="G226" s="45"/>
      <c r="H226" s="45"/>
      <c r="I226" s="45"/>
      <c r="J226" s="45"/>
      <c r="K226" s="45"/>
      <c r="L226" s="45"/>
    </row>
    <row r="227" spans="1:12" x14ac:dyDescent="0.25">
      <c r="A227" s="45"/>
      <c r="B227" s="45"/>
      <c r="C227" s="45"/>
      <c r="D227" s="45"/>
      <c r="E227" s="45"/>
      <c r="F227" s="45"/>
      <c r="G227" s="45"/>
      <c r="H227" s="45"/>
      <c r="I227" s="45"/>
      <c r="J227" s="45"/>
      <c r="K227" s="45"/>
      <c r="L227" s="45"/>
    </row>
    <row r="228" spans="1:12" x14ac:dyDescent="0.25">
      <c r="A228" s="45"/>
      <c r="B228" s="45"/>
      <c r="C228" s="45"/>
      <c r="D228" s="45"/>
      <c r="E228" s="45"/>
      <c r="F228" s="45"/>
      <c r="G228" s="45"/>
      <c r="H228" s="45"/>
      <c r="I228" s="45"/>
      <c r="J228" s="45"/>
      <c r="K228" s="45"/>
      <c r="L228" s="45"/>
    </row>
    <row r="229" spans="1:12" x14ac:dyDescent="0.25">
      <c r="A229" s="45"/>
      <c r="B229" s="45"/>
      <c r="C229" s="45"/>
      <c r="D229" s="45"/>
      <c r="E229" s="45"/>
      <c r="F229" s="45"/>
      <c r="G229" s="45"/>
      <c r="H229" s="45"/>
      <c r="I229" s="45"/>
      <c r="J229" s="45"/>
      <c r="K229" s="45"/>
      <c r="L229" s="45"/>
    </row>
    <row r="230" spans="1:12" x14ac:dyDescent="0.25">
      <c r="A230" s="45"/>
      <c r="B230" s="45"/>
      <c r="C230" s="45"/>
      <c r="D230" s="45"/>
      <c r="E230" s="45"/>
      <c r="F230" s="45"/>
      <c r="G230" s="45"/>
      <c r="H230" s="45"/>
      <c r="I230" s="45"/>
      <c r="J230" s="45"/>
      <c r="K230" s="45"/>
      <c r="L230" s="45"/>
    </row>
    <row r="231" spans="1:12" x14ac:dyDescent="0.25">
      <c r="A231" s="45"/>
      <c r="B231" s="45"/>
      <c r="C231" s="45"/>
      <c r="D231" s="45"/>
      <c r="E231" s="45"/>
      <c r="F231" s="45"/>
      <c r="G231" s="45"/>
      <c r="H231" s="45"/>
      <c r="I231" s="45"/>
      <c r="J231" s="45"/>
      <c r="K231" s="45"/>
      <c r="L231" s="45"/>
    </row>
    <row r="232" spans="1:12" x14ac:dyDescent="0.25">
      <c r="A232" s="45"/>
      <c r="B232" s="45"/>
      <c r="C232" s="45"/>
      <c r="D232" s="45"/>
      <c r="E232" s="45"/>
      <c r="F232" s="45"/>
      <c r="G232" s="45"/>
      <c r="H232" s="45"/>
      <c r="I232" s="45"/>
      <c r="J232" s="45"/>
      <c r="K232" s="45"/>
      <c r="L232" s="45"/>
    </row>
    <row r="233" spans="1:12" x14ac:dyDescent="0.25">
      <c r="A233" s="45"/>
      <c r="B233" s="45"/>
      <c r="C233" s="45"/>
      <c r="D233" s="45"/>
      <c r="E233" s="45"/>
      <c r="F233" s="45"/>
      <c r="G233" s="45"/>
      <c r="H233" s="45"/>
      <c r="I233" s="45"/>
      <c r="J233" s="45"/>
      <c r="K233" s="45"/>
      <c r="L233" s="45"/>
    </row>
    <row r="234" spans="1:12" x14ac:dyDescent="0.25">
      <c r="A234" s="45"/>
      <c r="B234" s="45"/>
      <c r="C234" s="45"/>
      <c r="D234" s="45"/>
      <c r="E234" s="45"/>
      <c r="F234" s="45"/>
      <c r="G234" s="45"/>
      <c r="H234" s="45"/>
      <c r="I234" s="45"/>
      <c r="J234" s="45"/>
      <c r="K234" s="45"/>
      <c r="L234" s="45"/>
    </row>
    <row r="235" spans="1:12" x14ac:dyDescent="0.25">
      <c r="A235" s="45"/>
      <c r="B235" s="45"/>
      <c r="C235" s="45"/>
      <c r="D235" s="45"/>
      <c r="E235" s="45"/>
      <c r="F235" s="45"/>
      <c r="G235" s="45"/>
      <c r="H235" s="45"/>
      <c r="I235" s="45"/>
      <c r="J235" s="45"/>
      <c r="K235" s="45"/>
      <c r="L235" s="45"/>
    </row>
    <row r="236" spans="1:12" x14ac:dyDescent="0.25">
      <c r="A236" s="45"/>
      <c r="B236" s="45"/>
      <c r="C236" s="45"/>
      <c r="D236" s="45"/>
      <c r="E236" s="45"/>
      <c r="F236" s="45"/>
      <c r="G236" s="45"/>
      <c r="H236" s="45"/>
      <c r="I236" s="45"/>
      <c r="J236" s="45"/>
      <c r="K236" s="45"/>
      <c r="L236" s="45"/>
    </row>
    <row r="237" spans="1:12" x14ac:dyDescent="0.25">
      <c r="A237" s="45"/>
      <c r="B237" s="45"/>
      <c r="C237" s="45"/>
      <c r="D237" s="45"/>
      <c r="E237" s="45"/>
      <c r="F237" s="45"/>
      <c r="G237" s="45"/>
      <c r="H237" s="45"/>
      <c r="I237" s="45"/>
      <c r="J237" s="45"/>
      <c r="K237" s="45"/>
      <c r="L237" s="45"/>
    </row>
    <row r="238" spans="1:12" x14ac:dyDescent="0.25">
      <c r="A238" s="45"/>
      <c r="B238" s="45"/>
      <c r="C238" s="45"/>
      <c r="D238" s="45"/>
      <c r="E238" s="45"/>
      <c r="F238" s="45"/>
      <c r="G238" s="45"/>
      <c r="H238" s="45"/>
      <c r="I238" s="45"/>
      <c r="J238" s="45"/>
      <c r="K238" s="45"/>
      <c r="L238" s="45"/>
    </row>
    <row r="239" spans="1:12" x14ac:dyDescent="0.25">
      <c r="A239" s="45"/>
      <c r="B239" s="45"/>
      <c r="C239" s="45"/>
      <c r="D239" s="45"/>
      <c r="E239" s="45"/>
      <c r="F239" s="45"/>
      <c r="G239" s="45"/>
      <c r="H239" s="45"/>
      <c r="I239" s="45"/>
      <c r="J239" s="45"/>
      <c r="K239" s="45"/>
      <c r="L239" s="45"/>
    </row>
    <row r="240" spans="1:12" x14ac:dyDescent="0.25">
      <c r="A240" s="45"/>
      <c r="B240" s="45"/>
      <c r="C240" s="45"/>
      <c r="D240" s="45"/>
      <c r="E240" s="45"/>
      <c r="F240" s="45"/>
      <c r="G240" s="45"/>
      <c r="H240" s="45"/>
      <c r="I240" s="45"/>
      <c r="J240" s="45"/>
      <c r="K240" s="45"/>
      <c r="L240" s="45"/>
    </row>
    <row r="241" spans="1:12" x14ac:dyDescent="0.25">
      <c r="A241" s="45"/>
      <c r="B241" s="45"/>
      <c r="C241" s="45"/>
      <c r="D241" s="45"/>
      <c r="E241" s="45"/>
      <c r="F241" s="45"/>
      <c r="G241" s="45"/>
      <c r="H241" s="45"/>
      <c r="I241" s="45"/>
      <c r="J241" s="45"/>
      <c r="K241" s="45"/>
      <c r="L241" s="45"/>
    </row>
    <row r="242" spans="1:12" x14ac:dyDescent="0.25">
      <c r="A242" s="45"/>
      <c r="B242" s="45"/>
      <c r="C242" s="45"/>
      <c r="D242" s="45"/>
      <c r="E242" s="45"/>
      <c r="F242" s="45"/>
      <c r="G242" s="45"/>
      <c r="H242" s="45"/>
      <c r="I242" s="45"/>
      <c r="J242" s="45"/>
      <c r="K242" s="45"/>
      <c r="L242" s="45"/>
    </row>
    <row r="243" spans="1:12" x14ac:dyDescent="0.25">
      <c r="A243" s="45"/>
      <c r="B243" s="45"/>
      <c r="C243" s="45"/>
      <c r="D243" s="45"/>
      <c r="E243" s="45"/>
      <c r="F243" s="45"/>
      <c r="G243" s="45"/>
      <c r="H243" s="45"/>
      <c r="I243" s="45"/>
      <c r="J243" s="45"/>
      <c r="K243" s="45"/>
      <c r="L243" s="45"/>
    </row>
    <row r="244" spans="1:12" x14ac:dyDescent="0.25">
      <c r="A244" s="45"/>
      <c r="B244" s="45"/>
      <c r="C244" s="45"/>
      <c r="D244" s="45"/>
      <c r="E244" s="45"/>
      <c r="F244" s="45"/>
      <c r="G244" s="45"/>
      <c r="H244" s="45"/>
      <c r="I244" s="45"/>
      <c r="J244" s="45"/>
      <c r="K244" s="45"/>
      <c r="L244" s="45"/>
    </row>
    <row r="245" spans="1:12" x14ac:dyDescent="0.25">
      <c r="A245" s="45"/>
      <c r="B245" s="45"/>
      <c r="C245" s="45"/>
      <c r="D245" s="45"/>
      <c r="E245" s="45"/>
      <c r="F245" s="45"/>
      <c r="G245" s="45"/>
      <c r="H245" s="45"/>
      <c r="I245" s="45"/>
      <c r="J245" s="45"/>
      <c r="K245" s="45"/>
      <c r="L245" s="45"/>
    </row>
    <row r="246" spans="1:12" x14ac:dyDescent="0.25">
      <c r="A246" s="45"/>
      <c r="B246" s="45"/>
      <c r="C246" s="45"/>
      <c r="D246" s="45"/>
      <c r="E246" s="45"/>
      <c r="F246" s="45"/>
      <c r="G246" s="45"/>
      <c r="H246" s="45"/>
      <c r="I246" s="45"/>
      <c r="J246" s="45"/>
      <c r="K246" s="45"/>
      <c r="L246" s="45"/>
    </row>
    <row r="247" spans="1:12" x14ac:dyDescent="0.25">
      <c r="D247" s="45"/>
      <c r="E247" s="45"/>
      <c r="F247" s="45"/>
      <c r="G247" s="45"/>
      <c r="H247" s="45"/>
      <c r="I247" s="45"/>
      <c r="J247" s="45"/>
      <c r="K247" s="45"/>
      <c r="L247" s="45"/>
    </row>
    <row r="248" spans="1:12" x14ac:dyDescent="0.25">
      <c r="D248" s="45"/>
      <c r="E248" s="45"/>
      <c r="F248" s="45"/>
      <c r="G248" s="45"/>
      <c r="H248" s="45"/>
      <c r="I248" s="45"/>
      <c r="J248" s="45"/>
      <c r="K248" s="45"/>
      <c r="L248" s="45"/>
    </row>
  </sheetData>
  <mergeCells count="2">
    <mergeCell ref="B2:E2"/>
    <mergeCell ref="D1:E1"/>
  </mergeCells>
  <phoneticPr fontId="12" type="noConversion"/>
  <pageMargins left="1.34" right="0.75" top="0.51" bottom="0.44" header="0.5" footer="0.5"/>
  <pageSetup scale="76"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9"/>
  <sheetViews>
    <sheetView showGridLines="0" zoomScale="90" zoomScaleNormal="90" workbookViewId="0">
      <selection activeCell="A10" sqref="A10"/>
    </sheetView>
  </sheetViews>
  <sheetFormatPr defaultColWidth="12" defaultRowHeight="13.2" x14ac:dyDescent="0.25"/>
  <cols>
    <col min="1" max="1" width="46.88671875" style="1" customWidth="1"/>
    <col min="2" max="2" width="6.88671875" style="1" customWidth="1"/>
    <col min="3" max="3" width="26.33203125" style="1" customWidth="1"/>
    <col min="4" max="4" width="3.88671875" style="1" customWidth="1"/>
    <col min="5" max="5" width="35" style="1" customWidth="1"/>
    <col min="6" max="16384" width="12" style="1"/>
  </cols>
  <sheetData>
    <row r="1" spans="1:12" ht="21" customHeight="1" x14ac:dyDescent="0.25">
      <c r="D1" s="1846" t="s">
        <v>767</v>
      </c>
      <c r="E1" s="1846"/>
      <c r="F1" s="45"/>
      <c r="G1" s="45"/>
      <c r="H1" s="45"/>
      <c r="I1" s="45"/>
      <c r="J1" s="45"/>
      <c r="K1" s="45"/>
      <c r="L1" s="45"/>
    </row>
    <row r="2" spans="1:12" ht="25.2" x14ac:dyDescent="0.25">
      <c r="A2" s="269"/>
      <c r="B2" s="1845" t="s">
        <v>765</v>
      </c>
      <c r="C2" s="1845"/>
      <c r="D2" s="1845"/>
      <c r="E2" s="1845"/>
      <c r="F2" s="302"/>
      <c r="J2" s="45"/>
      <c r="K2" s="45"/>
      <c r="L2" s="45"/>
    </row>
    <row r="3" spans="1:12" ht="20.399999999999999" x14ac:dyDescent="0.25">
      <c r="C3" s="302" t="s">
        <v>766</v>
      </c>
      <c r="D3" s="302"/>
      <c r="E3" s="302"/>
      <c r="F3" s="302"/>
      <c r="J3" s="45"/>
      <c r="K3" s="45"/>
      <c r="L3" s="45"/>
    </row>
    <row r="4" spans="1:12" ht="21" x14ac:dyDescent="0.25">
      <c r="A4" s="47" t="s">
        <v>231</v>
      </c>
      <c r="B4" s="47"/>
      <c r="C4" s="303"/>
      <c r="D4" s="303"/>
      <c r="E4" s="303"/>
      <c r="F4" s="45"/>
      <c r="G4" s="45"/>
      <c r="H4" s="45"/>
      <c r="I4" s="45"/>
      <c r="J4" s="45"/>
      <c r="K4" s="45"/>
      <c r="L4" s="45"/>
    </row>
    <row r="5" spans="1:12" x14ac:dyDescent="0.25">
      <c r="A5" s="63"/>
      <c r="B5" s="63"/>
      <c r="C5" s="63"/>
      <c r="D5" s="63"/>
      <c r="E5" s="63"/>
      <c r="F5" s="45"/>
      <c r="G5" s="45"/>
      <c r="H5" s="45"/>
      <c r="I5" s="45"/>
      <c r="J5" s="45"/>
      <c r="K5" s="45"/>
      <c r="L5" s="45"/>
    </row>
    <row r="6" spans="1:12" ht="13.8" thickBot="1" x14ac:dyDescent="0.3">
      <c r="A6" s="38"/>
      <c r="B6" s="38"/>
      <c r="C6" s="38"/>
      <c r="D6" s="45"/>
      <c r="E6" s="45"/>
      <c r="F6" s="45"/>
      <c r="G6" s="45"/>
      <c r="H6" s="45"/>
      <c r="I6" s="45"/>
      <c r="J6" s="45"/>
      <c r="K6" s="45"/>
      <c r="L6" s="45"/>
    </row>
    <row r="7" spans="1:12" ht="13.8" thickBot="1" x14ac:dyDescent="0.3">
      <c r="A7" s="304" t="s">
        <v>571</v>
      </c>
      <c r="B7" s="305"/>
      <c r="C7" s="306" t="s">
        <v>572</v>
      </c>
      <c r="D7" s="44" t="s">
        <v>538</v>
      </c>
      <c r="E7" s="45"/>
      <c r="F7" s="45"/>
      <c r="G7" s="45"/>
      <c r="H7" s="45"/>
      <c r="I7" s="45"/>
      <c r="J7" s="45"/>
      <c r="K7" s="45"/>
      <c r="L7" s="45"/>
    </row>
    <row r="8" spans="1:12" x14ac:dyDescent="0.25">
      <c r="A8" s="314"/>
      <c r="B8" s="33"/>
      <c r="C8" s="34"/>
      <c r="D8" s="45"/>
      <c r="E8" s="45"/>
      <c r="F8" s="45"/>
      <c r="G8" s="45"/>
      <c r="H8" s="45"/>
      <c r="I8" s="45"/>
      <c r="J8" s="45"/>
      <c r="K8" s="45"/>
      <c r="L8" s="45"/>
    </row>
    <row r="9" spans="1:12" x14ac:dyDescent="0.25">
      <c r="A9" s="1686">
        <v>39022</v>
      </c>
      <c r="B9" s="317"/>
      <c r="C9" s="310">
        <v>0.83101000000000003</v>
      </c>
      <c r="D9" s="45"/>
      <c r="E9" s="45"/>
      <c r="F9" s="45"/>
      <c r="G9" s="45"/>
      <c r="H9" s="45"/>
      <c r="I9" s="45"/>
      <c r="J9" s="45"/>
      <c r="K9" s="45"/>
      <c r="L9" s="45"/>
    </row>
    <row r="10" spans="1:12" x14ac:dyDescent="0.25">
      <c r="A10" s="1686">
        <v>39387</v>
      </c>
      <c r="B10" s="317"/>
      <c r="C10" s="310">
        <v>0.71550000000000002</v>
      </c>
      <c r="D10" s="45"/>
      <c r="E10" s="45"/>
      <c r="F10" s="45"/>
      <c r="G10" s="45"/>
      <c r="H10" s="45"/>
      <c r="I10" s="45"/>
      <c r="J10" s="45"/>
      <c r="K10" s="45"/>
      <c r="L10" s="45"/>
    </row>
    <row r="11" spans="1:12" x14ac:dyDescent="0.25">
      <c r="A11" s="1686">
        <v>39753</v>
      </c>
      <c r="B11" s="317"/>
      <c r="C11" s="310">
        <v>0.8629</v>
      </c>
      <c r="D11" s="45"/>
      <c r="E11" s="45"/>
      <c r="F11" s="45"/>
      <c r="G11" s="45"/>
      <c r="H11" s="45"/>
      <c r="I11" s="45"/>
      <c r="J11" s="45"/>
      <c r="K11" s="45"/>
      <c r="L11" s="45"/>
    </row>
    <row r="12" spans="1:12" x14ac:dyDescent="0.25">
      <c r="A12" s="1686">
        <v>40118</v>
      </c>
      <c r="B12" s="317"/>
      <c r="C12" s="310">
        <v>0.57210000000000005</v>
      </c>
      <c r="D12" s="45"/>
      <c r="E12" s="45"/>
      <c r="F12" s="45"/>
      <c r="G12" s="45"/>
      <c r="H12" s="45"/>
      <c r="I12" s="45"/>
      <c r="J12" s="45"/>
      <c r="K12" s="45"/>
      <c r="L12" s="45"/>
    </row>
    <row r="13" spans="1:12" x14ac:dyDescent="0.25">
      <c r="A13" s="1686">
        <v>40483</v>
      </c>
      <c r="B13" s="317"/>
      <c r="C13" s="310">
        <v>0.53239999999999998</v>
      </c>
      <c r="D13" s="45"/>
      <c r="E13" s="45"/>
      <c r="F13" s="45"/>
      <c r="G13" s="45"/>
      <c r="H13" s="45"/>
      <c r="I13" s="45"/>
      <c r="J13" s="45"/>
      <c r="K13" s="45"/>
      <c r="L13" s="45"/>
    </row>
    <row r="14" spans="1:12" x14ac:dyDescent="0.25">
      <c r="A14" s="1686">
        <v>40848</v>
      </c>
      <c r="B14" s="317"/>
      <c r="C14" s="310">
        <v>0.49521999999999999</v>
      </c>
      <c r="D14" s="45"/>
      <c r="E14" s="45"/>
      <c r="F14" s="45"/>
      <c r="G14" s="45"/>
      <c r="H14" s="45"/>
      <c r="I14" s="45"/>
      <c r="J14" s="45"/>
      <c r="K14" s="45"/>
      <c r="L14" s="45"/>
    </row>
    <row r="15" spans="1:12" x14ac:dyDescent="0.25">
      <c r="A15" s="1686">
        <v>41214</v>
      </c>
      <c r="B15" s="317"/>
      <c r="C15" s="310">
        <v>0.37859999999999999</v>
      </c>
      <c r="D15" s="45"/>
      <c r="E15" s="45"/>
      <c r="F15" s="45"/>
      <c r="G15" s="45"/>
      <c r="H15" s="45"/>
      <c r="I15" s="45"/>
      <c r="J15" s="45"/>
      <c r="K15" s="45"/>
      <c r="L15" s="45"/>
    </row>
    <row r="16" spans="1:12" x14ac:dyDescent="0.25">
      <c r="A16" s="1688">
        <v>41579</v>
      </c>
      <c r="B16" s="317"/>
      <c r="C16" s="310">
        <v>0.39738000000000001</v>
      </c>
      <c r="D16" s="45"/>
      <c r="E16" s="45"/>
      <c r="F16" s="45"/>
      <c r="G16" s="45"/>
      <c r="H16" s="45"/>
      <c r="I16" s="45"/>
      <c r="J16" s="45"/>
      <c r="K16" s="45"/>
      <c r="L16" s="45"/>
    </row>
    <row r="17" spans="1:12" x14ac:dyDescent="0.25">
      <c r="A17" s="1686">
        <v>41944</v>
      </c>
      <c r="B17" s="317"/>
      <c r="C17" s="310">
        <v>0.46106000000000003</v>
      </c>
      <c r="D17" s="45"/>
      <c r="E17" s="45"/>
      <c r="F17" s="45"/>
      <c r="G17" s="45"/>
      <c r="H17" s="45"/>
      <c r="I17" s="45"/>
      <c r="J17" s="45"/>
      <c r="K17" s="45"/>
      <c r="L17" s="45"/>
    </row>
    <row r="18" spans="1:12" x14ac:dyDescent="0.25">
      <c r="A18" s="1686">
        <v>42309</v>
      </c>
      <c r="B18" s="317"/>
      <c r="C18" s="310">
        <v>0.33252999999999999</v>
      </c>
      <c r="D18" s="45"/>
      <c r="E18" s="45"/>
      <c r="F18" s="45"/>
      <c r="G18" s="45"/>
      <c r="H18" s="45"/>
      <c r="I18" s="45"/>
      <c r="J18" s="45"/>
      <c r="K18" s="45"/>
      <c r="L18" s="45"/>
    </row>
    <row r="19" spans="1:12" x14ac:dyDescent="0.25">
      <c r="A19" s="1686">
        <v>42675</v>
      </c>
      <c r="B19" s="317"/>
      <c r="C19" s="310">
        <v>0.30773</v>
      </c>
      <c r="D19" s="45"/>
      <c r="E19" s="45"/>
      <c r="F19" s="45"/>
      <c r="G19" s="45"/>
      <c r="H19" s="45"/>
      <c r="I19" s="45"/>
      <c r="J19" s="45"/>
      <c r="K19" s="45"/>
      <c r="L19" s="45"/>
    </row>
    <row r="20" spans="1:12" x14ac:dyDescent="0.25">
      <c r="A20" s="1686">
        <v>43040</v>
      </c>
      <c r="B20" s="317"/>
      <c r="C20" s="310">
        <v>0.28806999999999999</v>
      </c>
      <c r="D20" s="45"/>
      <c r="E20" s="45"/>
      <c r="F20" s="45"/>
      <c r="G20" s="45"/>
      <c r="H20" s="45"/>
      <c r="I20" s="45"/>
      <c r="J20" s="45"/>
      <c r="K20" s="45"/>
      <c r="L20" s="45"/>
    </row>
    <row r="21" spans="1:12" x14ac:dyDescent="0.25">
      <c r="A21" s="1686">
        <v>43405</v>
      </c>
      <c r="B21" s="317"/>
      <c r="C21" s="310">
        <v>0.26512999999999998</v>
      </c>
      <c r="D21" s="45"/>
      <c r="E21" s="45"/>
      <c r="F21" s="45"/>
      <c r="G21" s="45"/>
      <c r="H21" s="45"/>
      <c r="I21" s="45"/>
      <c r="J21" s="45"/>
      <c r="K21" s="45"/>
      <c r="L21" s="45"/>
    </row>
    <row r="22" spans="1:12" ht="13.8" thickBot="1" x14ac:dyDescent="0.3">
      <c r="A22" s="1687">
        <f>+EFFDATE</f>
        <v>43770</v>
      </c>
      <c r="B22" s="1506"/>
      <c r="C22" s="639">
        <f>Inputs!$B$32</f>
        <v>0.24779999999999999</v>
      </c>
      <c r="D22" s="45"/>
      <c r="E22" s="45"/>
      <c r="F22" s="45"/>
      <c r="G22" s="45"/>
      <c r="H22" s="45"/>
      <c r="I22" s="45"/>
      <c r="J22" s="45"/>
      <c r="K22" s="45"/>
      <c r="L22" s="45"/>
    </row>
    <row r="23" spans="1:12" x14ac:dyDescent="0.25">
      <c r="D23" s="45"/>
      <c r="E23" s="45"/>
      <c r="F23" s="45"/>
      <c r="G23" s="45"/>
      <c r="H23" s="45"/>
      <c r="I23" s="45"/>
      <c r="J23" s="45"/>
      <c r="K23" s="45"/>
      <c r="L23" s="45"/>
    </row>
    <row r="24" spans="1:12" x14ac:dyDescent="0.25">
      <c r="A24" s="33"/>
      <c r="B24" s="33"/>
      <c r="C24" s="33"/>
      <c r="D24" s="45"/>
      <c r="E24" s="45"/>
      <c r="F24" s="45"/>
      <c r="G24" s="45"/>
      <c r="H24" s="45"/>
      <c r="I24" s="45"/>
      <c r="J24" s="45"/>
      <c r="K24" s="45"/>
      <c r="L24" s="45"/>
    </row>
    <row r="25" spans="1:12" x14ac:dyDescent="0.25">
      <c r="A25" s="111" t="s">
        <v>1086</v>
      </c>
      <c r="B25" s="44"/>
      <c r="C25" s="45"/>
      <c r="D25" s="45"/>
      <c r="E25" s="45"/>
      <c r="F25" s="45"/>
      <c r="G25" s="45"/>
      <c r="H25" s="45"/>
      <c r="I25" s="45"/>
      <c r="J25" s="45"/>
      <c r="K25" s="45"/>
      <c r="L25" s="45"/>
    </row>
    <row r="26" spans="1:12" x14ac:dyDescent="0.25">
      <c r="A26" s="45"/>
      <c r="B26" s="45"/>
      <c r="C26" s="45"/>
      <c r="D26" s="45"/>
      <c r="E26" s="319">
        <f>+Cover!A10</f>
        <v>43770</v>
      </c>
      <c r="F26" s="45"/>
      <c r="G26" s="45"/>
      <c r="H26" s="45"/>
      <c r="I26" s="45"/>
      <c r="J26" s="45"/>
      <c r="K26" s="45"/>
      <c r="L26" s="45"/>
    </row>
    <row r="27" spans="1:12" x14ac:dyDescent="0.25">
      <c r="A27" s="240" t="s">
        <v>575</v>
      </c>
      <c r="B27" s="240"/>
      <c r="C27" s="318" t="s">
        <v>567</v>
      </c>
      <c r="D27" s="45"/>
      <c r="E27" s="45"/>
      <c r="F27" s="45"/>
      <c r="G27" s="45"/>
      <c r="H27" s="45"/>
      <c r="I27" s="45"/>
      <c r="J27" s="45"/>
      <c r="K27" s="45"/>
      <c r="L27" s="45"/>
    </row>
    <row r="28" spans="1:12" x14ac:dyDescent="0.25">
      <c r="A28" s="45"/>
      <c r="B28" s="45"/>
      <c r="C28" s="45"/>
      <c r="D28" s="45"/>
      <c r="E28" s="45"/>
      <c r="F28" s="45"/>
      <c r="G28" s="45"/>
      <c r="H28" s="45"/>
      <c r="I28" s="45"/>
      <c r="J28" s="45"/>
      <c r="K28" s="45"/>
      <c r="L28" s="45"/>
    </row>
    <row r="29" spans="1:12" x14ac:dyDescent="0.25">
      <c r="A29" s="45"/>
      <c r="B29" s="45"/>
      <c r="D29" s="45"/>
      <c r="E29" s="320"/>
      <c r="F29" s="45"/>
      <c r="G29" s="45"/>
      <c r="H29" s="45"/>
      <c r="I29" s="45"/>
      <c r="J29" s="45"/>
      <c r="K29" s="45"/>
      <c r="L29" s="45"/>
    </row>
    <row r="30" spans="1:12" x14ac:dyDescent="0.25">
      <c r="A30" s="45"/>
      <c r="B30" s="45"/>
      <c r="C30" s="45"/>
      <c r="D30" s="45"/>
      <c r="E30" s="45"/>
      <c r="F30" s="45"/>
      <c r="G30" s="45"/>
      <c r="H30" s="45"/>
      <c r="I30" s="45"/>
      <c r="J30" s="45"/>
      <c r="K30" s="45"/>
      <c r="L30" s="45"/>
    </row>
    <row r="31" spans="1:12" x14ac:dyDescent="0.25">
      <c r="A31" s="45"/>
      <c r="B31" s="45"/>
      <c r="C31" s="45"/>
      <c r="D31" s="44"/>
      <c r="E31" s="45"/>
      <c r="F31" s="45"/>
      <c r="G31" s="45"/>
      <c r="H31" s="45"/>
      <c r="I31" s="45"/>
      <c r="J31" s="45"/>
      <c r="K31" s="45"/>
      <c r="L31" s="45"/>
    </row>
    <row r="32" spans="1:12" x14ac:dyDescent="0.25">
      <c r="A32" s="45"/>
      <c r="B32" s="45"/>
      <c r="C32" s="45"/>
      <c r="E32" s="45"/>
      <c r="F32" s="45"/>
      <c r="G32" s="45"/>
      <c r="H32" s="45"/>
      <c r="I32" s="45"/>
      <c r="J32" s="45"/>
      <c r="K32" s="45"/>
      <c r="L32" s="45"/>
    </row>
    <row r="33" spans="1:12" x14ac:dyDescent="0.25">
      <c r="A33" s="45"/>
      <c r="B33" s="45"/>
      <c r="C33" s="45"/>
      <c r="D33" s="45"/>
      <c r="E33" s="45"/>
      <c r="F33" s="45"/>
      <c r="G33" s="45"/>
      <c r="H33" s="45"/>
      <c r="I33" s="45"/>
      <c r="J33" s="45"/>
      <c r="K33" s="45"/>
      <c r="L33" s="45"/>
    </row>
    <row r="34" spans="1:12" x14ac:dyDescent="0.25">
      <c r="A34" s="45"/>
      <c r="B34" s="45"/>
      <c r="C34" s="45"/>
      <c r="D34" s="45"/>
      <c r="E34" s="45"/>
      <c r="F34" s="45"/>
      <c r="G34" s="45"/>
      <c r="H34" s="45"/>
      <c r="I34" s="45"/>
      <c r="J34" s="45"/>
      <c r="K34" s="45"/>
      <c r="L34" s="45"/>
    </row>
    <row r="35" spans="1:12" x14ac:dyDescent="0.25">
      <c r="A35" s="45"/>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5"/>
      <c r="B39" s="45"/>
      <c r="C39" s="45"/>
      <c r="D39" s="45"/>
      <c r="E39" s="45"/>
      <c r="F39" s="45"/>
      <c r="G39" s="45"/>
      <c r="H39" s="45"/>
      <c r="I39" s="45"/>
      <c r="J39" s="45"/>
      <c r="K39" s="45"/>
      <c r="L39" s="45"/>
    </row>
    <row r="40" spans="1:12" x14ac:dyDescent="0.25">
      <c r="A40" s="45"/>
      <c r="B40" s="45"/>
      <c r="C40" s="45"/>
      <c r="D40" s="45"/>
      <c r="E40" s="45"/>
      <c r="F40" s="45"/>
      <c r="G40" s="45"/>
      <c r="H40" s="45"/>
      <c r="I40" s="45"/>
      <c r="J40" s="45"/>
      <c r="K40" s="45"/>
      <c r="L40" s="45"/>
    </row>
    <row r="41" spans="1:12" x14ac:dyDescent="0.25">
      <c r="A41" s="45"/>
      <c r="B41" s="45"/>
      <c r="C41" s="45"/>
      <c r="D41" s="45"/>
      <c r="E41" s="45"/>
      <c r="F41" s="45"/>
      <c r="G41" s="45"/>
      <c r="H41" s="45"/>
      <c r="I41" s="45"/>
      <c r="J41" s="45"/>
      <c r="K41" s="45"/>
      <c r="L41" s="45"/>
    </row>
    <row r="42" spans="1:12" x14ac:dyDescent="0.25">
      <c r="A42" s="45"/>
      <c r="B42" s="45"/>
      <c r="C42" s="45"/>
      <c r="D42" s="45"/>
      <c r="E42" s="45"/>
      <c r="F42" s="45"/>
      <c r="G42" s="45"/>
      <c r="H42" s="45"/>
      <c r="I42" s="45"/>
      <c r="J42" s="45"/>
      <c r="K42" s="45"/>
      <c r="L42" s="45"/>
    </row>
    <row r="43" spans="1:12" x14ac:dyDescent="0.25">
      <c r="A43" s="45"/>
      <c r="B43" s="45"/>
      <c r="C43" s="45"/>
      <c r="D43" s="45"/>
      <c r="E43" s="45"/>
      <c r="F43" s="45"/>
      <c r="G43" s="45"/>
      <c r="H43" s="45"/>
      <c r="I43" s="45"/>
      <c r="J43" s="45"/>
      <c r="K43" s="45"/>
      <c r="L43" s="45"/>
    </row>
    <row r="44" spans="1:12" x14ac:dyDescent="0.25">
      <c r="A44" s="45"/>
      <c r="B44" s="45"/>
      <c r="C44" s="45"/>
      <c r="D44" s="45"/>
      <c r="E44" s="45"/>
      <c r="F44" s="45"/>
      <c r="G44" s="45"/>
      <c r="H44" s="45"/>
      <c r="I44" s="45"/>
      <c r="J44" s="45"/>
      <c r="K44" s="45"/>
      <c r="L44" s="45"/>
    </row>
    <row r="45" spans="1:12" x14ac:dyDescent="0.25">
      <c r="A45" s="45"/>
      <c r="B45" s="45"/>
      <c r="C45" s="45"/>
      <c r="D45" s="45"/>
      <c r="E45" s="45"/>
      <c r="F45" s="45"/>
      <c r="G45" s="45"/>
      <c r="H45" s="45"/>
      <c r="I45" s="45"/>
      <c r="J45" s="45"/>
      <c r="K45" s="45"/>
      <c r="L45" s="45"/>
    </row>
    <row r="46" spans="1:12" x14ac:dyDescent="0.25">
      <c r="A46" s="45"/>
      <c r="B46" s="45"/>
      <c r="C46" s="45"/>
      <c r="D46" s="45"/>
      <c r="E46" s="45"/>
      <c r="F46" s="45"/>
      <c r="G46" s="45"/>
      <c r="H46" s="45"/>
      <c r="I46" s="45"/>
      <c r="J46" s="45"/>
      <c r="K46" s="45"/>
      <c r="L46" s="45"/>
    </row>
    <row r="47" spans="1:12" x14ac:dyDescent="0.25">
      <c r="A47" s="45"/>
      <c r="B47" s="45"/>
      <c r="C47" s="45"/>
      <c r="D47" s="45"/>
      <c r="E47" s="45"/>
      <c r="F47" s="45"/>
      <c r="G47" s="45"/>
      <c r="H47" s="45"/>
      <c r="I47" s="45"/>
      <c r="J47" s="45"/>
      <c r="K47" s="45"/>
      <c r="L47" s="45"/>
    </row>
    <row r="48" spans="1:12" x14ac:dyDescent="0.25">
      <c r="A48" s="45"/>
      <c r="B48" s="45"/>
      <c r="C48" s="45"/>
      <c r="D48" s="45"/>
      <c r="E48" s="45"/>
      <c r="F48" s="45"/>
      <c r="G48" s="45"/>
      <c r="H48" s="45"/>
      <c r="I48" s="45"/>
      <c r="J48" s="45"/>
      <c r="K48" s="45"/>
      <c r="L48" s="45"/>
    </row>
    <row r="49" spans="1:12" x14ac:dyDescent="0.25">
      <c r="A49" s="45"/>
      <c r="B49" s="45"/>
      <c r="C49" s="45"/>
      <c r="D49" s="45"/>
      <c r="E49" s="45"/>
      <c r="F49" s="45"/>
      <c r="G49" s="45"/>
      <c r="H49" s="45"/>
      <c r="I49" s="45"/>
      <c r="J49" s="45"/>
      <c r="K49" s="45"/>
      <c r="L49" s="45"/>
    </row>
    <row r="50" spans="1:12" x14ac:dyDescent="0.25">
      <c r="A50" s="45"/>
      <c r="B50" s="45"/>
      <c r="C50" s="45"/>
      <c r="D50" s="45"/>
      <c r="E50" s="45"/>
      <c r="F50" s="45"/>
      <c r="G50" s="45"/>
      <c r="H50" s="45"/>
      <c r="I50" s="45"/>
      <c r="J50" s="45"/>
      <c r="K50" s="45"/>
      <c r="L50" s="45"/>
    </row>
    <row r="51" spans="1:12" x14ac:dyDescent="0.25">
      <c r="A51" s="45"/>
      <c r="B51" s="45"/>
      <c r="C51" s="45"/>
      <c r="D51" s="45"/>
      <c r="E51" s="45"/>
      <c r="F51" s="45"/>
      <c r="G51" s="45"/>
      <c r="H51" s="45"/>
      <c r="I51" s="45"/>
      <c r="J51" s="45"/>
      <c r="K51" s="45"/>
      <c r="L51" s="45"/>
    </row>
    <row r="52" spans="1:12" x14ac:dyDescent="0.25">
      <c r="A52" s="45"/>
      <c r="B52" s="45"/>
      <c r="C52" s="45"/>
      <c r="D52" s="45"/>
      <c r="E52" s="45"/>
      <c r="F52" s="45"/>
      <c r="G52" s="45"/>
      <c r="H52" s="45"/>
      <c r="I52" s="45"/>
      <c r="J52" s="45"/>
      <c r="K52" s="45"/>
      <c r="L52" s="45"/>
    </row>
    <row r="53" spans="1:12" x14ac:dyDescent="0.25">
      <c r="A53" s="45"/>
      <c r="B53" s="45"/>
      <c r="C53" s="45"/>
      <c r="D53" s="45"/>
      <c r="E53" s="45"/>
      <c r="F53" s="45"/>
      <c r="G53" s="45"/>
      <c r="H53" s="45"/>
      <c r="I53" s="45"/>
      <c r="J53" s="45"/>
      <c r="K53" s="45"/>
      <c r="L53" s="45"/>
    </row>
    <row r="54" spans="1:12" x14ac:dyDescent="0.25">
      <c r="A54" s="45"/>
      <c r="B54" s="45"/>
      <c r="C54" s="45"/>
      <c r="D54" s="45"/>
      <c r="E54" s="45"/>
      <c r="F54" s="45"/>
      <c r="G54" s="45"/>
      <c r="H54" s="45"/>
      <c r="I54" s="45"/>
      <c r="J54" s="45"/>
      <c r="K54" s="45"/>
      <c r="L54" s="45"/>
    </row>
    <row r="55" spans="1:12" x14ac:dyDescent="0.25">
      <c r="A55" s="45"/>
      <c r="B55" s="45"/>
      <c r="C55" s="45"/>
      <c r="D55" s="45"/>
      <c r="E55" s="45"/>
      <c r="F55" s="45"/>
      <c r="G55" s="45"/>
      <c r="H55" s="45"/>
      <c r="I55" s="45"/>
      <c r="J55" s="45"/>
      <c r="K55" s="45"/>
      <c r="L55" s="45"/>
    </row>
    <row r="56" spans="1:12" x14ac:dyDescent="0.25">
      <c r="A56" s="45"/>
      <c r="B56" s="45"/>
      <c r="C56" s="45"/>
      <c r="D56" s="45"/>
      <c r="E56" s="45"/>
      <c r="F56" s="45"/>
      <c r="G56" s="45"/>
      <c r="H56" s="45"/>
      <c r="I56" s="45"/>
      <c r="J56" s="45"/>
      <c r="K56" s="45"/>
      <c r="L56" s="45"/>
    </row>
    <row r="57" spans="1:12" x14ac:dyDescent="0.25">
      <c r="A57" s="45"/>
      <c r="B57" s="45"/>
      <c r="C57" s="45"/>
      <c r="D57" s="45"/>
      <c r="E57" s="45"/>
      <c r="F57" s="45"/>
      <c r="G57" s="45"/>
      <c r="H57" s="45"/>
      <c r="I57" s="45"/>
      <c r="J57" s="45"/>
      <c r="K57" s="45"/>
      <c r="L57" s="45"/>
    </row>
    <row r="58" spans="1:12" x14ac:dyDescent="0.25">
      <c r="A58" s="45"/>
      <c r="B58" s="45"/>
      <c r="C58" s="45"/>
      <c r="D58" s="45"/>
      <c r="E58" s="45"/>
      <c r="F58" s="45"/>
      <c r="G58" s="45"/>
      <c r="H58" s="45"/>
      <c r="I58" s="45"/>
      <c r="J58" s="45"/>
      <c r="K58" s="45"/>
      <c r="L58" s="45"/>
    </row>
    <row r="59" spans="1:12" x14ac:dyDescent="0.25">
      <c r="A59" s="45"/>
      <c r="B59" s="45"/>
      <c r="C59" s="45"/>
      <c r="D59" s="45"/>
      <c r="E59" s="45"/>
      <c r="F59" s="45"/>
      <c r="G59" s="45"/>
      <c r="H59" s="45"/>
      <c r="I59" s="45"/>
      <c r="J59" s="45"/>
      <c r="K59" s="45"/>
      <c r="L59" s="45"/>
    </row>
    <row r="60" spans="1:12" x14ac:dyDescent="0.25">
      <c r="A60" s="45"/>
      <c r="B60" s="45"/>
      <c r="C60" s="45"/>
      <c r="D60" s="45"/>
      <c r="E60" s="45"/>
      <c r="F60" s="45"/>
      <c r="G60" s="45"/>
      <c r="H60" s="45"/>
      <c r="I60" s="45"/>
      <c r="J60" s="45"/>
      <c r="K60" s="45"/>
      <c r="L60" s="45"/>
    </row>
    <row r="61" spans="1:12" x14ac:dyDescent="0.25">
      <c r="A61" s="45"/>
      <c r="B61" s="45"/>
      <c r="C61" s="45"/>
      <c r="D61" s="45"/>
      <c r="E61" s="45"/>
      <c r="F61" s="45"/>
      <c r="G61" s="45"/>
      <c r="H61" s="45"/>
      <c r="I61" s="45"/>
      <c r="J61" s="45"/>
      <c r="K61" s="45"/>
      <c r="L61" s="45"/>
    </row>
    <row r="62" spans="1:12" x14ac:dyDescent="0.25">
      <c r="A62" s="45"/>
      <c r="B62" s="45"/>
      <c r="C62" s="45"/>
      <c r="D62" s="45"/>
      <c r="E62" s="45"/>
      <c r="F62" s="45"/>
      <c r="G62" s="45"/>
      <c r="H62" s="45"/>
      <c r="I62" s="45"/>
      <c r="J62" s="45"/>
      <c r="K62" s="45"/>
      <c r="L62" s="45"/>
    </row>
    <row r="63" spans="1:12" x14ac:dyDescent="0.25">
      <c r="A63" s="45"/>
      <c r="B63" s="45"/>
      <c r="C63" s="45"/>
      <c r="D63" s="45"/>
      <c r="E63" s="45"/>
      <c r="F63" s="45"/>
      <c r="G63" s="45"/>
      <c r="H63" s="45"/>
      <c r="I63" s="45"/>
      <c r="J63" s="45"/>
      <c r="K63" s="45"/>
      <c r="L63" s="45"/>
    </row>
    <row r="64" spans="1:12" x14ac:dyDescent="0.25">
      <c r="A64" s="45"/>
      <c r="B64" s="45"/>
      <c r="C64" s="45"/>
      <c r="D64" s="45"/>
      <c r="E64" s="45"/>
      <c r="F64" s="45"/>
      <c r="G64" s="45"/>
      <c r="H64" s="45"/>
      <c r="I64" s="45"/>
      <c r="J64" s="45"/>
      <c r="K64" s="45"/>
      <c r="L64" s="45"/>
    </row>
    <row r="65" spans="1:12" x14ac:dyDescent="0.25">
      <c r="A65" s="45"/>
      <c r="B65" s="45"/>
      <c r="C65" s="45"/>
      <c r="D65" s="45"/>
      <c r="E65" s="45"/>
      <c r="F65" s="45"/>
      <c r="G65" s="45"/>
      <c r="H65" s="45"/>
      <c r="I65" s="45"/>
      <c r="J65" s="45"/>
      <c r="K65" s="45"/>
      <c r="L65" s="45"/>
    </row>
    <row r="66" spans="1:12" x14ac:dyDescent="0.25">
      <c r="A66" s="45"/>
      <c r="B66" s="45"/>
      <c r="C66" s="45"/>
      <c r="D66" s="45"/>
      <c r="E66" s="45"/>
      <c r="F66" s="45"/>
      <c r="G66" s="45"/>
      <c r="H66" s="45"/>
      <c r="I66" s="45"/>
      <c r="J66" s="45"/>
      <c r="K66" s="45"/>
      <c r="L66" s="45"/>
    </row>
    <row r="67" spans="1:12" x14ac:dyDescent="0.25">
      <c r="A67" s="45"/>
      <c r="B67" s="45"/>
      <c r="C67" s="45"/>
      <c r="D67" s="45"/>
      <c r="E67" s="45"/>
      <c r="F67" s="45"/>
      <c r="G67" s="45"/>
      <c r="H67" s="45"/>
      <c r="I67" s="45"/>
      <c r="J67" s="45"/>
      <c r="K67" s="45"/>
      <c r="L67" s="45"/>
    </row>
    <row r="68" spans="1:12" x14ac:dyDescent="0.25">
      <c r="A68" s="45"/>
      <c r="B68" s="45"/>
      <c r="C68" s="45"/>
      <c r="D68" s="45"/>
      <c r="E68" s="45"/>
      <c r="F68" s="45"/>
      <c r="G68" s="45"/>
      <c r="H68" s="45"/>
      <c r="I68" s="45"/>
      <c r="J68" s="45"/>
      <c r="K68" s="45"/>
      <c r="L68" s="45"/>
    </row>
    <row r="69" spans="1:12" x14ac:dyDescent="0.25">
      <c r="A69" s="45"/>
      <c r="B69" s="45"/>
      <c r="C69" s="45"/>
      <c r="D69" s="45"/>
      <c r="E69" s="45"/>
      <c r="F69" s="45"/>
      <c r="G69" s="45"/>
      <c r="H69" s="45"/>
      <c r="I69" s="45"/>
      <c r="J69" s="45"/>
      <c r="K69" s="45"/>
      <c r="L69" s="45"/>
    </row>
    <row r="70" spans="1:12" x14ac:dyDescent="0.25">
      <c r="A70" s="45"/>
      <c r="B70" s="45"/>
      <c r="C70" s="45"/>
      <c r="D70" s="45"/>
      <c r="E70" s="45"/>
      <c r="F70" s="45"/>
      <c r="G70" s="45"/>
      <c r="H70" s="45"/>
      <c r="I70" s="45"/>
      <c r="J70" s="45"/>
      <c r="K70" s="45"/>
      <c r="L70" s="45"/>
    </row>
    <row r="71" spans="1:12" x14ac:dyDescent="0.25">
      <c r="A71" s="45"/>
      <c r="B71" s="45"/>
      <c r="C71" s="45"/>
      <c r="D71" s="45"/>
      <c r="E71" s="45"/>
      <c r="F71" s="45"/>
      <c r="G71" s="45"/>
      <c r="H71" s="45"/>
      <c r="I71" s="45"/>
      <c r="J71" s="45"/>
      <c r="K71" s="45"/>
      <c r="L71" s="45"/>
    </row>
    <row r="72" spans="1:12" x14ac:dyDescent="0.25">
      <c r="A72" s="45"/>
      <c r="B72" s="45"/>
      <c r="C72" s="45"/>
      <c r="D72" s="45"/>
      <c r="E72" s="45"/>
      <c r="F72" s="45"/>
      <c r="G72" s="45"/>
      <c r="H72" s="45"/>
      <c r="I72" s="45"/>
      <c r="J72" s="45"/>
      <c r="K72" s="45"/>
      <c r="L72" s="45"/>
    </row>
    <row r="73" spans="1:12" x14ac:dyDescent="0.25">
      <c r="A73" s="45"/>
      <c r="B73" s="45"/>
      <c r="C73" s="45"/>
      <c r="D73" s="45"/>
      <c r="E73" s="45"/>
      <c r="F73" s="45"/>
      <c r="G73" s="45"/>
      <c r="H73" s="45"/>
      <c r="I73" s="45"/>
      <c r="J73" s="45"/>
      <c r="K73" s="45"/>
      <c r="L73" s="45"/>
    </row>
    <row r="74" spans="1:12" x14ac:dyDescent="0.25">
      <c r="A74" s="45"/>
      <c r="B74" s="45"/>
      <c r="C74" s="45"/>
      <c r="D74" s="45"/>
      <c r="E74" s="45"/>
      <c r="F74" s="45"/>
      <c r="G74" s="45"/>
      <c r="H74" s="45"/>
      <c r="I74" s="45"/>
      <c r="J74" s="45"/>
      <c r="K74" s="45"/>
      <c r="L74" s="45"/>
    </row>
    <row r="75" spans="1:12" x14ac:dyDescent="0.25">
      <c r="A75" s="45"/>
      <c r="B75" s="45"/>
      <c r="C75" s="45"/>
      <c r="D75" s="45"/>
      <c r="E75" s="45"/>
      <c r="F75" s="45"/>
      <c r="G75" s="45"/>
      <c r="H75" s="45"/>
      <c r="I75" s="45"/>
      <c r="J75" s="45"/>
      <c r="K75" s="45"/>
      <c r="L75" s="45"/>
    </row>
    <row r="76" spans="1:12" x14ac:dyDescent="0.25">
      <c r="A76" s="45"/>
      <c r="B76" s="45"/>
      <c r="C76" s="45"/>
      <c r="D76" s="45"/>
      <c r="E76" s="45"/>
      <c r="F76" s="45"/>
      <c r="G76" s="45"/>
      <c r="H76" s="45"/>
      <c r="I76" s="45"/>
      <c r="J76" s="45"/>
      <c r="K76" s="45"/>
      <c r="L76" s="45"/>
    </row>
    <row r="77" spans="1:12" x14ac:dyDescent="0.25">
      <c r="A77" s="45"/>
      <c r="B77" s="45"/>
      <c r="C77" s="45"/>
      <c r="D77" s="45"/>
      <c r="E77" s="45"/>
      <c r="F77" s="45"/>
      <c r="G77" s="45"/>
      <c r="H77" s="45"/>
      <c r="I77" s="45"/>
      <c r="J77" s="45"/>
      <c r="K77" s="45"/>
      <c r="L77" s="45"/>
    </row>
    <row r="78" spans="1:12" x14ac:dyDescent="0.25">
      <c r="A78" s="45"/>
      <c r="B78" s="45"/>
      <c r="C78" s="45"/>
      <c r="D78" s="45"/>
      <c r="E78" s="45"/>
      <c r="F78" s="45"/>
      <c r="G78" s="45"/>
      <c r="H78" s="45"/>
      <c r="I78" s="45"/>
      <c r="J78" s="45"/>
      <c r="K78" s="45"/>
      <c r="L78" s="45"/>
    </row>
    <row r="79" spans="1:12" x14ac:dyDescent="0.25">
      <c r="A79" s="45"/>
      <c r="B79" s="45"/>
      <c r="C79" s="45"/>
      <c r="D79" s="45"/>
      <c r="E79" s="45"/>
      <c r="F79" s="45"/>
      <c r="G79" s="45"/>
      <c r="H79" s="45"/>
      <c r="I79" s="45"/>
      <c r="J79" s="45"/>
      <c r="K79" s="45"/>
      <c r="L79" s="45"/>
    </row>
    <row r="80" spans="1:12" x14ac:dyDescent="0.25">
      <c r="A80" s="45"/>
      <c r="B80" s="45"/>
      <c r="C80" s="45"/>
      <c r="D80" s="45"/>
      <c r="E80" s="45"/>
      <c r="F80" s="45"/>
      <c r="G80" s="45"/>
      <c r="H80" s="45"/>
      <c r="I80" s="45"/>
      <c r="J80" s="45"/>
      <c r="K80" s="45"/>
      <c r="L80" s="45"/>
    </row>
    <row r="81" spans="1:12" x14ac:dyDescent="0.25">
      <c r="A81" s="45"/>
      <c r="B81" s="45"/>
      <c r="C81" s="45"/>
      <c r="D81" s="45"/>
      <c r="E81" s="45"/>
      <c r="F81" s="45"/>
      <c r="G81" s="45"/>
      <c r="H81" s="45"/>
      <c r="I81" s="45"/>
      <c r="J81" s="45"/>
      <c r="K81" s="45"/>
      <c r="L81" s="45"/>
    </row>
    <row r="82" spans="1:12" x14ac:dyDescent="0.25">
      <c r="A82" s="45"/>
      <c r="B82" s="45"/>
      <c r="C82" s="45"/>
      <c r="D82" s="45"/>
      <c r="E82" s="45"/>
      <c r="F82" s="45"/>
      <c r="G82" s="45"/>
      <c r="H82" s="45"/>
      <c r="I82" s="45"/>
      <c r="J82" s="45"/>
      <c r="K82" s="45"/>
      <c r="L82" s="45"/>
    </row>
    <row r="83" spans="1:12" x14ac:dyDescent="0.25">
      <c r="A83" s="45"/>
      <c r="B83" s="45"/>
      <c r="C83" s="45"/>
      <c r="D83" s="45"/>
      <c r="E83" s="45"/>
      <c r="F83" s="45"/>
      <c r="G83" s="45"/>
      <c r="H83" s="45"/>
      <c r="I83" s="45"/>
      <c r="J83" s="45"/>
      <c r="K83" s="45"/>
      <c r="L83" s="45"/>
    </row>
    <row r="84" spans="1:12" x14ac:dyDescent="0.25">
      <c r="A84" s="45"/>
      <c r="B84" s="45"/>
      <c r="C84" s="45"/>
      <c r="D84" s="45"/>
      <c r="E84" s="45"/>
      <c r="F84" s="45"/>
      <c r="G84" s="45"/>
      <c r="H84" s="45"/>
      <c r="I84" s="45"/>
      <c r="J84" s="45"/>
      <c r="K84" s="45"/>
      <c r="L84" s="45"/>
    </row>
    <row r="85" spans="1:12" x14ac:dyDescent="0.25">
      <c r="A85" s="45"/>
      <c r="B85" s="45"/>
      <c r="C85" s="45"/>
      <c r="D85" s="45"/>
      <c r="E85" s="45"/>
      <c r="F85" s="45"/>
      <c r="G85" s="45"/>
      <c r="H85" s="45"/>
      <c r="I85" s="45"/>
      <c r="J85" s="45"/>
      <c r="K85" s="45"/>
      <c r="L85" s="45"/>
    </row>
    <row r="86" spans="1:12" x14ac:dyDescent="0.25">
      <c r="A86" s="45"/>
      <c r="B86" s="45"/>
      <c r="C86" s="45"/>
      <c r="D86" s="45"/>
      <c r="E86" s="45"/>
      <c r="F86" s="45"/>
      <c r="G86" s="45"/>
      <c r="H86" s="45"/>
      <c r="I86" s="45"/>
      <c r="J86" s="45"/>
      <c r="K86" s="45"/>
      <c r="L86" s="45"/>
    </row>
    <row r="87" spans="1:12" x14ac:dyDescent="0.25">
      <c r="A87" s="45"/>
      <c r="B87" s="45"/>
      <c r="C87" s="45"/>
      <c r="D87" s="45"/>
      <c r="E87" s="45"/>
      <c r="F87" s="45"/>
      <c r="G87" s="45"/>
      <c r="H87" s="45"/>
      <c r="I87" s="45"/>
      <c r="J87" s="45"/>
      <c r="K87" s="45"/>
      <c r="L87" s="45"/>
    </row>
    <row r="88" spans="1:12" x14ac:dyDescent="0.25">
      <c r="A88" s="45"/>
      <c r="B88" s="45"/>
      <c r="C88" s="45"/>
      <c r="D88" s="45"/>
      <c r="E88" s="45"/>
      <c r="F88" s="45"/>
      <c r="G88" s="45"/>
      <c r="H88" s="45"/>
      <c r="I88" s="45"/>
      <c r="J88" s="45"/>
      <c r="K88" s="45"/>
      <c r="L88" s="45"/>
    </row>
    <row r="89" spans="1:12" x14ac:dyDescent="0.25">
      <c r="A89" s="45"/>
      <c r="B89" s="45"/>
      <c r="C89" s="45"/>
      <c r="D89" s="45"/>
      <c r="E89" s="45"/>
      <c r="F89" s="45"/>
      <c r="G89" s="45"/>
      <c r="H89" s="45"/>
      <c r="I89" s="45"/>
      <c r="J89" s="45"/>
      <c r="K89" s="45"/>
      <c r="L89" s="45"/>
    </row>
    <row r="90" spans="1:12" x14ac:dyDescent="0.25">
      <c r="A90" s="45"/>
      <c r="B90" s="45"/>
      <c r="C90" s="45"/>
      <c r="D90" s="45"/>
      <c r="E90" s="45"/>
      <c r="F90" s="45"/>
      <c r="G90" s="45"/>
      <c r="H90" s="45"/>
      <c r="I90" s="45"/>
      <c r="J90" s="45"/>
      <c r="K90" s="45"/>
      <c r="L90" s="45"/>
    </row>
    <row r="91" spans="1:12" x14ac:dyDescent="0.25">
      <c r="A91" s="45"/>
      <c r="B91" s="45"/>
      <c r="C91" s="45"/>
      <c r="D91" s="45"/>
      <c r="E91" s="45"/>
      <c r="F91" s="45"/>
      <c r="G91" s="45"/>
      <c r="H91" s="45"/>
      <c r="I91" s="45"/>
      <c r="J91" s="45"/>
      <c r="K91" s="45"/>
      <c r="L91" s="45"/>
    </row>
    <row r="92" spans="1:12" x14ac:dyDescent="0.25">
      <c r="A92" s="45"/>
      <c r="B92" s="45"/>
      <c r="C92" s="45"/>
      <c r="D92" s="45"/>
      <c r="E92" s="45"/>
      <c r="F92" s="45"/>
      <c r="G92" s="45"/>
      <c r="H92" s="45"/>
      <c r="I92" s="45"/>
      <c r="J92" s="45"/>
      <c r="K92" s="45"/>
      <c r="L92" s="45"/>
    </row>
    <row r="93" spans="1:12" x14ac:dyDescent="0.25">
      <c r="A93" s="45"/>
      <c r="B93" s="45"/>
      <c r="C93" s="45"/>
      <c r="D93" s="45"/>
      <c r="E93" s="45"/>
      <c r="F93" s="45"/>
      <c r="G93" s="45"/>
      <c r="H93" s="45"/>
      <c r="I93" s="45"/>
      <c r="J93" s="45"/>
      <c r="K93" s="45"/>
      <c r="L93" s="45"/>
    </row>
    <row r="94" spans="1:12" x14ac:dyDescent="0.25">
      <c r="A94" s="45"/>
      <c r="B94" s="45"/>
      <c r="C94" s="45"/>
      <c r="D94" s="45"/>
      <c r="E94" s="45"/>
      <c r="F94" s="45"/>
      <c r="G94" s="45"/>
      <c r="H94" s="45"/>
      <c r="I94" s="45"/>
      <c r="J94" s="45"/>
      <c r="K94" s="45"/>
      <c r="L94" s="45"/>
    </row>
    <row r="95" spans="1:12" x14ac:dyDescent="0.25">
      <c r="A95" s="45"/>
      <c r="B95" s="45"/>
      <c r="C95" s="45"/>
      <c r="D95" s="45"/>
      <c r="E95" s="45"/>
      <c r="F95" s="45"/>
      <c r="G95" s="45"/>
      <c r="H95" s="45"/>
      <c r="I95" s="45"/>
      <c r="J95" s="45"/>
      <c r="K95" s="45"/>
      <c r="L95" s="45"/>
    </row>
    <row r="96" spans="1:12" x14ac:dyDescent="0.25">
      <c r="A96" s="45"/>
      <c r="B96" s="45"/>
      <c r="C96" s="45"/>
      <c r="D96" s="45"/>
      <c r="E96" s="45"/>
      <c r="F96" s="45"/>
      <c r="G96" s="45"/>
      <c r="H96" s="45"/>
      <c r="I96" s="45"/>
      <c r="J96" s="45"/>
      <c r="K96" s="45"/>
      <c r="L96" s="45"/>
    </row>
    <row r="97" spans="1:12" x14ac:dyDescent="0.25">
      <c r="A97" s="45"/>
      <c r="B97" s="45"/>
      <c r="C97" s="45"/>
      <c r="D97" s="45"/>
      <c r="E97" s="45"/>
      <c r="F97" s="45"/>
      <c r="G97" s="45"/>
      <c r="H97" s="45"/>
      <c r="I97" s="45"/>
      <c r="J97" s="45"/>
      <c r="K97" s="45"/>
      <c r="L97" s="45"/>
    </row>
    <row r="98" spans="1:12" x14ac:dyDescent="0.25">
      <c r="A98" s="45"/>
      <c r="B98" s="45"/>
      <c r="C98" s="45"/>
      <c r="D98" s="45"/>
      <c r="E98" s="45"/>
      <c r="F98" s="45"/>
      <c r="G98" s="45"/>
      <c r="H98" s="45"/>
      <c r="I98" s="45"/>
      <c r="J98" s="45"/>
      <c r="K98" s="45"/>
      <c r="L98" s="45"/>
    </row>
    <row r="99" spans="1:12" x14ac:dyDescent="0.25">
      <c r="A99" s="45"/>
      <c r="B99" s="45"/>
      <c r="C99" s="45"/>
      <c r="D99" s="45"/>
      <c r="E99" s="45"/>
      <c r="F99" s="45"/>
      <c r="G99" s="45"/>
      <c r="H99" s="45"/>
      <c r="I99" s="45"/>
      <c r="J99" s="45"/>
      <c r="K99" s="45"/>
      <c r="L99" s="45"/>
    </row>
    <row r="100" spans="1:12" x14ac:dyDescent="0.25">
      <c r="A100" s="45"/>
      <c r="B100" s="45"/>
      <c r="C100" s="45"/>
      <c r="D100" s="45"/>
      <c r="E100" s="45"/>
      <c r="F100" s="45"/>
      <c r="G100" s="45"/>
      <c r="H100" s="45"/>
      <c r="I100" s="45"/>
      <c r="J100" s="45"/>
      <c r="K100" s="45"/>
      <c r="L100" s="45"/>
    </row>
    <row r="101" spans="1:12" x14ac:dyDescent="0.25">
      <c r="A101" s="45"/>
      <c r="B101" s="45"/>
      <c r="C101" s="45"/>
      <c r="D101" s="45"/>
      <c r="E101" s="45"/>
      <c r="F101" s="45"/>
      <c r="G101" s="45"/>
      <c r="H101" s="45"/>
      <c r="I101" s="45"/>
      <c r="J101" s="45"/>
      <c r="K101" s="45"/>
      <c r="L101" s="45"/>
    </row>
    <row r="102" spans="1:12" x14ac:dyDescent="0.25">
      <c r="A102" s="45"/>
      <c r="B102" s="45"/>
      <c r="C102" s="45"/>
      <c r="D102" s="45"/>
      <c r="E102" s="45"/>
      <c r="F102" s="45"/>
      <c r="G102" s="45"/>
      <c r="H102" s="45"/>
      <c r="I102" s="45"/>
      <c r="J102" s="45"/>
      <c r="K102" s="45"/>
      <c r="L102" s="45"/>
    </row>
    <row r="103" spans="1:12" x14ac:dyDescent="0.25">
      <c r="A103" s="45"/>
      <c r="B103" s="45"/>
      <c r="C103" s="45"/>
      <c r="D103" s="45"/>
      <c r="E103" s="45"/>
      <c r="F103" s="45"/>
      <c r="G103" s="45"/>
      <c r="H103" s="45"/>
      <c r="I103" s="45"/>
      <c r="J103" s="45"/>
      <c r="K103" s="45"/>
      <c r="L103" s="45"/>
    </row>
    <row r="104" spans="1:12" x14ac:dyDescent="0.25">
      <c r="A104" s="45"/>
      <c r="B104" s="45"/>
      <c r="C104" s="45"/>
      <c r="D104" s="45"/>
      <c r="E104" s="45"/>
      <c r="F104" s="45"/>
      <c r="G104" s="45"/>
      <c r="H104" s="45"/>
      <c r="I104" s="45"/>
      <c r="J104" s="45"/>
      <c r="K104" s="45"/>
      <c r="L104" s="45"/>
    </row>
    <row r="105" spans="1:12" x14ac:dyDescent="0.25">
      <c r="A105" s="45"/>
      <c r="B105" s="45"/>
      <c r="C105" s="45"/>
      <c r="D105" s="45"/>
      <c r="E105" s="45"/>
      <c r="F105" s="45"/>
      <c r="G105" s="45"/>
      <c r="H105" s="45"/>
      <c r="I105" s="45"/>
      <c r="J105" s="45"/>
      <c r="K105" s="45"/>
      <c r="L105" s="45"/>
    </row>
    <row r="106" spans="1:12" x14ac:dyDescent="0.25">
      <c r="A106" s="45"/>
      <c r="B106" s="45"/>
      <c r="C106" s="45"/>
      <c r="D106" s="45"/>
      <c r="E106" s="45"/>
      <c r="F106" s="45"/>
      <c r="G106" s="45"/>
      <c r="H106" s="45"/>
      <c r="I106" s="45"/>
      <c r="J106" s="45"/>
      <c r="K106" s="45"/>
      <c r="L106" s="45"/>
    </row>
    <row r="107" spans="1:12" x14ac:dyDescent="0.25">
      <c r="A107" s="45"/>
      <c r="B107" s="45"/>
      <c r="C107" s="45"/>
      <c r="D107" s="45"/>
      <c r="E107" s="45"/>
      <c r="F107" s="45"/>
      <c r="G107" s="45"/>
      <c r="H107" s="45"/>
      <c r="I107" s="45"/>
      <c r="J107" s="45"/>
      <c r="K107" s="45"/>
      <c r="L107" s="45"/>
    </row>
    <row r="108" spans="1:12" x14ac:dyDescent="0.25">
      <c r="A108" s="45"/>
      <c r="B108" s="45"/>
      <c r="C108" s="45"/>
      <c r="D108" s="45"/>
      <c r="E108" s="45"/>
      <c r="F108" s="45"/>
      <c r="G108" s="45"/>
      <c r="H108" s="45"/>
      <c r="I108" s="45"/>
      <c r="J108" s="45"/>
      <c r="K108" s="45"/>
      <c r="L108" s="45"/>
    </row>
    <row r="109" spans="1:12" x14ac:dyDescent="0.25">
      <c r="A109" s="45"/>
      <c r="B109" s="45"/>
      <c r="C109" s="45"/>
      <c r="D109" s="45"/>
      <c r="E109" s="45"/>
      <c r="F109" s="45"/>
      <c r="G109" s="45"/>
      <c r="H109" s="45"/>
      <c r="I109" s="45"/>
      <c r="J109" s="45"/>
      <c r="K109" s="45"/>
      <c r="L109" s="45"/>
    </row>
    <row r="110" spans="1:12" x14ac:dyDescent="0.25">
      <c r="A110" s="45"/>
      <c r="B110" s="45"/>
      <c r="C110" s="45"/>
      <c r="D110" s="45"/>
      <c r="E110" s="45"/>
      <c r="F110" s="45"/>
      <c r="G110" s="45"/>
      <c r="H110" s="45"/>
      <c r="I110" s="45"/>
      <c r="J110" s="45"/>
      <c r="K110" s="45"/>
      <c r="L110" s="45"/>
    </row>
    <row r="111" spans="1:12" x14ac:dyDescent="0.25">
      <c r="A111" s="45"/>
      <c r="B111" s="45"/>
      <c r="C111" s="45"/>
      <c r="D111" s="45"/>
      <c r="E111" s="45"/>
      <c r="F111" s="45"/>
      <c r="G111" s="45"/>
      <c r="H111" s="45"/>
      <c r="I111" s="45"/>
      <c r="J111" s="45"/>
      <c r="K111" s="45"/>
      <c r="L111" s="45"/>
    </row>
    <row r="112" spans="1:12" x14ac:dyDescent="0.25">
      <c r="A112" s="45"/>
      <c r="B112" s="45"/>
      <c r="C112" s="45"/>
      <c r="D112" s="45"/>
      <c r="E112" s="45"/>
      <c r="F112" s="45"/>
      <c r="G112" s="45"/>
      <c r="H112" s="45"/>
      <c r="I112" s="45"/>
      <c r="J112" s="45"/>
      <c r="K112" s="45"/>
      <c r="L112" s="45"/>
    </row>
    <row r="113" spans="1:12" x14ac:dyDescent="0.25">
      <c r="A113" s="45"/>
      <c r="B113" s="45"/>
      <c r="C113" s="45"/>
      <c r="D113" s="45"/>
      <c r="E113" s="45"/>
      <c r="F113" s="45"/>
      <c r="G113" s="45"/>
      <c r="H113" s="45"/>
      <c r="I113" s="45"/>
      <c r="J113" s="45"/>
      <c r="K113" s="45"/>
      <c r="L113" s="45"/>
    </row>
    <row r="114" spans="1:12" x14ac:dyDescent="0.25">
      <c r="A114" s="45"/>
      <c r="B114" s="45"/>
      <c r="C114" s="45"/>
      <c r="D114" s="45"/>
      <c r="E114" s="45"/>
      <c r="F114" s="45"/>
      <c r="G114" s="45"/>
      <c r="H114" s="45"/>
      <c r="I114" s="45"/>
      <c r="J114" s="45"/>
      <c r="K114" s="45"/>
      <c r="L114" s="45"/>
    </row>
    <row r="115" spans="1:12" x14ac:dyDescent="0.25">
      <c r="A115" s="45"/>
      <c r="B115" s="45"/>
      <c r="C115" s="45"/>
      <c r="D115" s="45"/>
      <c r="E115" s="45"/>
      <c r="F115" s="45"/>
      <c r="G115" s="45"/>
      <c r="H115" s="45"/>
      <c r="I115" s="45"/>
      <c r="J115" s="45"/>
      <c r="K115" s="45"/>
      <c r="L115" s="45"/>
    </row>
    <row r="116" spans="1:12" x14ac:dyDescent="0.25">
      <c r="A116" s="45"/>
      <c r="B116" s="45"/>
      <c r="C116" s="45"/>
      <c r="D116" s="45"/>
      <c r="E116" s="45"/>
      <c r="F116" s="45"/>
      <c r="G116" s="45"/>
      <c r="H116" s="45"/>
      <c r="I116" s="45"/>
      <c r="J116" s="45"/>
      <c r="K116" s="45"/>
      <c r="L116" s="45"/>
    </row>
    <row r="117" spans="1:12" x14ac:dyDescent="0.25">
      <c r="A117" s="45"/>
      <c r="B117" s="45"/>
      <c r="C117" s="45"/>
      <c r="D117" s="45"/>
      <c r="E117" s="45"/>
      <c r="F117" s="45"/>
      <c r="G117" s="45"/>
      <c r="H117" s="45"/>
      <c r="I117" s="45"/>
      <c r="J117" s="45"/>
      <c r="K117" s="45"/>
      <c r="L117" s="45"/>
    </row>
    <row r="118" spans="1:12" x14ac:dyDescent="0.25">
      <c r="A118" s="45"/>
      <c r="B118" s="45"/>
      <c r="C118" s="45"/>
      <c r="D118" s="45"/>
      <c r="E118" s="45"/>
      <c r="F118" s="45"/>
      <c r="G118" s="45"/>
      <c r="H118" s="45"/>
      <c r="I118" s="45"/>
      <c r="J118" s="45"/>
      <c r="K118" s="45"/>
      <c r="L118" s="45"/>
    </row>
    <row r="119" spans="1:12" x14ac:dyDescent="0.25">
      <c r="A119" s="45"/>
      <c r="B119" s="45"/>
      <c r="C119" s="45"/>
      <c r="D119" s="45"/>
      <c r="E119" s="45"/>
      <c r="F119" s="45"/>
      <c r="G119" s="45"/>
      <c r="H119" s="45"/>
      <c r="I119" s="45"/>
      <c r="J119" s="45"/>
      <c r="K119" s="45"/>
      <c r="L119" s="45"/>
    </row>
    <row r="120" spans="1:12" x14ac:dyDescent="0.25">
      <c r="A120" s="45"/>
      <c r="B120" s="45"/>
      <c r="C120" s="45"/>
      <c r="D120" s="45"/>
      <c r="E120" s="45"/>
      <c r="F120" s="45"/>
      <c r="G120" s="45"/>
      <c r="H120" s="45"/>
      <c r="I120" s="45"/>
      <c r="J120" s="45"/>
      <c r="K120" s="45"/>
      <c r="L120" s="45"/>
    </row>
    <row r="121" spans="1:12" x14ac:dyDescent="0.25">
      <c r="A121" s="45"/>
      <c r="B121" s="45"/>
      <c r="C121" s="45"/>
      <c r="D121" s="45"/>
      <c r="E121" s="45"/>
      <c r="F121" s="45"/>
      <c r="G121" s="45"/>
      <c r="H121" s="45"/>
      <c r="I121" s="45"/>
      <c r="J121" s="45"/>
      <c r="K121" s="45"/>
      <c r="L121" s="45"/>
    </row>
    <row r="122" spans="1:12" x14ac:dyDescent="0.25">
      <c r="A122" s="45"/>
      <c r="B122" s="45"/>
      <c r="C122" s="45"/>
      <c r="D122" s="45"/>
      <c r="E122" s="45"/>
      <c r="F122" s="45"/>
      <c r="G122" s="45"/>
      <c r="H122" s="45"/>
      <c r="I122" s="45"/>
      <c r="J122" s="45"/>
      <c r="K122" s="45"/>
      <c r="L122" s="45"/>
    </row>
    <row r="123" spans="1:12" x14ac:dyDescent="0.25">
      <c r="A123" s="45"/>
      <c r="B123" s="45"/>
      <c r="C123" s="45"/>
      <c r="D123" s="45"/>
      <c r="E123" s="45"/>
      <c r="F123" s="45"/>
      <c r="G123" s="45"/>
      <c r="H123" s="45"/>
      <c r="I123" s="45"/>
      <c r="J123" s="45"/>
      <c r="K123" s="45"/>
      <c r="L123" s="45"/>
    </row>
    <row r="124" spans="1:12" x14ac:dyDescent="0.25">
      <c r="A124" s="45"/>
      <c r="B124" s="45"/>
      <c r="C124" s="45"/>
      <c r="D124" s="45"/>
      <c r="E124" s="45"/>
      <c r="F124" s="45"/>
      <c r="G124" s="45"/>
      <c r="H124" s="45"/>
      <c r="I124" s="45"/>
      <c r="J124" s="45"/>
      <c r="K124" s="45"/>
      <c r="L124" s="45"/>
    </row>
    <row r="125" spans="1:12" x14ac:dyDescent="0.25">
      <c r="A125" s="45"/>
      <c r="B125" s="45"/>
      <c r="C125" s="45"/>
      <c r="D125" s="45"/>
      <c r="E125" s="45"/>
      <c r="F125" s="45"/>
      <c r="G125" s="45"/>
      <c r="H125" s="45"/>
      <c r="I125" s="45"/>
      <c r="J125" s="45"/>
      <c r="K125" s="45"/>
      <c r="L125" s="45"/>
    </row>
    <row r="126" spans="1:12" x14ac:dyDescent="0.25">
      <c r="A126" s="45"/>
      <c r="B126" s="45"/>
      <c r="C126" s="45"/>
      <c r="D126" s="45"/>
      <c r="E126" s="45"/>
      <c r="F126" s="45"/>
      <c r="G126" s="45"/>
      <c r="H126" s="45"/>
      <c r="I126" s="45"/>
      <c r="J126" s="45"/>
      <c r="K126" s="45"/>
      <c r="L126" s="45"/>
    </row>
    <row r="127" spans="1:12" x14ac:dyDescent="0.25">
      <c r="A127" s="45"/>
      <c r="B127" s="45"/>
      <c r="C127" s="45"/>
      <c r="D127" s="45"/>
      <c r="E127" s="45"/>
      <c r="F127" s="45"/>
      <c r="G127" s="45"/>
      <c r="H127" s="45"/>
      <c r="I127" s="45"/>
      <c r="J127" s="45"/>
      <c r="K127" s="45"/>
      <c r="L127" s="45"/>
    </row>
    <row r="128" spans="1:12" x14ac:dyDescent="0.25">
      <c r="A128" s="45"/>
      <c r="B128" s="45"/>
      <c r="C128" s="45"/>
      <c r="D128" s="45"/>
      <c r="E128" s="45"/>
      <c r="F128" s="45"/>
      <c r="G128" s="45"/>
      <c r="H128" s="45"/>
      <c r="I128" s="45"/>
      <c r="J128" s="45"/>
      <c r="K128" s="45"/>
      <c r="L128" s="45"/>
    </row>
    <row r="129" spans="1:12" x14ac:dyDescent="0.25">
      <c r="A129" s="45"/>
      <c r="B129" s="45"/>
      <c r="C129" s="45"/>
      <c r="D129" s="45"/>
      <c r="E129" s="45"/>
      <c r="F129" s="45"/>
      <c r="G129" s="45"/>
      <c r="H129" s="45"/>
      <c r="I129" s="45"/>
      <c r="J129" s="45"/>
      <c r="K129" s="45"/>
      <c r="L129" s="45"/>
    </row>
    <row r="130" spans="1:12" x14ac:dyDescent="0.25">
      <c r="A130" s="45"/>
      <c r="B130" s="45"/>
      <c r="C130" s="45"/>
      <c r="D130" s="45"/>
      <c r="E130" s="45"/>
      <c r="F130" s="45"/>
      <c r="G130" s="45"/>
      <c r="H130" s="45"/>
      <c r="I130" s="45"/>
      <c r="J130" s="45"/>
      <c r="K130" s="45"/>
      <c r="L130" s="45"/>
    </row>
    <row r="131" spans="1:12" x14ac:dyDescent="0.25">
      <c r="A131" s="45"/>
      <c r="B131" s="45"/>
      <c r="C131" s="45"/>
      <c r="D131" s="45"/>
      <c r="E131" s="45"/>
      <c r="F131" s="45"/>
      <c r="G131" s="45"/>
      <c r="H131" s="45"/>
      <c r="I131" s="45"/>
      <c r="J131" s="45"/>
      <c r="K131" s="45"/>
      <c r="L131" s="45"/>
    </row>
    <row r="132" spans="1:12" x14ac:dyDescent="0.25">
      <c r="A132" s="45"/>
      <c r="B132" s="45"/>
      <c r="C132" s="45"/>
      <c r="D132" s="45"/>
      <c r="E132" s="45"/>
      <c r="F132" s="45"/>
      <c r="G132" s="45"/>
      <c r="H132" s="45"/>
      <c r="I132" s="45"/>
      <c r="J132" s="45"/>
      <c r="K132" s="45"/>
      <c r="L132" s="45"/>
    </row>
    <row r="133" spans="1:12" x14ac:dyDescent="0.25">
      <c r="A133" s="45"/>
      <c r="B133" s="45"/>
      <c r="C133" s="45"/>
      <c r="D133" s="45"/>
      <c r="E133" s="45"/>
      <c r="F133" s="45"/>
      <c r="G133" s="45"/>
      <c r="H133" s="45"/>
      <c r="I133" s="45"/>
      <c r="J133" s="45"/>
      <c r="K133" s="45"/>
      <c r="L133" s="45"/>
    </row>
    <row r="134" spans="1:12" x14ac:dyDescent="0.25">
      <c r="A134" s="45"/>
      <c r="B134" s="45"/>
      <c r="C134" s="45"/>
      <c r="D134" s="45"/>
      <c r="E134" s="45"/>
      <c r="F134" s="45"/>
      <c r="G134" s="45"/>
      <c r="H134" s="45"/>
      <c r="I134" s="45"/>
      <c r="J134" s="45"/>
      <c r="K134" s="45"/>
      <c r="L134" s="45"/>
    </row>
    <row r="135" spans="1:12" x14ac:dyDescent="0.25">
      <c r="A135" s="45"/>
      <c r="B135" s="45"/>
      <c r="C135" s="45"/>
      <c r="D135" s="45"/>
      <c r="E135" s="45"/>
      <c r="F135" s="45"/>
      <c r="G135" s="45"/>
      <c r="H135" s="45"/>
      <c r="I135" s="45"/>
      <c r="J135" s="45"/>
      <c r="K135" s="45"/>
      <c r="L135" s="45"/>
    </row>
    <row r="136" spans="1:12" x14ac:dyDescent="0.25">
      <c r="A136" s="45"/>
      <c r="B136" s="45"/>
      <c r="C136" s="45"/>
      <c r="D136" s="45"/>
      <c r="E136" s="45"/>
      <c r="F136" s="45"/>
      <c r="G136" s="45"/>
      <c r="H136" s="45"/>
      <c r="I136" s="45"/>
      <c r="J136" s="45"/>
      <c r="K136" s="45"/>
      <c r="L136" s="45"/>
    </row>
    <row r="137" spans="1:12" x14ac:dyDescent="0.25">
      <c r="A137" s="45"/>
      <c r="B137" s="45"/>
      <c r="C137" s="45"/>
      <c r="D137" s="45"/>
      <c r="E137" s="45"/>
      <c r="F137" s="45"/>
      <c r="G137" s="45"/>
      <c r="H137" s="45"/>
      <c r="I137" s="45"/>
      <c r="J137" s="45"/>
      <c r="K137" s="45"/>
      <c r="L137" s="45"/>
    </row>
    <row r="138" spans="1:12" x14ac:dyDescent="0.25">
      <c r="A138" s="45"/>
      <c r="B138" s="45"/>
      <c r="C138" s="45"/>
      <c r="D138" s="45"/>
      <c r="E138" s="45"/>
      <c r="F138" s="45"/>
      <c r="G138" s="45"/>
      <c r="H138" s="45"/>
      <c r="I138" s="45"/>
      <c r="J138" s="45"/>
      <c r="K138" s="45"/>
      <c r="L138" s="45"/>
    </row>
    <row r="139" spans="1:12" x14ac:dyDescent="0.25">
      <c r="A139" s="45"/>
      <c r="B139" s="45"/>
      <c r="C139" s="45"/>
      <c r="D139" s="45"/>
      <c r="E139" s="45"/>
      <c r="F139" s="45"/>
      <c r="G139" s="45"/>
      <c r="H139" s="45"/>
      <c r="I139" s="45"/>
      <c r="J139" s="45"/>
      <c r="K139" s="45"/>
      <c r="L139" s="45"/>
    </row>
    <row r="140" spans="1:12" x14ac:dyDescent="0.25">
      <c r="A140" s="45"/>
      <c r="B140" s="45"/>
      <c r="C140" s="45"/>
      <c r="D140" s="45"/>
      <c r="E140" s="45"/>
      <c r="F140" s="45"/>
      <c r="G140" s="45"/>
      <c r="H140" s="45"/>
      <c r="I140" s="45"/>
      <c r="J140" s="45"/>
      <c r="K140" s="45"/>
      <c r="L140" s="45"/>
    </row>
    <row r="141" spans="1:12" x14ac:dyDescent="0.25">
      <c r="A141" s="45"/>
      <c r="B141" s="45"/>
      <c r="C141" s="45"/>
      <c r="D141" s="45"/>
      <c r="E141" s="45"/>
      <c r="F141" s="45"/>
      <c r="G141" s="45"/>
      <c r="H141" s="45"/>
      <c r="I141" s="45"/>
      <c r="J141" s="45"/>
      <c r="K141" s="45"/>
      <c r="L141" s="45"/>
    </row>
    <row r="142" spans="1:12" x14ac:dyDescent="0.25">
      <c r="A142" s="45"/>
      <c r="B142" s="45"/>
      <c r="C142" s="45"/>
      <c r="D142" s="45"/>
      <c r="E142" s="45"/>
      <c r="F142" s="45"/>
      <c r="G142" s="45"/>
      <c r="H142" s="45"/>
      <c r="I142" s="45"/>
      <c r="J142" s="45"/>
      <c r="K142" s="45"/>
      <c r="L142" s="45"/>
    </row>
    <row r="143" spans="1:12" x14ac:dyDescent="0.25">
      <c r="A143" s="45"/>
      <c r="B143" s="45"/>
      <c r="C143" s="45"/>
      <c r="D143" s="45"/>
      <c r="E143" s="45"/>
      <c r="F143" s="45"/>
      <c r="G143" s="45"/>
      <c r="H143" s="45"/>
      <c r="I143" s="45"/>
      <c r="J143" s="45"/>
      <c r="K143" s="45"/>
      <c r="L143" s="45"/>
    </row>
    <row r="144" spans="1:12" x14ac:dyDescent="0.25">
      <c r="A144" s="45"/>
      <c r="B144" s="45"/>
      <c r="C144" s="45"/>
      <c r="D144" s="45"/>
      <c r="E144" s="45"/>
      <c r="F144" s="45"/>
      <c r="G144" s="45"/>
      <c r="H144" s="45"/>
      <c r="I144" s="45"/>
      <c r="J144" s="45"/>
      <c r="K144" s="45"/>
      <c r="L144" s="45"/>
    </row>
    <row r="145" spans="1:12" x14ac:dyDescent="0.25">
      <c r="A145" s="45"/>
      <c r="B145" s="45"/>
      <c r="C145" s="45"/>
      <c r="D145" s="45"/>
      <c r="E145" s="45"/>
      <c r="F145" s="45"/>
      <c r="G145" s="45"/>
      <c r="H145" s="45"/>
      <c r="I145" s="45"/>
      <c r="J145" s="45"/>
      <c r="K145" s="45"/>
      <c r="L145" s="45"/>
    </row>
    <row r="146" spans="1:12" x14ac:dyDescent="0.25">
      <c r="A146" s="45"/>
      <c r="B146" s="45"/>
      <c r="C146" s="45"/>
      <c r="D146" s="45"/>
      <c r="E146" s="45"/>
      <c r="F146" s="45"/>
      <c r="G146" s="45"/>
      <c r="H146" s="45"/>
      <c r="I146" s="45"/>
      <c r="J146" s="45"/>
      <c r="K146" s="45"/>
      <c r="L146" s="45"/>
    </row>
    <row r="147" spans="1:12" x14ac:dyDescent="0.25">
      <c r="A147" s="45"/>
      <c r="B147" s="45"/>
      <c r="C147" s="45"/>
      <c r="D147" s="45"/>
      <c r="E147" s="45"/>
      <c r="F147" s="45"/>
      <c r="G147" s="45"/>
      <c r="H147" s="45"/>
      <c r="I147" s="45"/>
      <c r="J147" s="45"/>
      <c r="K147" s="45"/>
      <c r="L147" s="45"/>
    </row>
    <row r="148" spans="1:12" x14ac:dyDescent="0.25">
      <c r="A148" s="45"/>
      <c r="B148" s="45"/>
      <c r="C148" s="45"/>
      <c r="D148" s="45"/>
      <c r="E148" s="45"/>
      <c r="F148" s="45"/>
      <c r="G148" s="45"/>
      <c r="H148" s="45"/>
      <c r="I148" s="45"/>
      <c r="J148" s="45"/>
      <c r="K148" s="45"/>
      <c r="L148" s="45"/>
    </row>
    <row r="149" spans="1:12" x14ac:dyDescent="0.25">
      <c r="A149" s="45"/>
      <c r="B149" s="45"/>
      <c r="C149" s="45"/>
      <c r="D149" s="45"/>
      <c r="E149" s="45"/>
      <c r="F149" s="45"/>
      <c r="G149" s="45"/>
      <c r="H149" s="45"/>
      <c r="I149" s="45"/>
      <c r="J149" s="45"/>
      <c r="K149" s="45"/>
      <c r="L149" s="45"/>
    </row>
    <row r="150" spans="1:12" x14ac:dyDescent="0.25">
      <c r="A150" s="45"/>
      <c r="B150" s="45"/>
      <c r="C150" s="45"/>
      <c r="D150" s="45"/>
      <c r="E150" s="45"/>
      <c r="F150" s="45"/>
      <c r="G150" s="45"/>
      <c r="H150" s="45"/>
      <c r="I150" s="45"/>
      <c r="J150" s="45"/>
      <c r="K150" s="45"/>
      <c r="L150" s="45"/>
    </row>
    <row r="151" spans="1:12" x14ac:dyDescent="0.25">
      <c r="A151" s="45"/>
      <c r="B151" s="45"/>
      <c r="C151" s="45"/>
      <c r="D151" s="45"/>
      <c r="E151" s="45"/>
      <c r="F151" s="45"/>
      <c r="G151" s="45"/>
      <c r="H151" s="45"/>
      <c r="I151" s="45"/>
      <c r="J151" s="45"/>
      <c r="K151" s="45"/>
      <c r="L151" s="45"/>
    </row>
    <row r="152" spans="1:12" x14ac:dyDescent="0.25">
      <c r="A152" s="45"/>
      <c r="B152" s="45"/>
      <c r="C152" s="45"/>
      <c r="D152" s="45"/>
      <c r="E152" s="45"/>
      <c r="F152" s="45"/>
      <c r="G152" s="45"/>
      <c r="H152" s="45"/>
      <c r="I152" s="45"/>
      <c r="J152" s="45"/>
      <c r="K152" s="45"/>
      <c r="L152" s="45"/>
    </row>
    <row r="153" spans="1:12" x14ac:dyDescent="0.25">
      <c r="A153" s="45"/>
      <c r="B153" s="45"/>
      <c r="C153" s="45"/>
      <c r="D153" s="45"/>
      <c r="E153" s="45"/>
      <c r="F153" s="45"/>
      <c r="G153" s="45"/>
      <c r="H153" s="45"/>
      <c r="I153" s="45"/>
      <c r="J153" s="45"/>
      <c r="K153" s="45"/>
      <c r="L153" s="45"/>
    </row>
    <row r="154" spans="1:12" x14ac:dyDescent="0.25">
      <c r="A154" s="45"/>
      <c r="B154" s="45"/>
      <c r="C154" s="45"/>
      <c r="D154" s="45"/>
      <c r="E154" s="45"/>
      <c r="F154" s="45"/>
      <c r="G154" s="45"/>
      <c r="H154" s="45"/>
      <c r="I154" s="45"/>
      <c r="J154" s="45"/>
      <c r="K154" s="45"/>
      <c r="L154" s="45"/>
    </row>
    <row r="155" spans="1:12" x14ac:dyDescent="0.25">
      <c r="A155" s="45"/>
      <c r="B155" s="45"/>
      <c r="C155" s="45"/>
      <c r="D155" s="45"/>
      <c r="E155" s="45"/>
      <c r="F155" s="45"/>
      <c r="G155" s="45"/>
      <c r="H155" s="45"/>
      <c r="I155" s="45"/>
      <c r="J155" s="45"/>
      <c r="K155" s="45"/>
      <c r="L155" s="45"/>
    </row>
    <row r="156" spans="1:12" x14ac:dyDescent="0.25">
      <c r="A156" s="45"/>
      <c r="B156" s="45"/>
      <c r="C156" s="45"/>
      <c r="D156" s="45"/>
      <c r="E156" s="45"/>
      <c r="F156" s="45"/>
      <c r="G156" s="45"/>
      <c r="H156" s="45"/>
      <c r="I156" s="45"/>
      <c r="J156" s="45"/>
      <c r="K156" s="45"/>
      <c r="L156" s="45"/>
    </row>
    <row r="157" spans="1:12" x14ac:dyDescent="0.25">
      <c r="A157" s="45"/>
      <c r="B157" s="45"/>
      <c r="C157" s="45"/>
      <c r="D157" s="45"/>
      <c r="E157" s="45"/>
      <c r="F157" s="45"/>
      <c r="G157" s="45"/>
      <c r="H157" s="45"/>
      <c r="I157" s="45"/>
      <c r="J157" s="45"/>
      <c r="K157" s="45"/>
      <c r="L157" s="45"/>
    </row>
    <row r="158" spans="1:12" x14ac:dyDescent="0.25">
      <c r="A158" s="45"/>
      <c r="B158" s="45"/>
      <c r="C158" s="45"/>
      <c r="D158" s="45"/>
      <c r="E158" s="45"/>
      <c r="F158" s="45"/>
      <c r="G158" s="45"/>
      <c r="H158" s="45"/>
      <c r="I158" s="45"/>
      <c r="J158" s="45"/>
      <c r="K158" s="45"/>
      <c r="L158" s="45"/>
    </row>
    <row r="159" spans="1:12" x14ac:dyDescent="0.25">
      <c r="A159" s="45"/>
      <c r="B159" s="45"/>
      <c r="C159" s="45"/>
      <c r="D159" s="45"/>
      <c r="E159" s="45"/>
      <c r="F159" s="45"/>
      <c r="G159" s="45"/>
      <c r="H159" s="45"/>
      <c r="I159" s="45"/>
      <c r="J159" s="45"/>
      <c r="K159" s="45"/>
      <c r="L159" s="45"/>
    </row>
    <row r="160" spans="1:12" x14ac:dyDescent="0.25">
      <c r="A160" s="45"/>
      <c r="B160" s="45"/>
      <c r="C160" s="45"/>
      <c r="D160" s="45"/>
      <c r="E160" s="45"/>
      <c r="F160" s="45"/>
      <c r="G160" s="45"/>
      <c r="H160" s="45"/>
      <c r="I160" s="45"/>
      <c r="J160" s="45"/>
      <c r="K160" s="45"/>
      <c r="L160" s="45"/>
    </row>
    <row r="161" spans="1:12" x14ac:dyDescent="0.25">
      <c r="A161" s="45"/>
      <c r="B161" s="45"/>
      <c r="C161" s="45"/>
      <c r="D161" s="45"/>
      <c r="E161" s="45"/>
      <c r="F161" s="45"/>
      <c r="G161" s="45"/>
      <c r="H161" s="45"/>
      <c r="I161" s="45"/>
      <c r="J161" s="45"/>
      <c r="K161" s="45"/>
      <c r="L161" s="45"/>
    </row>
    <row r="162" spans="1:12" x14ac:dyDescent="0.25">
      <c r="A162" s="45"/>
      <c r="B162" s="45"/>
      <c r="C162" s="45"/>
      <c r="D162" s="45"/>
      <c r="E162" s="45"/>
      <c r="F162" s="45"/>
      <c r="G162" s="45"/>
      <c r="H162" s="45"/>
      <c r="I162" s="45"/>
      <c r="J162" s="45"/>
      <c r="K162" s="45"/>
      <c r="L162" s="45"/>
    </row>
    <row r="163" spans="1:12" x14ac:dyDescent="0.25">
      <c r="A163" s="45"/>
      <c r="B163" s="45"/>
      <c r="C163" s="45"/>
      <c r="D163" s="45"/>
      <c r="E163" s="45"/>
      <c r="F163" s="45"/>
      <c r="G163" s="45"/>
      <c r="H163" s="45"/>
      <c r="I163" s="45"/>
      <c r="J163" s="45"/>
      <c r="K163" s="45"/>
      <c r="L163" s="45"/>
    </row>
    <row r="164" spans="1:12" x14ac:dyDescent="0.25">
      <c r="A164" s="45"/>
      <c r="B164" s="45"/>
      <c r="C164" s="45"/>
      <c r="D164" s="45"/>
      <c r="E164" s="45"/>
      <c r="F164" s="45"/>
      <c r="G164" s="45"/>
      <c r="H164" s="45"/>
      <c r="I164" s="45"/>
      <c r="J164" s="45"/>
      <c r="K164" s="45"/>
      <c r="L164" s="45"/>
    </row>
    <row r="165" spans="1:12" x14ac:dyDescent="0.25">
      <c r="A165" s="45"/>
      <c r="B165" s="45"/>
      <c r="C165" s="45"/>
      <c r="D165" s="45"/>
      <c r="E165" s="45"/>
      <c r="F165" s="45"/>
      <c r="G165" s="45"/>
      <c r="H165" s="45"/>
      <c r="I165" s="45"/>
      <c r="J165" s="45"/>
      <c r="K165" s="45"/>
      <c r="L165" s="45"/>
    </row>
    <row r="166" spans="1:12" x14ac:dyDescent="0.25">
      <c r="A166" s="45"/>
      <c r="B166" s="45"/>
      <c r="C166" s="45"/>
      <c r="D166" s="45"/>
      <c r="E166" s="45"/>
      <c r="F166" s="45"/>
      <c r="G166" s="45"/>
      <c r="H166" s="45"/>
      <c r="I166" s="45"/>
      <c r="J166" s="45"/>
      <c r="K166" s="45"/>
      <c r="L166" s="45"/>
    </row>
    <row r="167" spans="1:12" x14ac:dyDescent="0.25">
      <c r="A167" s="45"/>
      <c r="B167" s="45"/>
      <c r="C167" s="45"/>
      <c r="D167" s="45"/>
      <c r="E167" s="45"/>
      <c r="F167" s="45"/>
      <c r="G167" s="45"/>
      <c r="H167" s="45"/>
      <c r="I167" s="45"/>
      <c r="J167" s="45"/>
      <c r="K167" s="45"/>
      <c r="L167" s="45"/>
    </row>
    <row r="168" spans="1:12" x14ac:dyDescent="0.25">
      <c r="A168" s="45"/>
      <c r="B168" s="45"/>
      <c r="C168" s="45"/>
      <c r="D168" s="45"/>
      <c r="E168" s="45"/>
      <c r="F168" s="45"/>
      <c r="G168" s="45"/>
      <c r="H168" s="45"/>
      <c r="I168" s="45"/>
      <c r="J168" s="45"/>
      <c r="K168" s="45"/>
      <c r="L168" s="45"/>
    </row>
    <row r="169" spans="1:12" x14ac:dyDescent="0.25">
      <c r="A169" s="45"/>
      <c r="B169" s="45"/>
      <c r="C169" s="45"/>
      <c r="D169" s="45"/>
      <c r="E169" s="45"/>
      <c r="F169" s="45"/>
      <c r="G169" s="45"/>
      <c r="H169" s="45"/>
      <c r="I169" s="45"/>
      <c r="J169" s="45"/>
      <c r="K169" s="45"/>
      <c r="L169" s="45"/>
    </row>
    <row r="170" spans="1:12" x14ac:dyDescent="0.25">
      <c r="A170" s="45"/>
      <c r="B170" s="45"/>
      <c r="C170" s="45"/>
      <c r="D170" s="45"/>
      <c r="E170" s="45"/>
      <c r="F170" s="45"/>
      <c r="G170" s="45"/>
      <c r="H170" s="45"/>
      <c r="I170" s="45"/>
      <c r="J170" s="45"/>
      <c r="K170" s="45"/>
      <c r="L170" s="45"/>
    </row>
    <row r="171" spans="1:12" x14ac:dyDescent="0.25">
      <c r="A171" s="45"/>
      <c r="B171" s="45"/>
      <c r="C171" s="45"/>
      <c r="D171" s="45"/>
      <c r="E171" s="45"/>
      <c r="F171" s="45"/>
      <c r="G171" s="45"/>
      <c r="H171" s="45"/>
      <c r="I171" s="45"/>
      <c r="J171" s="45"/>
      <c r="K171" s="45"/>
      <c r="L171" s="45"/>
    </row>
    <row r="172" spans="1:12" x14ac:dyDescent="0.25">
      <c r="A172" s="45"/>
      <c r="B172" s="45"/>
      <c r="C172" s="45"/>
      <c r="D172" s="45"/>
      <c r="E172" s="45"/>
      <c r="F172" s="45"/>
      <c r="G172" s="45"/>
      <c r="H172" s="45"/>
      <c r="I172" s="45"/>
      <c r="J172" s="45"/>
      <c r="K172" s="45"/>
      <c r="L172" s="45"/>
    </row>
    <row r="173" spans="1:12" x14ac:dyDescent="0.25">
      <c r="A173" s="45"/>
      <c r="B173" s="45"/>
      <c r="C173" s="45"/>
      <c r="D173" s="45"/>
      <c r="E173" s="45"/>
      <c r="F173" s="45"/>
      <c r="G173" s="45"/>
      <c r="H173" s="45"/>
      <c r="I173" s="45"/>
      <c r="J173" s="45"/>
      <c r="K173" s="45"/>
      <c r="L173" s="45"/>
    </row>
    <row r="174" spans="1:12" x14ac:dyDescent="0.25">
      <c r="A174" s="45"/>
      <c r="B174" s="45"/>
      <c r="C174" s="45"/>
      <c r="D174" s="45"/>
      <c r="E174" s="45"/>
      <c r="F174" s="45"/>
      <c r="G174" s="45"/>
      <c r="H174" s="45"/>
      <c r="I174" s="45"/>
      <c r="J174" s="45"/>
      <c r="K174" s="45"/>
      <c r="L174" s="45"/>
    </row>
    <row r="175" spans="1:12" x14ac:dyDescent="0.25">
      <c r="A175" s="45"/>
      <c r="B175" s="45"/>
      <c r="C175" s="45"/>
      <c r="D175" s="45"/>
      <c r="E175" s="45"/>
      <c r="F175" s="45"/>
      <c r="G175" s="45"/>
      <c r="H175" s="45"/>
      <c r="I175" s="45"/>
      <c r="J175" s="45"/>
      <c r="K175" s="45"/>
      <c r="L175" s="45"/>
    </row>
    <row r="176" spans="1:12" x14ac:dyDescent="0.25">
      <c r="A176" s="45"/>
      <c r="B176" s="45"/>
      <c r="C176" s="45"/>
      <c r="D176" s="45"/>
      <c r="E176" s="45"/>
      <c r="F176" s="45"/>
      <c r="G176" s="45"/>
      <c r="H176" s="45"/>
      <c r="I176" s="45"/>
      <c r="J176" s="45"/>
      <c r="K176" s="45"/>
      <c r="L176" s="45"/>
    </row>
    <row r="177" spans="1:12" x14ac:dyDescent="0.25">
      <c r="A177" s="45"/>
      <c r="B177" s="45"/>
      <c r="C177" s="45"/>
      <c r="D177" s="45"/>
      <c r="E177" s="45"/>
      <c r="F177" s="45"/>
      <c r="G177" s="45"/>
      <c r="H177" s="45"/>
      <c r="I177" s="45"/>
      <c r="J177" s="45"/>
      <c r="K177" s="45"/>
      <c r="L177" s="45"/>
    </row>
    <row r="178" spans="1:12" x14ac:dyDescent="0.25">
      <c r="A178" s="45"/>
      <c r="B178" s="45"/>
      <c r="C178" s="45"/>
      <c r="D178" s="45"/>
      <c r="E178" s="45"/>
      <c r="F178" s="45"/>
      <c r="G178" s="45"/>
      <c r="H178" s="45"/>
      <c r="I178" s="45"/>
      <c r="J178" s="45"/>
      <c r="K178" s="45"/>
      <c r="L178" s="45"/>
    </row>
    <row r="179" spans="1:12" x14ac:dyDescent="0.25">
      <c r="A179" s="45"/>
      <c r="B179" s="45"/>
      <c r="C179" s="45"/>
      <c r="D179" s="45"/>
      <c r="E179" s="45"/>
      <c r="F179" s="45"/>
      <c r="G179" s="45"/>
      <c r="H179" s="45"/>
      <c r="I179" s="45"/>
      <c r="J179" s="45"/>
      <c r="K179" s="45"/>
      <c r="L179" s="45"/>
    </row>
    <row r="180" spans="1:12" x14ac:dyDescent="0.25">
      <c r="A180" s="45"/>
      <c r="B180" s="45"/>
      <c r="C180" s="45"/>
      <c r="D180" s="45"/>
      <c r="E180" s="45"/>
      <c r="F180" s="45"/>
      <c r="G180" s="45"/>
      <c r="H180" s="45"/>
      <c r="I180" s="45"/>
      <c r="J180" s="45"/>
      <c r="K180" s="45"/>
      <c r="L180" s="45"/>
    </row>
    <row r="181" spans="1:12" x14ac:dyDescent="0.25">
      <c r="A181" s="45"/>
      <c r="B181" s="45"/>
      <c r="C181" s="45"/>
      <c r="D181" s="45"/>
      <c r="E181" s="45"/>
      <c r="F181" s="45"/>
      <c r="G181" s="45"/>
      <c r="H181" s="45"/>
      <c r="I181" s="45"/>
      <c r="J181" s="45"/>
      <c r="K181" s="45"/>
      <c r="L181" s="45"/>
    </row>
    <row r="182" spans="1:12" x14ac:dyDescent="0.25">
      <c r="A182" s="45"/>
      <c r="B182" s="45"/>
      <c r="C182" s="45"/>
      <c r="D182" s="45"/>
      <c r="E182" s="45"/>
      <c r="F182" s="45"/>
      <c r="G182" s="45"/>
      <c r="H182" s="45"/>
      <c r="I182" s="45"/>
      <c r="J182" s="45"/>
      <c r="K182" s="45"/>
      <c r="L182" s="45"/>
    </row>
    <row r="183" spans="1:12" x14ac:dyDescent="0.25">
      <c r="A183" s="45"/>
      <c r="B183" s="45"/>
      <c r="C183" s="45"/>
      <c r="D183" s="45"/>
      <c r="E183" s="45"/>
      <c r="F183" s="45"/>
      <c r="G183" s="45"/>
      <c r="H183" s="45"/>
      <c r="I183" s="45"/>
      <c r="J183" s="45"/>
      <c r="K183" s="45"/>
      <c r="L183" s="45"/>
    </row>
    <row r="184" spans="1:12" x14ac:dyDescent="0.25">
      <c r="A184" s="45"/>
      <c r="B184" s="45"/>
      <c r="C184" s="45"/>
      <c r="D184" s="45"/>
      <c r="E184" s="45"/>
      <c r="F184" s="45"/>
      <c r="G184" s="45"/>
      <c r="H184" s="45"/>
      <c r="I184" s="45"/>
      <c r="J184" s="45"/>
      <c r="K184" s="45"/>
      <c r="L184" s="45"/>
    </row>
    <row r="185" spans="1:12" x14ac:dyDescent="0.25">
      <c r="A185" s="45"/>
      <c r="B185" s="45"/>
      <c r="C185" s="45"/>
      <c r="D185" s="45"/>
      <c r="E185" s="45"/>
      <c r="F185" s="45"/>
      <c r="G185" s="45"/>
      <c r="H185" s="45"/>
      <c r="I185" s="45"/>
      <c r="J185" s="45"/>
      <c r="K185" s="45"/>
      <c r="L185" s="45"/>
    </row>
    <row r="186" spans="1:12" x14ac:dyDescent="0.25">
      <c r="A186" s="45"/>
      <c r="B186" s="45"/>
      <c r="C186" s="45"/>
      <c r="D186" s="45"/>
      <c r="E186" s="45"/>
      <c r="F186" s="45"/>
      <c r="G186" s="45"/>
      <c r="H186" s="45"/>
      <c r="I186" s="45"/>
      <c r="J186" s="45"/>
      <c r="K186" s="45"/>
      <c r="L186" s="45"/>
    </row>
    <row r="187" spans="1:12" x14ac:dyDescent="0.25">
      <c r="A187" s="45"/>
      <c r="B187" s="45"/>
      <c r="C187" s="45"/>
      <c r="D187" s="45"/>
      <c r="E187" s="45"/>
      <c r="F187" s="45"/>
      <c r="G187" s="45"/>
      <c r="H187" s="45"/>
      <c r="I187" s="45"/>
      <c r="J187" s="45"/>
      <c r="K187" s="45"/>
      <c r="L187" s="45"/>
    </row>
    <row r="188" spans="1:12" x14ac:dyDescent="0.25">
      <c r="A188" s="45"/>
      <c r="B188" s="45"/>
      <c r="C188" s="45"/>
      <c r="D188" s="45"/>
      <c r="E188" s="45"/>
      <c r="F188" s="45"/>
      <c r="G188" s="45"/>
      <c r="H188" s="45"/>
      <c r="I188" s="45"/>
      <c r="J188" s="45"/>
      <c r="K188" s="45"/>
      <c r="L188" s="45"/>
    </row>
    <row r="189" spans="1:12" x14ac:dyDescent="0.25">
      <c r="A189" s="45"/>
      <c r="B189" s="45"/>
      <c r="C189" s="45"/>
      <c r="D189" s="45"/>
      <c r="E189" s="45"/>
      <c r="F189" s="45"/>
      <c r="G189" s="45"/>
      <c r="H189" s="45"/>
      <c r="I189" s="45"/>
      <c r="J189" s="45"/>
      <c r="K189" s="45"/>
      <c r="L189" s="45"/>
    </row>
    <row r="190" spans="1:12" x14ac:dyDescent="0.25">
      <c r="A190" s="45"/>
      <c r="B190" s="45"/>
      <c r="C190" s="45"/>
      <c r="D190" s="45"/>
      <c r="E190" s="45"/>
      <c r="F190" s="45"/>
      <c r="G190" s="45"/>
      <c r="H190" s="45"/>
      <c r="I190" s="45"/>
      <c r="J190" s="45"/>
      <c r="K190" s="45"/>
      <c r="L190" s="45"/>
    </row>
    <row r="191" spans="1:12" x14ac:dyDescent="0.25">
      <c r="A191" s="45"/>
      <c r="B191" s="45"/>
      <c r="C191" s="45"/>
      <c r="D191" s="45"/>
      <c r="E191" s="45"/>
      <c r="F191" s="45"/>
      <c r="G191" s="45"/>
      <c r="H191" s="45"/>
      <c r="I191" s="45"/>
      <c r="J191" s="45"/>
      <c r="K191" s="45"/>
      <c r="L191" s="45"/>
    </row>
    <row r="192" spans="1:12" x14ac:dyDescent="0.25">
      <c r="A192" s="45"/>
      <c r="B192" s="45"/>
      <c r="C192" s="45"/>
      <c r="D192" s="45"/>
      <c r="E192" s="45"/>
      <c r="F192" s="45"/>
      <c r="G192" s="45"/>
      <c r="H192" s="45"/>
      <c r="I192" s="45"/>
      <c r="J192" s="45"/>
      <c r="K192" s="45"/>
      <c r="L192" s="45"/>
    </row>
    <row r="193" spans="1:12" x14ac:dyDescent="0.25">
      <c r="A193" s="45"/>
      <c r="B193" s="45"/>
      <c r="C193" s="45"/>
      <c r="D193" s="45"/>
      <c r="E193" s="45"/>
      <c r="F193" s="45"/>
      <c r="G193" s="45"/>
      <c r="H193" s="45"/>
      <c r="I193" s="45"/>
      <c r="J193" s="45"/>
      <c r="K193" s="45"/>
      <c r="L193" s="45"/>
    </row>
    <row r="194" spans="1:12" x14ac:dyDescent="0.25">
      <c r="A194" s="45"/>
      <c r="B194" s="45"/>
      <c r="C194" s="45"/>
      <c r="D194" s="45"/>
      <c r="E194" s="45"/>
      <c r="F194" s="45"/>
      <c r="G194" s="45"/>
      <c r="H194" s="45"/>
      <c r="I194" s="45"/>
      <c r="J194" s="45"/>
      <c r="K194" s="45"/>
      <c r="L194" s="45"/>
    </row>
    <row r="195" spans="1:12" x14ac:dyDescent="0.25">
      <c r="A195" s="45"/>
      <c r="B195" s="45"/>
      <c r="C195" s="45"/>
      <c r="D195" s="45"/>
      <c r="E195" s="45"/>
      <c r="F195" s="45"/>
      <c r="G195" s="45"/>
      <c r="H195" s="45"/>
      <c r="I195" s="45"/>
      <c r="J195" s="45"/>
      <c r="K195" s="45"/>
      <c r="L195" s="45"/>
    </row>
    <row r="196" spans="1:12" x14ac:dyDescent="0.25">
      <c r="A196" s="45"/>
      <c r="B196" s="45"/>
      <c r="C196" s="45"/>
      <c r="D196" s="45"/>
      <c r="E196" s="45"/>
      <c r="F196" s="45"/>
      <c r="G196" s="45"/>
      <c r="H196" s="45"/>
      <c r="I196" s="45"/>
      <c r="J196" s="45"/>
      <c r="K196" s="45"/>
      <c r="L196" s="45"/>
    </row>
    <row r="197" spans="1:12" x14ac:dyDescent="0.25">
      <c r="A197" s="45"/>
      <c r="B197" s="45"/>
      <c r="C197" s="45"/>
      <c r="D197" s="45"/>
      <c r="E197" s="45"/>
      <c r="F197" s="45"/>
      <c r="G197" s="45"/>
      <c r="H197" s="45"/>
      <c r="I197" s="45"/>
      <c r="J197" s="45"/>
      <c r="K197" s="45"/>
      <c r="L197" s="45"/>
    </row>
    <row r="198" spans="1:12" x14ac:dyDescent="0.25">
      <c r="A198" s="45"/>
      <c r="B198" s="45"/>
      <c r="C198" s="45"/>
      <c r="D198" s="45"/>
      <c r="E198" s="45"/>
      <c r="F198" s="45"/>
      <c r="G198" s="45"/>
      <c r="H198" s="45"/>
      <c r="I198" s="45"/>
      <c r="J198" s="45"/>
      <c r="K198" s="45"/>
      <c r="L198" s="45"/>
    </row>
    <row r="199" spans="1:12" x14ac:dyDescent="0.25">
      <c r="A199" s="45"/>
      <c r="B199" s="45"/>
      <c r="C199" s="45"/>
      <c r="D199" s="45"/>
      <c r="E199" s="45"/>
      <c r="F199" s="45"/>
      <c r="G199" s="45"/>
      <c r="H199" s="45"/>
      <c r="I199" s="45"/>
      <c r="J199" s="45"/>
      <c r="K199" s="45"/>
      <c r="L199" s="45"/>
    </row>
    <row r="200" spans="1:12" x14ac:dyDescent="0.25">
      <c r="A200" s="45"/>
      <c r="B200" s="45"/>
      <c r="C200" s="45"/>
      <c r="D200" s="45"/>
      <c r="E200" s="45"/>
      <c r="F200" s="45"/>
      <c r="G200" s="45"/>
      <c r="H200" s="45"/>
      <c r="I200" s="45"/>
      <c r="J200" s="45"/>
      <c r="K200" s="45"/>
      <c r="L200" s="45"/>
    </row>
    <row r="201" spans="1:12" x14ac:dyDescent="0.25">
      <c r="A201" s="45"/>
      <c r="B201" s="45"/>
      <c r="C201" s="45"/>
      <c r="D201" s="45"/>
      <c r="E201" s="45"/>
      <c r="F201" s="45"/>
      <c r="G201" s="45"/>
      <c r="H201" s="45"/>
      <c r="I201" s="45"/>
      <c r="J201" s="45"/>
      <c r="K201" s="45"/>
      <c r="L201" s="45"/>
    </row>
    <row r="202" spans="1:12" x14ac:dyDescent="0.25">
      <c r="A202" s="45"/>
      <c r="B202" s="45"/>
      <c r="C202" s="45"/>
      <c r="D202" s="45"/>
      <c r="E202" s="45"/>
      <c r="F202" s="45"/>
      <c r="G202" s="45"/>
      <c r="H202" s="45"/>
      <c r="I202" s="45"/>
      <c r="J202" s="45"/>
      <c r="K202" s="45"/>
      <c r="L202" s="45"/>
    </row>
    <row r="203" spans="1:12" x14ac:dyDescent="0.25">
      <c r="A203" s="45"/>
      <c r="B203" s="45"/>
      <c r="C203" s="45"/>
      <c r="D203" s="45"/>
      <c r="E203" s="45"/>
      <c r="F203" s="45"/>
      <c r="G203" s="45"/>
      <c r="H203" s="45"/>
      <c r="I203" s="45"/>
      <c r="J203" s="45"/>
      <c r="K203" s="45"/>
      <c r="L203" s="45"/>
    </row>
    <row r="204" spans="1:12" x14ac:dyDescent="0.25">
      <c r="A204" s="45"/>
      <c r="B204" s="45"/>
      <c r="C204" s="45"/>
      <c r="D204" s="45"/>
      <c r="E204" s="45"/>
      <c r="F204" s="45"/>
      <c r="G204" s="45"/>
      <c r="H204" s="45"/>
      <c r="I204" s="45"/>
      <c r="J204" s="45"/>
      <c r="K204" s="45"/>
      <c r="L204" s="45"/>
    </row>
    <row r="205" spans="1:12" x14ac:dyDescent="0.25">
      <c r="A205" s="45"/>
      <c r="B205" s="45"/>
      <c r="C205" s="45"/>
      <c r="D205" s="45"/>
      <c r="E205" s="45"/>
      <c r="F205" s="45"/>
      <c r="G205" s="45"/>
      <c r="H205" s="45"/>
      <c r="I205" s="45"/>
      <c r="J205" s="45"/>
      <c r="K205" s="45"/>
      <c r="L205" s="45"/>
    </row>
    <row r="206" spans="1:12" x14ac:dyDescent="0.25">
      <c r="A206" s="45"/>
      <c r="B206" s="45"/>
      <c r="C206" s="45"/>
      <c r="D206" s="45"/>
      <c r="E206" s="45"/>
      <c r="F206" s="45"/>
      <c r="G206" s="45"/>
      <c r="H206" s="45"/>
      <c r="I206" s="45"/>
      <c r="J206" s="45"/>
      <c r="K206" s="45"/>
      <c r="L206" s="45"/>
    </row>
    <row r="207" spans="1:12" x14ac:dyDescent="0.25">
      <c r="A207" s="45"/>
      <c r="B207" s="45"/>
      <c r="C207" s="45"/>
      <c r="D207" s="45"/>
      <c r="E207" s="45"/>
      <c r="F207" s="45"/>
      <c r="G207" s="45"/>
      <c r="H207" s="45"/>
      <c r="I207" s="45"/>
      <c r="J207" s="45"/>
      <c r="K207" s="45"/>
      <c r="L207" s="45"/>
    </row>
    <row r="208" spans="1:12" x14ac:dyDescent="0.25">
      <c r="A208" s="45"/>
      <c r="B208" s="45"/>
      <c r="C208" s="45"/>
      <c r="D208" s="45"/>
      <c r="E208" s="45"/>
      <c r="F208" s="45"/>
      <c r="G208" s="45"/>
      <c r="H208" s="45"/>
      <c r="I208" s="45"/>
      <c r="J208" s="45"/>
      <c r="K208" s="45"/>
      <c r="L208" s="45"/>
    </row>
    <row r="209" spans="1:12" x14ac:dyDescent="0.25">
      <c r="A209" s="45"/>
      <c r="B209" s="45"/>
      <c r="C209" s="45"/>
      <c r="D209" s="45"/>
      <c r="E209" s="45"/>
      <c r="F209" s="45"/>
      <c r="G209" s="45"/>
      <c r="H209" s="45"/>
      <c r="I209" s="45"/>
      <c r="J209" s="45"/>
      <c r="K209" s="45"/>
      <c r="L209" s="45"/>
    </row>
    <row r="210" spans="1:12" x14ac:dyDescent="0.25">
      <c r="A210" s="45"/>
      <c r="B210" s="45"/>
      <c r="C210" s="45"/>
      <c r="D210" s="45"/>
      <c r="E210" s="45"/>
      <c r="F210" s="45"/>
      <c r="G210" s="45"/>
      <c r="H210" s="45"/>
      <c r="I210" s="45"/>
      <c r="J210" s="45"/>
      <c r="K210" s="45"/>
      <c r="L210" s="45"/>
    </row>
    <row r="211" spans="1:12" x14ac:dyDescent="0.25">
      <c r="A211" s="45"/>
      <c r="B211" s="45"/>
      <c r="C211" s="45"/>
      <c r="D211" s="45"/>
      <c r="E211" s="45"/>
      <c r="F211" s="45"/>
      <c r="G211" s="45"/>
      <c r="H211" s="45"/>
      <c r="I211" s="45"/>
      <c r="J211" s="45"/>
      <c r="K211" s="45"/>
      <c r="L211" s="45"/>
    </row>
    <row r="212" spans="1:12" x14ac:dyDescent="0.25">
      <c r="A212" s="45"/>
      <c r="B212" s="45"/>
      <c r="C212" s="45"/>
      <c r="D212" s="45"/>
      <c r="E212" s="45"/>
      <c r="F212" s="45"/>
      <c r="G212" s="45"/>
      <c r="H212" s="45"/>
      <c r="I212" s="45"/>
      <c r="J212" s="45"/>
      <c r="K212" s="45"/>
      <c r="L212" s="45"/>
    </row>
    <row r="213" spans="1:12" x14ac:dyDescent="0.25">
      <c r="A213" s="45"/>
      <c r="B213" s="45"/>
      <c r="C213" s="45"/>
      <c r="D213" s="45"/>
      <c r="E213" s="45"/>
      <c r="F213" s="45"/>
      <c r="G213" s="45"/>
      <c r="H213" s="45"/>
      <c r="I213" s="45"/>
      <c r="J213" s="45"/>
      <c r="K213" s="45"/>
      <c r="L213" s="45"/>
    </row>
    <row r="214" spans="1:12" x14ac:dyDescent="0.25">
      <c r="A214" s="45"/>
      <c r="B214" s="45"/>
      <c r="C214" s="45"/>
      <c r="D214" s="45"/>
      <c r="E214" s="45"/>
      <c r="F214" s="45"/>
      <c r="G214" s="45"/>
      <c r="H214" s="45"/>
      <c r="I214" s="45"/>
      <c r="J214" s="45"/>
      <c r="K214" s="45"/>
      <c r="L214" s="45"/>
    </row>
    <row r="215" spans="1:12" x14ac:dyDescent="0.25">
      <c r="A215" s="45"/>
      <c r="B215" s="45"/>
      <c r="C215" s="45"/>
      <c r="D215" s="45"/>
      <c r="E215" s="45"/>
      <c r="F215" s="45"/>
      <c r="G215" s="45"/>
      <c r="H215" s="45"/>
      <c r="I215" s="45"/>
      <c r="J215" s="45"/>
      <c r="K215" s="45"/>
      <c r="L215" s="45"/>
    </row>
    <row r="216" spans="1:12" x14ac:dyDescent="0.25">
      <c r="A216" s="45"/>
      <c r="B216" s="45"/>
      <c r="C216" s="45"/>
      <c r="D216" s="45"/>
      <c r="E216" s="45"/>
      <c r="F216" s="45"/>
      <c r="G216" s="45"/>
      <c r="H216" s="45"/>
      <c r="I216" s="45"/>
      <c r="J216" s="45"/>
      <c r="K216" s="45"/>
      <c r="L216" s="45"/>
    </row>
    <row r="217" spans="1:12" x14ac:dyDescent="0.25">
      <c r="A217" s="45"/>
      <c r="B217" s="45"/>
      <c r="C217" s="45"/>
      <c r="D217" s="45"/>
      <c r="E217" s="45"/>
      <c r="F217" s="45"/>
      <c r="G217" s="45"/>
      <c r="H217" s="45"/>
      <c r="I217" s="45"/>
      <c r="J217" s="45"/>
      <c r="K217" s="45"/>
      <c r="L217" s="45"/>
    </row>
    <row r="218" spans="1:12" x14ac:dyDescent="0.25">
      <c r="D218" s="45"/>
      <c r="E218" s="45"/>
      <c r="F218" s="45"/>
      <c r="G218" s="45"/>
      <c r="H218" s="45"/>
      <c r="I218" s="45"/>
      <c r="J218" s="45"/>
      <c r="K218" s="45"/>
      <c r="L218" s="45"/>
    </row>
    <row r="219" spans="1:12" x14ac:dyDescent="0.25">
      <c r="D219" s="45"/>
      <c r="E219" s="45"/>
      <c r="F219" s="45"/>
      <c r="G219" s="45"/>
      <c r="H219" s="45"/>
      <c r="I219" s="45"/>
      <c r="J219" s="45"/>
      <c r="K219" s="45"/>
      <c r="L219" s="45"/>
    </row>
  </sheetData>
  <mergeCells count="2">
    <mergeCell ref="D1:E1"/>
    <mergeCell ref="B2:E2"/>
  </mergeCells>
  <phoneticPr fontId="2" type="noConversion"/>
  <pageMargins left="0.75" right="0.44" top="0.74" bottom="1" header="0.5" footer="0.5"/>
  <pageSetup scale="8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zoomScaleNormal="100" workbookViewId="0">
      <pane xSplit="2" ySplit="6" topLeftCell="C7" activePane="bottomRight" state="frozen"/>
      <selection activeCell="A10" sqref="A10"/>
      <selection pane="topRight" activeCell="A10" sqref="A10"/>
      <selection pane="bottomLeft" activeCell="A10" sqref="A10"/>
      <selection pane="bottomRight" activeCell="A10" sqref="A10"/>
    </sheetView>
  </sheetViews>
  <sheetFormatPr defaultColWidth="10.6640625" defaultRowHeight="13.2" x14ac:dyDescent="0.25"/>
  <cols>
    <col min="1" max="1" width="28.44140625" style="1" customWidth="1"/>
    <col min="2" max="2" width="14.33203125" style="1" customWidth="1"/>
    <col min="3" max="3" width="10.88671875" style="1" bestFit="1" customWidth="1"/>
    <col min="4" max="4" width="10.6640625" style="1" customWidth="1"/>
    <col min="5" max="5" width="11.33203125" style="1" bestFit="1" customWidth="1"/>
    <col min="6" max="6" width="12.109375" style="1" customWidth="1"/>
    <col min="7" max="7" width="12.109375" style="1" bestFit="1" customWidth="1"/>
    <col min="8" max="16384" width="10.6640625" style="1"/>
  </cols>
  <sheetData>
    <row r="1" spans="1:7" x14ac:dyDescent="0.25">
      <c r="A1" s="274"/>
      <c r="B1" s="274"/>
      <c r="C1" s="274"/>
      <c r="D1" s="274"/>
      <c r="E1" s="274"/>
    </row>
    <row r="2" spans="1:7" ht="22.8" x14ac:dyDescent="0.25">
      <c r="A2" s="321"/>
      <c r="B2" s="270"/>
      <c r="D2" s="322"/>
      <c r="E2" s="47"/>
      <c r="F2" s="322"/>
    </row>
    <row r="3" spans="1:7" ht="22.8" x14ac:dyDescent="0.25">
      <c r="A3" s="321"/>
      <c r="B3" s="270"/>
      <c r="D3" s="322"/>
      <c r="E3" s="322"/>
      <c r="F3" s="322"/>
    </row>
    <row r="4" spans="1:7" ht="20.399999999999999" x14ac:dyDescent="0.25">
      <c r="B4" s="270"/>
      <c r="D4" s="322"/>
      <c r="E4" s="322"/>
      <c r="F4" s="322"/>
    </row>
    <row r="5" spans="1:7" ht="20.399999999999999" x14ac:dyDescent="0.3">
      <c r="A5" s="1188" t="s">
        <v>231</v>
      </c>
      <c r="B5" s="270"/>
      <c r="C5" s="1181" t="s">
        <v>885</v>
      </c>
      <c r="D5" s="1182"/>
      <c r="E5" s="1182"/>
      <c r="F5" s="1182"/>
      <c r="G5" s="13"/>
    </row>
    <row r="6" spans="1:7" ht="20.399999999999999" x14ac:dyDescent="0.25">
      <c r="B6" s="270"/>
      <c r="C6" s="1187" t="s">
        <v>576</v>
      </c>
      <c r="D6" s="322"/>
      <c r="E6" s="322"/>
      <c r="F6" s="322"/>
    </row>
    <row r="7" spans="1:7" ht="20.399999999999999" x14ac:dyDescent="0.25">
      <c r="B7" s="270"/>
      <c r="C7" s="324"/>
      <c r="D7" s="322"/>
      <c r="E7" s="322"/>
      <c r="F7" s="322"/>
    </row>
    <row r="8" spans="1:7" x14ac:dyDescent="0.25">
      <c r="A8" s="233" t="s">
        <v>313</v>
      </c>
      <c r="B8" s="233"/>
      <c r="C8" s="233" t="s">
        <v>577</v>
      </c>
      <c r="D8" s="233"/>
      <c r="E8" s="233" t="s">
        <v>578</v>
      </c>
      <c r="F8" s="233"/>
      <c r="G8" s="233" t="s">
        <v>289</v>
      </c>
    </row>
    <row r="9" spans="1:7" x14ac:dyDescent="0.25">
      <c r="A9" s="235" t="s">
        <v>579</v>
      </c>
      <c r="B9" s="233"/>
      <c r="C9" s="235" t="s">
        <v>580</v>
      </c>
      <c r="D9" s="233"/>
      <c r="E9" s="235" t="s">
        <v>580</v>
      </c>
      <c r="F9" s="233"/>
      <c r="G9" s="235" t="s">
        <v>580</v>
      </c>
    </row>
    <row r="11" spans="1:7" ht="13.5" customHeight="1" x14ac:dyDescent="0.25">
      <c r="A11" s="328">
        <v>37530</v>
      </c>
      <c r="C11" s="1">
        <v>3.54</v>
      </c>
      <c r="E11" s="28">
        <v>0.94391999999999965</v>
      </c>
      <c r="G11" s="28">
        <v>0.91140999999999983</v>
      </c>
    </row>
    <row r="12" spans="1:7" x14ac:dyDescent="0.25">
      <c r="A12" s="328">
        <v>37895</v>
      </c>
      <c r="C12" s="1">
        <v>3.71</v>
      </c>
      <c r="E12" s="28">
        <v>1.0725699999999996</v>
      </c>
      <c r="G12" s="28">
        <v>1.0400599999999998</v>
      </c>
    </row>
    <row r="13" spans="1:7" ht="15" customHeight="1" x14ac:dyDescent="0.25"/>
    <row r="14" spans="1:7" ht="26.4" x14ac:dyDescent="0.25">
      <c r="A14" s="326" t="s">
        <v>571</v>
      </c>
      <c r="C14" s="327" t="s">
        <v>280</v>
      </c>
      <c r="E14" s="326" t="s">
        <v>281</v>
      </c>
    </row>
    <row r="15" spans="1:7" ht="13.8" x14ac:dyDescent="0.25">
      <c r="C15" s="272"/>
      <c r="E15" s="272"/>
    </row>
    <row r="16" spans="1:7" x14ac:dyDescent="0.25">
      <c r="A16" s="328">
        <v>38169</v>
      </c>
      <c r="C16" s="329">
        <v>2</v>
      </c>
      <c r="E16" s="330">
        <v>1.1661447132052181</v>
      </c>
    </row>
    <row r="17" spans="1:6" x14ac:dyDescent="0.25">
      <c r="A17" s="328">
        <v>38292</v>
      </c>
      <c r="C17" s="329">
        <v>2</v>
      </c>
      <c r="E17" s="330">
        <v>1.3627501337103838</v>
      </c>
    </row>
    <row r="18" spans="1:6" x14ac:dyDescent="0.25">
      <c r="A18" s="328">
        <v>38626</v>
      </c>
      <c r="C18" s="329">
        <v>2</v>
      </c>
      <c r="E18" s="330">
        <v>1.5024359350567711</v>
      </c>
      <c r="F18" s="331"/>
    </row>
    <row r="19" spans="1:6" x14ac:dyDescent="0.25">
      <c r="A19" s="328">
        <v>39022</v>
      </c>
      <c r="C19" s="329">
        <v>2</v>
      </c>
      <c r="E19" s="330">
        <v>1.5422</v>
      </c>
    </row>
    <row r="20" spans="1:6" x14ac:dyDescent="0.25">
      <c r="A20" s="328">
        <v>39387</v>
      </c>
      <c r="C20" s="329">
        <v>2</v>
      </c>
      <c r="E20" s="330">
        <v>1.4117200000000001</v>
      </c>
    </row>
    <row r="21" spans="1:6" ht="12" customHeight="1" x14ac:dyDescent="0.25">
      <c r="A21" s="328">
        <v>39753</v>
      </c>
      <c r="B21" s="19" t="s">
        <v>768</v>
      </c>
      <c r="C21" s="329">
        <v>2</v>
      </c>
      <c r="E21" s="330">
        <v>1.6635899999999997</v>
      </c>
    </row>
    <row r="22" spans="1:6" ht="12" customHeight="1" x14ac:dyDescent="0.25">
      <c r="A22" s="328"/>
      <c r="B22" s="19" t="s">
        <v>740</v>
      </c>
      <c r="C22" s="329">
        <v>2</v>
      </c>
      <c r="E22" s="330">
        <v>1.6635500000000001</v>
      </c>
    </row>
    <row r="23" spans="1:6" ht="12" customHeight="1" x14ac:dyDescent="0.25">
      <c r="A23" s="328"/>
      <c r="C23" s="329"/>
      <c r="E23" s="330"/>
    </row>
    <row r="24" spans="1:6" x14ac:dyDescent="0.25">
      <c r="A24" s="328">
        <f>+'Index &amp; Documentation'!D1</f>
        <v>39814</v>
      </c>
      <c r="B24" s="19" t="s">
        <v>768</v>
      </c>
      <c r="C24" s="335">
        <v>3.47</v>
      </c>
      <c r="E24" s="330">
        <v>1.66307</v>
      </c>
    </row>
    <row r="25" spans="1:6" x14ac:dyDescent="0.25">
      <c r="B25" s="19" t="s">
        <v>740</v>
      </c>
      <c r="C25" s="29">
        <f>+C24</f>
        <v>3.47</v>
      </c>
      <c r="E25" s="330">
        <v>1.66405</v>
      </c>
    </row>
    <row r="26" spans="1:6" x14ac:dyDescent="0.25">
      <c r="B26" s="19"/>
      <c r="C26" s="29"/>
      <c r="E26" s="330"/>
    </row>
    <row r="27" spans="1:6" x14ac:dyDescent="0.25">
      <c r="A27" s="328">
        <v>40118</v>
      </c>
      <c r="B27" s="19" t="s">
        <v>768</v>
      </c>
      <c r="C27" s="335">
        <v>3.47</v>
      </c>
      <c r="E27" s="330">
        <v>1.33602</v>
      </c>
    </row>
    <row r="28" spans="1:6" x14ac:dyDescent="0.25">
      <c r="B28" s="19" t="s">
        <v>740</v>
      </c>
      <c r="C28" s="29">
        <f>+C27</f>
        <v>3.47</v>
      </c>
      <c r="E28" s="330">
        <v>1.33487</v>
      </c>
    </row>
    <row r="29" spans="1:6" x14ac:dyDescent="0.25">
      <c r="B29" s="19"/>
      <c r="C29" s="29"/>
      <c r="E29" s="330"/>
    </row>
    <row r="30" spans="1:6" x14ac:dyDescent="0.25">
      <c r="A30" s="328">
        <v>40483</v>
      </c>
      <c r="B30" s="19" t="s">
        <v>768</v>
      </c>
      <c r="C30" s="29">
        <v>3.47</v>
      </c>
      <c r="E30" s="330">
        <v>1.3331300000000001</v>
      </c>
    </row>
    <row r="31" spans="1:6" x14ac:dyDescent="0.25">
      <c r="B31" s="19" t="s">
        <v>740</v>
      </c>
      <c r="C31" s="29">
        <v>3.47</v>
      </c>
      <c r="E31" s="330">
        <v>1.3224</v>
      </c>
    </row>
    <row r="32" spans="1:6" x14ac:dyDescent="0.25">
      <c r="B32" s="19"/>
      <c r="C32" s="29"/>
      <c r="E32" s="330"/>
    </row>
    <row r="33" spans="1:5" x14ac:dyDescent="0.25">
      <c r="A33" s="328">
        <v>40848</v>
      </c>
      <c r="B33" s="19" t="s">
        <v>768</v>
      </c>
      <c r="C33" s="29">
        <v>3.47</v>
      </c>
      <c r="E33" s="330">
        <v>1.2985599999999999</v>
      </c>
    </row>
    <row r="34" spans="1:5" x14ac:dyDescent="0.25">
      <c r="B34" s="19" t="s">
        <v>740</v>
      </c>
      <c r="C34" s="29">
        <v>3.47</v>
      </c>
      <c r="E34" s="330">
        <v>1.2919799999999999</v>
      </c>
    </row>
    <row r="36" spans="1:5" x14ac:dyDescent="0.25">
      <c r="A36" s="328">
        <v>41214</v>
      </c>
      <c r="B36" s="19" t="s">
        <v>768</v>
      </c>
      <c r="C36" s="29">
        <v>3.47</v>
      </c>
      <c r="E36" s="330">
        <v>1.2159199999999999</v>
      </c>
    </row>
    <row r="37" spans="1:5" x14ac:dyDescent="0.25">
      <c r="B37" s="19" t="s">
        <v>740</v>
      </c>
      <c r="C37" s="29">
        <v>3.47</v>
      </c>
      <c r="E37" s="330">
        <v>1.2061099999999998</v>
      </c>
    </row>
    <row r="38" spans="1:5" x14ac:dyDescent="0.25">
      <c r="B38" s="19"/>
      <c r="C38" s="29"/>
      <c r="E38" s="330"/>
    </row>
    <row r="39" spans="1:5" x14ac:dyDescent="0.25">
      <c r="A39" s="1136">
        <v>41579</v>
      </c>
      <c r="B39" s="19" t="s">
        <v>768</v>
      </c>
      <c r="C39" s="335">
        <v>3.47</v>
      </c>
      <c r="E39" s="330">
        <v>1.2328699999999999</v>
      </c>
    </row>
    <row r="40" spans="1:5" x14ac:dyDescent="0.25">
      <c r="B40" s="19" t="s">
        <v>740</v>
      </c>
      <c r="C40" s="29">
        <f>+C39</f>
        <v>3.47</v>
      </c>
      <c r="E40" s="330">
        <v>1.22363</v>
      </c>
    </row>
    <row r="42" spans="1:5" x14ac:dyDescent="0.25">
      <c r="A42" s="328">
        <v>41944</v>
      </c>
      <c r="B42" s="19" t="s">
        <v>768</v>
      </c>
      <c r="C42" s="335">
        <v>3.47</v>
      </c>
      <c r="E42" s="330">
        <v>1.29732</v>
      </c>
    </row>
    <row r="43" spans="1:5" x14ac:dyDescent="0.25">
      <c r="B43" s="19" t="s">
        <v>740</v>
      </c>
      <c r="C43" s="29">
        <v>3.47</v>
      </c>
      <c r="E43" s="330">
        <v>1.2888599999999997</v>
      </c>
    </row>
    <row r="44" spans="1:5" x14ac:dyDescent="0.25">
      <c r="B44" s="19"/>
      <c r="C44" s="29"/>
      <c r="E44" s="330"/>
    </row>
    <row r="45" spans="1:5" x14ac:dyDescent="0.25">
      <c r="A45" s="328">
        <v>42309</v>
      </c>
      <c r="B45" s="19" t="s">
        <v>768</v>
      </c>
      <c r="C45" s="335">
        <v>3.47</v>
      </c>
      <c r="E45" s="330">
        <v>1.1344799999999999</v>
      </c>
    </row>
    <row r="46" spans="1:5" x14ac:dyDescent="0.25">
      <c r="B46" s="19" t="s">
        <v>740</v>
      </c>
      <c r="C46" s="29">
        <v>3.47</v>
      </c>
      <c r="E46" s="330">
        <v>1.1272499999999996</v>
      </c>
    </row>
    <row r="48" spans="1:5" x14ac:dyDescent="0.25">
      <c r="A48" s="328">
        <v>42675</v>
      </c>
      <c r="B48" s="19" t="s">
        <v>768</v>
      </c>
      <c r="C48" s="335">
        <v>3.47</v>
      </c>
      <c r="E48" s="330">
        <v>1.1234799999999998</v>
      </c>
    </row>
    <row r="49" spans="1:5" x14ac:dyDescent="0.25">
      <c r="B49" s="19" t="s">
        <v>740</v>
      </c>
      <c r="C49" s="29">
        <v>3.47</v>
      </c>
      <c r="E49" s="330">
        <v>1.1149199999999997</v>
      </c>
    </row>
    <row r="51" spans="1:5" x14ac:dyDescent="0.25">
      <c r="A51" s="328">
        <v>43040</v>
      </c>
      <c r="B51" s="19" t="s">
        <v>768</v>
      </c>
      <c r="C51" s="335">
        <v>3.47</v>
      </c>
      <c r="E51" s="330">
        <v>1.0934399999999997</v>
      </c>
    </row>
    <row r="52" spans="1:5" x14ac:dyDescent="0.25">
      <c r="B52" s="19" t="s">
        <v>740</v>
      </c>
      <c r="C52" s="29">
        <v>3.47</v>
      </c>
      <c r="E52" s="330">
        <v>1.0842299999999996</v>
      </c>
    </row>
    <row r="53" spans="1:5" x14ac:dyDescent="0.25">
      <c r="B53" s="19"/>
      <c r="C53" s="29"/>
      <c r="E53" s="330"/>
    </row>
    <row r="54" spans="1:5" x14ac:dyDescent="0.25">
      <c r="A54" s="328">
        <v>43405</v>
      </c>
      <c r="B54" s="19" t="s">
        <v>768</v>
      </c>
      <c r="C54" s="29">
        <v>3.47</v>
      </c>
      <c r="E54" s="28">
        <v>1.02918</v>
      </c>
    </row>
    <row r="55" spans="1:5" x14ac:dyDescent="0.25">
      <c r="B55" s="19" t="s">
        <v>740</v>
      </c>
      <c r="C55" s="1727">
        <v>3.47</v>
      </c>
      <c r="E55" s="28">
        <v>1.0187299999999997</v>
      </c>
    </row>
    <row r="57" spans="1:5" x14ac:dyDescent="0.25">
      <c r="A57" s="328">
        <f>+EFFDATE</f>
        <v>43770</v>
      </c>
      <c r="B57" s="19" t="s">
        <v>768</v>
      </c>
      <c r="C57" s="335">
        <v>3.47</v>
      </c>
      <c r="E57" s="330">
        <f>'Rates in detail'!$V$13</f>
        <v>1.0801199999999995</v>
      </c>
    </row>
    <row r="58" spans="1:5" x14ac:dyDescent="0.25">
      <c r="B58" s="19" t="s">
        <v>740</v>
      </c>
      <c r="C58" s="29">
        <f>+C57</f>
        <v>3.47</v>
      </c>
      <c r="E58" s="330">
        <f>'Rates in detail'!$V$14</f>
        <v>1.0665999999999995</v>
      </c>
    </row>
  </sheetData>
  <phoneticPr fontId="12" type="noConversion"/>
  <pageMargins left="0.71" right="0.41" top="0.78" bottom="1" header="0.5" footer="0.5"/>
  <pageSetup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topLeftCell="A10" zoomScaleNormal="100" workbookViewId="0">
      <selection activeCell="A10" sqref="A10"/>
    </sheetView>
  </sheetViews>
  <sheetFormatPr defaultColWidth="10.6640625" defaultRowHeight="13.2" x14ac:dyDescent="0.25"/>
  <cols>
    <col min="1" max="1" width="23.6640625" style="1" bestFit="1" customWidth="1"/>
    <col min="2" max="16384" width="10.6640625" style="1"/>
  </cols>
  <sheetData>
    <row r="1" spans="1:10" x14ac:dyDescent="0.25">
      <c r="A1" s="274"/>
      <c r="B1" s="274"/>
      <c r="C1" s="274"/>
      <c r="D1" s="274"/>
      <c r="E1" s="274"/>
      <c r="F1" s="274"/>
    </row>
    <row r="2" spans="1:10" ht="22.8" x14ac:dyDescent="0.25">
      <c r="A2" s="321"/>
      <c r="B2" s="270"/>
      <c r="E2" s="322"/>
      <c r="F2" s="47"/>
      <c r="G2" s="322"/>
      <c r="H2" s="322"/>
    </row>
    <row r="3" spans="1:10" ht="15" customHeight="1" x14ac:dyDescent="0.25">
      <c r="A3" s="321"/>
      <c r="B3" s="270"/>
      <c r="E3" s="322"/>
      <c r="F3" s="322"/>
      <c r="G3" s="322"/>
      <c r="H3" s="322"/>
    </row>
    <row r="4" spans="1:10" ht="20.399999999999999" x14ac:dyDescent="0.25">
      <c r="B4" s="270"/>
      <c r="E4" s="322"/>
      <c r="F4" s="322"/>
      <c r="G4" s="322"/>
      <c r="H4" s="322"/>
    </row>
    <row r="5" spans="1:10" ht="20.399999999999999" x14ac:dyDescent="0.3">
      <c r="A5" s="1188" t="s">
        <v>231</v>
      </c>
      <c r="B5" s="270"/>
      <c r="D5" s="1189" t="s">
        <v>886</v>
      </c>
      <c r="E5" s="1190"/>
      <c r="F5" s="1190"/>
      <c r="G5" s="1190"/>
      <c r="H5" s="1190"/>
      <c r="I5" s="1191"/>
      <c r="J5" s="1191"/>
    </row>
    <row r="6" spans="1:10" ht="20.399999999999999" x14ac:dyDescent="0.25">
      <c r="A6" s="323"/>
      <c r="B6" s="270"/>
      <c r="D6" s="1192" t="s">
        <v>576</v>
      </c>
      <c r="E6" s="1190"/>
      <c r="F6" s="1190"/>
      <c r="G6" s="1190"/>
      <c r="H6" s="1190"/>
      <c r="I6" s="1191"/>
    </row>
    <row r="7" spans="1:10" ht="20.399999999999999" x14ac:dyDescent="0.25">
      <c r="A7" s="323"/>
      <c r="B7" s="270"/>
      <c r="D7" s="324"/>
      <c r="E7" s="322"/>
      <c r="F7" s="322"/>
      <c r="G7" s="322"/>
      <c r="H7" s="322"/>
    </row>
    <row r="10" spans="1:10" ht="12.6" customHeight="1" x14ac:dyDescent="0.25">
      <c r="A10" s="233" t="s">
        <v>313</v>
      </c>
      <c r="B10" s="233"/>
      <c r="C10" s="233" t="s">
        <v>293</v>
      </c>
      <c r="D10" s="233"/>
      <c r="E10" s="233" t="s">
        <v>581</v>
      </c>
      <c r="F10" s="233"/>
      <c r="G10" s="233" t="s">
        <v>298</v>
      </c>
      <c r="H10" s="332"/>
      <c r="J10" s="333"/>
    </row>
    <row r="11" spans="1:10" ht="12.6" customHeight="1" x14ac:dyDescent="0.25">
      <c r="A11" s="235" t="s">
        <v>579</v>
      </c>
      <c r="B11" s="233"/>
      <c r="C11" s="235" t="s">
        <v>198</v>
      </c>
      <c r="D11" s="233"/>
      <c r="E11" s="235" t="s">
        <v>582</v>
      </c>
      <c r="F11" s="233"/>
      <c r="G11" s="235" t="s">
        <v>583</v>
      </c>
      <c r="H11" s="332"/>
    </row>
    <row r="12" spans="1:10" ht="12.6" customHeight="1" x14ac:dyDescent="0.25">
      <c r="A12" s="334"/>
      <c r="B12" s="233"/>
      <c r="C12" s="335"/>
      <c r="D12" s="233"/>
      <c r="E12" s="240"/>
      <c r="F12" s="233"/>
      <c r="G12" s="240"/>
      <c r="H12" s="332"/>
    </row>
    <row r="13" spans="1:10" x14ac:dyDescent="0.25">
      <c r="A13" s="328">
        <v>37530</v>
      </c>
      <c r="B13" s="45"/>
      <c r="C13" s="335">
        <v>4.25</v>
      </c>
      <c r="D13" s="335"/>
      <c r="E13" s="336">
        <v>0.75163999999999986</v>
      </c>
      <c r="F13" s="335"/>
      <c r="G13" s="336">
        <v>0.70379999999999998</v>
      </c>
    </row>
    <row r="14" spans="1:10" x14ac:dyDescent="0.25">
      <c r="A14" s="328">
        <v>37895</v>
      </c>
      <c r="B14" s="45"/>
      <c r="C14" s="335">
        <v>4.25</v>
      </c>
      <c r="D14" s="335"/>
      <c r="E14" s="336">
        <v>0.87938999999999989</v>
      </c>
      <c r="F14" s="335"/>
      <c r="G14" s="336">
        <v>0.83155000000000001</v>
      </c>
    </row>
    <row r="17" spans="1:8" ht="26.4" x14ac:dyDescent="0.25">
      <c r="A17" s="326" t="s">
        <v>571</v>
      </c>
      <c r="C17" s="327" t="s">
        <v>280</v>
      </c>
      <c r="E17" s="326" t="s">
        <v>281</v>
      </c>
      <c r="F17" s="337"/>
    </row>
    <row r="18" spans="1:8" ht="13.8" x14ac:dyDescent="0.25">
      <c r="C18" s="272"/>
      <c r="E18" s="272"/>
      <c r="F18" s="338"/>
    </row>
    <row r="19" spans="1:8" x14ac:dyDescent="0.25">
      <c r="A19" s="1689">
        <v>38169</v>
      </c>
      <c r="C19" s="329">
        <v>5</v>
      </c>
      <c r="E19" s="330">
        <v>0.89075471320521804</v>
      </c>
      <c r="F19" s="330"/>
      <c r="H19" s="1317"/>
    </row>
    <row r="20" spans="1:8" x14ac:dyDescent="0.25">
      <c r="A20" s="1689">
        <v>38292</v>
      </c>
      <c r="C20" s="329">
        <v>5</v>
      </c>
      <c r="E20" s="330">
        <v>1.07988</v>
      </c>
      <c r="F20" s="330"/>
      <c r="H20" s="1317"/>
    </row>
    <row r="21" spans="1:8" x14ac:dyDescent="0.25">
      <c r="A21" s="1689">
        <v>38626</v>
      </c>
      <c r="C21" s="329">
        <v>5</v>
      </c>
      <c r="E21" s="330">
        <v>1.2188459350567711</v>
      </c>
      <c r="H21" s="1317"/>
    </row>
    <row r="22" spans="1:8" x14ac:dyDescent="0.25">
      <c r="A22" s="1689">
        <v>39022</v>
      </c>
      <c r="C22" s="329">
        <v>5</v>
      </c>
      <c r="E22" s="330">
        <v>1.25851</v>
      </c>
      <c r="H22" s="1317"/>
    </row>
    <row r="23" spans="1:8" x14ac:dyDescent="0.25">
      <c r="A23" s="1689">
        <v>39387</v>
      </c>
      <c r="C23" s="329">
        <v>5</v>
      </c>
      <c r="E23" s="330">
        <v>1.1280300000000001</v>
      </c>
      <c r="H23" s="1317"/>
    </row>
    <row r="24" spans="1:8" x14ac:dyDescent="0.25">
      <c r="A24" s="1689">
        <v>39753</v>
      </c>
      <c r="C24" s="329">
        <v>5</v>
      </c>
      <c r="E24" s="330">
        <v>1.3798199999999996</v>
      </c>
      <c r="H24" s="1317"/>
    </row>
    <row r="25" spans="1:8" x14ac:dyDescent="0.25">
      <c r="A25" s="1689">
        <f>+'Index &amp; Documentation'!D1</f>
        <v>39814</v>
      </c>
      <c r="C25" s="329">
        <v>7</v>
      </c>
      <c r="E25" s="330">
        <v>1.39618</v>
      </c>
      <c r="H25" s="1317"/>
    </row>
    <row r="26" spans="1:8" x14ac:dyDescent="0.25">
      <c r="A26" s="1689">
        <v>40118</v>
      </c>
      <c r="C26" s="345">
        <v>7</v>
      </c>
      <c r="E26" s="630">
        <v>1.0648299999999999</v>
      </c>
      <c r="H26" s="1317"/>
    </row>
    <row r="27" spans="1:8" x14ac:dyDescent="0.25">
      <c r="A27" s="1689">
        <v>40483</v>
      </c>
      <c r="C27" s="345">
        <v>7</v>
      </c>
      <c r="E27" s="630">
        <v>1.0438299999999996</v>
      </c>
      <c r="H27" s="1317"/>
    </row>
    <row r="28" spans="1:8" x14ac:dyDescent="0.25">
      <c r="A28" s="1689">
        <v>40848</v>
      </c>
      <c r="C28" s="345">
        <v>7</v>
      </c>
      <c r="E28" s="630">
        <v>1.0177599999999996</v>
      </c>
      <c r="H28" s="1317"/>
    </row>
    <row r="29" spans="1:8" x14ac:dyDescent="0.25">
      <c r="A29" s="1689">
        <v>41214</v>
      </c>
      <c r="C29" s="345">
        <v>7</v>
      </c>
      <c r="E29" s="630">
        <v>0.9302199999999996</v>
      </c>
      <c r="H29" s="1317"/>
    </row>
    <row r="30" spans="1:8" x14ac:dyDescent="0.25">
      <c r="A30" s="1689">
        <v>41579</v>
      </c>
      <c r="C30" s="345">
        <v>7</v>
      </c>
      <c r="E30" s="630">
        <v>0.94642999999999999</v>
      </c>
      <c r="H30" s="1317"/>
    </row>
    <row r="31" spans="1:8" x14ac:dyDescent="0.25">
      <c r="A31" s="1689">
        <v>41944</v>
      </c>
      <c r="C31" s="345">
        <v>7</v>
      </c>
      <c r="E31" s="630">
        <v>1.0105699999999997</v>
      </c>
    </row>
    <row r="32" spans="1:8" x14ac:dyDescent="0.25">
      <c r="A32" s="1689">
        <v>42309</v>
      </c>
      <c r="C32" s="345">
        <v>7</v>
      </c>
      <c r="E32" s="630">
        <v>0.84732999999999969</v>
      </c>
    </row>
    <row r="33" spans="1:7" x14ac:dyDescent="0.25">
      <c r="A33" s="1689">
        <v>42675</v>
      </c>
      <c r="C33" s="345">
        <v>7</v>
      </c>
      <c r="E33" s="630">
        <v>0.83246999999999971</v>
      </c>
    </row>
    <row r="34" spans="1:7" x14ac:dyDescent="0.25">
      <c r="A34" s="1689">
        <v>43040</v>
      </c>
      <c r="C34" s="345">
        <v>7</v>
      </c>
      <c r="E34" s="630">
        <v>0.80223999999999973</v>
      </c>
    </row>
    <row r="35" spans="1:7" x14ac:dyDescent="0.25">
      <c r="A35" s="1689">
        <v>43405</v>
      </c>
      <c r="C35" s="345">
        <v>7</v>
      </c>
      <c r="E35" s="630">
        <v>0.73545999999999978</v>
      </c>
    </row>
    <row r="36" spans="1:7" x14ac:dyDescent="0.25">
      <c r="A36" s="1689">
        <f>+EFFDATE</f>
        <v>43770</v>
      </c>
      <c r="C36" s="345">
        <v>7</v>
      </c>
      <c r="E36" s="630">
        <f>'Rates in detail'!$V$15</f>
        <v>0.78120999999999974</v>
      </c>
      <c r="G36" s="1317"/>
    </row>
  </sheetData>
  <phoneticPr fontId="11" type="noConversion"/>
  <pageMargins left="0.75" right="0.75" top="0.84" bottom="1" header="0.5" footer="0.5"/>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view="pageBreakPreview" topLeftCell="A22" zoomScale="115" zoomScaleNormal="100" zoomScaleSheetLayoutView="115" workbookViewId="0">
      <selection activeCell="A10" sqref="A10"/>
    </sheetView>
  </sheetViews>
  <sheetFormatPr defaultColWidth="10.6640625" defaultRowHeight="13.2" x14ac:dyDescent="0.25"/>
  <cols>
    <col min="1" max="1" width="22.44140625" style="1" customWidth="1"/>
    <col min="2" max="2" width="15" style="1" customWidth="1"/>
    <col min="3" max="3" width="19" style="1" customWidth="1"/>
    <col min="4" max="4" width="18.33203125" style="1" customWidth="1"/>
    <col min="5" max="5" width="17.88671875" style="1" customWidth="1"/>
    <col min="6" max="6" width="21.44140625" style="1" customWidth="1"/>
    <col min="7" max="16384" width="10.6640625" style="1"/>
  </cols>
  <sheetData>
    <row r="1" spans="1:6" ht="22.8" x14ac:dyDescent="0.25">
      <c r="A1" s="321"/>
      <c r="B1" s="321"/>
      <c r="C1" s="270"/>
      <c r="D1" s="270"/>
      <c r="E1" s="339"/>
      <c r="F1" s="63"/>
    </row>
    <row r="2" spans="1:6" ht="21" x14ac:dyDescent="0.25">
      <c r="C2" s="270"/>
      <c r="E2" s="47"/>
      <c r="F2" s="340"/>
    </row>
    <row r="3" spans="1:6" ht="25.5" customHeight="1" x14ac:dyDescent="0.25"/>
    <row r="4" spans="1:6" ht="20.399999999999999" x14ac:dyDescent="0.3">
      <c r="A4" s="1188" t="s">
        <v>231</v>
      </c>
      <c r="B4" s="12"/>
      <c r="C4" s="1832" t="s">
        <v>887</v>
      </c>
      <c r="D4" s="1832"/>
      <c r="E4" s="1832"/>
      <c r="F4" s="1832"/>
    </row>
    <row r="5" spans="1:6" ht="20.25" customHeight="1" x14ac:dyDescent="0.25">
      <c r="C5" s="1847" t="s">
        <v>576</v>
      </c>
      <c r="D5" s="1847"/>
      <c r="E5" s="1847"/>
      <c r="F5" s="1847"/>
    </row>
    <row r="6" spans="1:6" ht="16.5" customHeight="1" x14ac:dyDescent="0.25">
      <c r="D6" s="322"/>
    </row>
    <row r="7" spans="1:6" ht="16.5" customHeight="1" x14ac:dyDescent="0.25"/>
    <row r="8" spans="1:6" x14ac:dyDescent="0.25">
      <c r="A8" s="233" t="s">
        <v>313</v>
      </c>
      <c r="B8" s="233"/>
      <c r="C8" s="233" t="s">
        <v>293</v>
      </c>
      <c r="D8" s="233">
        <v>300</v>
      </c>
      <c r="E8" s="233" t="s">
        <v>584</v>
      </c>
      <c r="F8" s="233" t="s">
        <v>585</v>
      </c>
    </row>
    <row r="9" spans="1:6" x14ac:dyDescent="0.25">
      <c r="A9" s="235" t="s">
        <v>579</v>
      </c>
      <c r="B9" s="235"/>
      <c r="C9" s="235" t="s">
        <v>198</v>
      </c>
      <c r="D9" s="235" t="s">
        <v>194</v>
      </c>
      <c r="E9" s="235" t="s">
        <v>194</v>
      </c>
      <c r="F9" s="235" t="s">
        <v>586</v>
      </c>
    </row>
    <row r="10" spans="1:6" x14ac:dyDescent="0.25">
      <c r="A10" s="45"/>
      <c r="B10" s="45"/>
      <c r="C10" s="45"/>
      <c r="D10" s="45"/>
      <c r="E10" s="45"/>
      <c r="F10" s="45"/>
    </row>
    <row r="11" spans="1:6" x14ac:dyDescent="0.25">
      <c r="A11" s="328">
        <v>37530</v>
      </c>
      <c r="B11" s="325"/>
      <c r="C11" s="335">
        <v>10.5</v>
      </c>
      <c r="D11" s="336">
        <v>0.76419000000000004</v>
      </c>
      <c r="E11" s="336">
        <v>0.69723999999999997</v>
      </c>
      <c r="F11" s="336">
        <v>0.65564999999999996</v>
      </c>
    </row>
    <row r="12" spans="1:6" x14ac:dyDescent="0.25">
      <c r="A12" s="328">
        <v>37895</v>
      </c>
      <c r="B12" s="325"/>
      <c r="C12" s="335">
        <v>10.5</v>
      </c>
      <c r="D12" s="336">
        <v>0.89207000000000014</v>
      </c>
      <c r="E12" s="336">
        <v>0.82512000000000008</v>
      </c>
      <c r="F12" s="336">
        <v>0.78353000000000006</v>
      </c>
    </row>
    <row r="13" spans="1:6" ht="25.5" customHeight="1" x14ac:dyDescent="0.25">
      <c r="B13" s="1441"/>
    </row>
    <row r="14" spans="1:6" ht="19.5" customHeight="1" x14ac:dyDescent="0.25">
      <c r="A14" s="341" t="s">
        <v>571</v>
      </c>
      <c r="B14" s="341"/>
      <c r="C14" s="342" t="s">
        <v>280</v>
      </c>
      <c r="D14" s="343" t="s">
        <v>281</v>
      </c>
      <c r="E14" s="247"/>
      <c r="F14" s="247"/>
    </row>
    <row r="15" spans="1:6" x14ac:dyDescent="0.25">
      <c r="A15" s="328">
        <v>38169</v>
      </c>
      <c r="B15" s="328"/>
      <c r="C15" s="138">
        <v>10.5</v>
      </c>
      <c r="D15" s="247">
        <v>0.91195471320521815</v>
      </c>
      <c r="E15" s="247"/>
      <c r="F15" s="247"/>
    </row>
    <row r="16" spans="1:6" x14ac:dyDescent="0.25">
      <c r="A16" s="328">
        <v>38292</v>
      </c>
      <c r="B16" s="328"/>
      <c r="C16" s="138">
        <v>10.5</v>
      </c>
      <c r="D16" s="247">
        <v>1.1016600000000001</v>
      </c>
      <c r="E16" s="247"/>
      <c r="F16" s="247"/>
    </row>
    <row r="17" spans="1:6" x14ac:dyDescent="0.25">
      <c r="A17" s="328">
        <v>38626</v>
      </c>
      <c r="B17" s="328"/>
      <c r="C17" s="138">
        <v>10.5</v>
      </c>
      <c r="D17" s="247">
        <v>1.2406759350567713</v>
      </c>
      <c r="E17" s="336"/>
      <c r="F17" s="336"/>
    </row>
    <row r="18" spans="1:6" x14ac:dyDescent="0.25">
      <c r="A18" s="328">
        <v>39022</v>
      </c>
      <c r="B18" s="328"/>
      <c r="C18" s="138">
        <v>10.5</v>
      </c>
      <c r="D18" s="247">
        <v>1.2803500000000001</v>
      </c>
      <c r="E18" s="391"/>
      <c r="F18" s="336"/>
    </row>
    <row r="19" spans="1:6" x14ac:dyDescent="0.25">
      <c r="A19" s="328">
        <v>39387</v>
      </c>
      <c r="B19" s="328"/>
      <c r="C19" s="138">
        <v>10.5</v>
      </c>
      <c r="D19" s="247">
        <v>1.1498699999999999</v>
      </c>
      <c r="E19" s="391"/>
      <c r="F19" s="336"/>
    </row>
    <row r="20" spans="1:6" x14ac:dyDescent="0.25">
      <c r="A20" s="328">
        <v>39753</v>
      </c>
      <c r="B20" s="910" t="s">
        <v>740</v>
      </c>
      <c r="C20" s="138">
        <v>10.5</v>
      </c>
      <c r="D20" s="247">
        <v>1.4016499999999998</v>
      </c>
      <c r="E20" s="392"/>
    </row>
    <row r="21" spans="1:6" x14ac:dyDescent="0.25">
      <c r="A21" s="328"/>
      <c r="B21" s="910" t="s">
        <v>741</v>
      </c>
      <c r="C21" s="138">
        <v>10.5</v>
      </c>
      <c r="D21" s="247">
        <v>1.40164</v>
      </c>
      <c r="E21" s="392"/>
    </row>
    <row r="22" spans="1:6" x14ac:dyDescent="0.25">
      <c r="A22" s="328"/>
      <c r="B22" s="910"/>
      <c r="C22" s="138"/>
      <c r="D22" s="247"/>
      <c r="E22" s="392"/>
    </row>
    <row r="23" spans="1:6" x14ac:dyDescent="0.25">
      <c r="A23" s="328">
        <f>+'Index &amp; Documentation'!D1</f>
        <v>39814</v>
      </c>
      <c r="B23" s="910" t="s">
        <v>740</v>
      </c>
      <c r="C23" s="138">
        <v>15</v>
      </c>
      <c r="D23" s="247">
        <v>1.40065</v>
      </c>
    </row>
    <row r="24" spans="1:6" x14ac:dyDescent="0.25">
      <c r="B24" s="910" t="s">
        <v>741</v>
      </c>
      <c r="C24" s="29"/>
      <c r="D24" s="247">
        <v>1.4009199999999999</v>
      </c>
    </row>
    <row r="25" spans="1:6" x14ac:dyDescent="0.25">
      <c r="C25" s="29"/>
    </row>
    <row r="26" spans="1:6" x14ac:dyDescent="0.25">
      <c r="A26" s="328">
        <v>40118</v>
      </c>
      <c r="B26" s="910" t="s">
        <v>740</v>
      </c>
      <c r="C26" s="138">
        <v>15</v>
      </c>
      <c r="D26" s="247">
        <v>1.0687</v>
      </c>
    </row>
    <row r="27" spans="1:6" x14ac:dyDescent="0.25">
      <c r="B27" s="910" t="s">
        <v>741</v>
      </c>
      <c r="C27" s="29"/>
      <c r="D27" s="247">
        <v>1.06843</v>
      </c>
    </row>
    <row r="28" spans="1:6" x14ac:dyDescent="0.25">
      <c r="B28" s="910"/>
      <c r="C28" s="29"/>
      <c r="D28" s="247"/>
    </row>
    <row r="29" spans="1:6" x14ac:dyDescent="0.25">
      <c r="A29" s="328">
        <v>40483</v>
      </c>
      <c r="B29" s="910" t="s">
        <v>740</v>
      </c>
      <c r="C29" s="29">
        <v>15</v>
      </c>
      <c r="D29" s="247">
        <v>1.04491</v>
      </c>
    </row>
    <row r="30" spans="1:6" x14ac:dyDescent="0.25">
      <c r="B30" s="910" t="s">
        <v>741</v>
      </c>
      <c r="C30" s="29"/>
      <c r="D30" s="247">
        <v>1.0271599999999996</v>
      </c>
    </row>
    <row r="31" spans="1:6" x14ac:dyDescent="0.25">
      <c r="B31" s="910"/>
      <c r="C31" s="29"/>
      <c r="D31" s="247"/>
    </row>
    <row r="32" spans="1:6" x14ac:dyDescent="0.25">
      <c r="A32" s="328">
        <v>40848</v>
      </c>
      <c r="B32" s="910" t="s">
        <v>740</v>
      </c>
      <c r="C32" s="29">
        <v>15</v>
      </c>
      <c r="D32" s="247">
        <v>1.0201499999999999</v>
      </c>
    </row>
    <row r="33" spans="1:4" x14ac:dyDescent="0.25">
      <c r="B33" s="910" t="s">
        <v>741</v>
      </c>
      <c r="C33" s="29"/>
      <c r="D33" s="247">
        <v>1.0117499999999995</v>
      </c>
    </row>
    <row r="34" spans="1:4" x14ac:dyDescent="0.25">
      <c r="B34" s="910"/>
      <c r="C34" s="29"/>
      <c r="D34" s="247"/>
    </row>
    <row r="35" spans="1:4" x14ac:dyDescent="0.25">
      <c r="A35" s="328">
        <v>41214</v>
      </c>
      <c r="B35" s="910" t="s">
        <v>740</v>
      </c>
      <c r="C35" s="29">
        <v>15</v>
      </c>
      <c r="D35" s="247">
        <v>0.93196999999999997</v>
      </c>
    </row>
    <row r="36" spans="1:4" x14ac:dyDescent="0.25">
      <c r="B36" s="910" t="s">
        <v>741</v>
      </c>
      <c r="C36" s="29"/>
      <c r="D36" s="247">
        <v>0.91993999999999954</v>
      </c>
    </row>
    <row r="37" spans="1:4" x14ac:dyDescent="0.25">
      <c r="B37" s="910"/>
      <c r="C37" s="29"/>
      <c r="D37" s="247"/>
    </row>
    <row r="38" spans="1:4" x14ac:dyDescent="0.25">
      <c r="A38" s="1136">
        <v>41579</v>
      </c>
      <c r="B38" s="910" t="s">
        <v>740</v>
      </c>
      <c r="C38" s="29">
        <v>15</v>
      </c>
      <c r="D38" s="247">
        <v>0.94755999999999996</v>
      </c>
    </row>
    <row r="39" spans="1:4" x14ac:dyDescent="0.25">
      <c r="B39" s="910" t="s">
        <v>741</v>
      </c>
      <c r="C39" s="29"/>
      <c r="D39" s="247">
        <v>0.92712000000000006</v>
      </c>
    </row>
    <row r="40" spans="1:4" x14ac:dyDescent="0.25">
      <c r="B40" s="910"/>
      <c r="C40" s="29"/>
      <c r="D40" s="247"/>
    </row>
    <row r="41" spans="1:4" x14ac:dyDescent="0.25">
      <c r="A41" s="328">
        <v>41944</v>
      </c>
      <c r="B41" s="910" t="s">
        <v>740</v>
      </c>
      <c r="C41" s="138">
        <v>15</v>
      </c>
      <c r="D41" s="247">
        <v>1.0116100000000001</v>
      </c>
    </row>
    <row r="42" spans="1:4" x14ac:dyDescent="0.25">
      <c r="B42" s="910" t="s">
        <v>741</v>
      </c>
      <c r="C42" s="29"/>
      <c r="D42" s="247">
        <v>0.99180999999999953</v>
      </c>
    </row>
    <row r="43" spans="1:4" x14ac:dyDescent="0.25">
      <c r="B43" s="910"/>
      <c r="C43" s="29"/>
      <c r="D43" s="247"/>
    </row>
    <row r="44" spans="1:4" x14ac:dyDescent="0.25">
      <c r="A44" s="328">
        <v>42309</v>
      </c>
      <c r="B44" s="910" t="s">
        <v>740</v>
      </c>
      <c r="C44" s="138">
        <v>15</v>
      </c>
      <c r="D44" s="247">
        <v>0.84836000000000011</v>
      </c>
    </row>
    <row r="45" spans="1:4" x14ac:dyDescent="0.25">
      <c r="B45" s="910" t="s">
        <v>741</v>
      </c>
      <c r="C45" s="29"/>
      <c r="D45" s="247">
        <v>0.8283899999999994</v>
      </c>
    </row>
    <row r="46" spans="1:4" x14ac:dyDescent="0.25">
      <c r="B46" s="910"/>
      <c r="C46" s="29"/>
      <c r="D46" s="247"/>
    </row>
    <row r="47" spans="1:4" x14ac:dyDescent="0.25">
      <c r="A47" s="328">
        <v>42675</v>
      </c>
      <c r="B47" s="910" t="s">
        <v>740</v>
      </c>
      <c r="C47" s="138">
        <v>15</v>
      </c>
      <c r="D47" s="247">
        <v>0.83216000000000012</v>
      </c>
    </row>
    <row r="48" spans="1:4" x14ac:dyDescent="0.25">
      <c r="B48" s="910" t="s">
        <v>741</v>
      </c>
      <c r="C48" s="29"/>
      <c r="D48" s="247">
        <v>0.80673999999999946</v>
      </c>
    </row>
    <row r="50" spans="1:4" x14ac:dyDescent="0.25">
      <c r="A50" s="328">
        <v>43040</v>
      </c>
      <c r="B50" s="910" t="s">
        <v>740</v>
      </c>
      <c r="C50" s="138">
        <v>15</v>
      </c>
      <c r="D50" s="247">
        <v>0.80187000000000019</v>
      </c>
    </row>
    <row r="51" spans="1:4" x14ac:dyDescent="0.25">
      <c r="B51" s="910" t="s">
        <v>741</v>
      </c>
      <c r="C51" s="29"/>
      <c r="D51" s="247">
        <v>0.77509999999999946</v>
      </c>
    </row>
    <row r="52" spans="1:4" x14ac:dyDescent="0.25">
      <c r="B52" s="910"/>
      <c r="C52" s="29"/>
      <c r="D52" s="247"/>
    </row>
    <row r="53" spans="1:4" x14ac:dyDescent="0.25">
      <c r="A53" s="328">
        <v>43405</v>
      </c>
      <c r="B53" s="910" t="s">
        <v>740</v>
      </c>
      <c r="C53" s="29">
        <v>15</v>
      </c>
      <c r="D53" s="247">
        <v>0.7353400000000001</v>
      </c>
    </row>
    <row r="54" spans="1:4" x14ac:dyDescent="0.25">
      <c r="B54" s="910" t="s">
        <v>741</v>
      </c>
      <c r="C54" s="29"/>
      <c r="D54" s="247">
        <v>0.70457999999999954</v>
      </c>
    </row>
    <row r="56" spans="1:4" x14ac:dyDescent="0.25">
      <c r="A56" s="328">
        <f>+EFFDATE</f>
        <v>43770</v>
      </c>
      <c r="B56" s="910" t="s">
        <v>740</v>
      </c>
      <c r="C56" s="138">
        <v>15</v>
      </c>
      <c r="D56" s="247">
        <f>'Rates in detail'!$V$16</f>
        <v>0.78024000000000027</v>
      </c>
    </row>
    <row r="57" spans="1:4" x14ac:dyDescent="0.25">
      <c r="B57" s="910" t="s">
        <v>741</v>
      </c>
      <c r="C57" s="29"/>
      <c r="D57" s="247">
        <f>'Rates in detail'!$V$17</f>
        <v>0.74225999999999948</v>
      </c>
    </row>
  </sheetData>
  <mergeCells count="2">
    <mergeCell ref="C4:F4"/>
    <mergeCell ref="C5:F5"/>
  </mergeCells>
  <phoneticPr fontId="12" type="noConversion"/>
  <pageMargins left="0.55000000000000004" right="0.43" top="0.76" bottom="1" header="0.5" footer="0.5"/>
  <pageSetup scale="83" orientation="portrait" r:id="rId1"/>
  <headerFooter alignWithMargins="0"/>
  <rowBreaks count="1" manualBreakCount="1">
    <brk id="57" max="5" man="1"/>
  </rowBreaks>
  <ignoredErrors>
    <ignoredError sqref="E8"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topLeftCell="A5" workbookViewId="0">
      <selection activeCell="A10" sqref="A10"/>
    </sheetView>
  </sheetViews>
  <sheetFormatPr defaultColWidth="10.6640625" defaultRowHeight="13.2" x14ac:dyDescent="0.25"/>
  <cols>
    <col min="1" max="3" width="10.6640625" style="1" customWidth="1"/>
    <col min="4" max="4" width="11.88671875" style="1" bestFit="1" customWidth="1"/>
    <col min="5" max="5" width="10.6640625" style="1" customWidth="1"/>
    <col min="6" max="6" width="11.88671875" style="1" bestFit="1" customWidth="1"/>
    <col min="7" max="16384" width="10.6640625" style="1"/>
  </cols>
  <sheetData>
    <row r="1" spans="1:9" x14ac:dyDescent="0.25">
      <c r="A1" s="274"/>
      <c r="B1" s="274"/>
      <c r="C1" s="274"/>
      <c r="D1" s="274"/>
      <c r="E1" s="274"/>
      <c r="F1" s="274"/>
    </row>
    <row r="2" spans="1:9" ht="22.8" x14ac:dyDescent="0.25">
      <c r="A2" s="321"/>
      <c r="B2" s="270"/>
      <c r="E2" s="322"/>
      <c r="F2" s="47"/>
      <c r="G2" s="322"/>
      <c r="H2" s="322"/>
    </row>
    <row r="3" spans="1:9" ht="15" customHeight="1" x14ac:dyDescent="0.25">
      <c r="A3" s="321"/>
      <c r="B3" s="270"/>
      <c r="E3" s="322"/>
      <c r="F3" s="322"/>
      <c r="G3" s="322"/>
      <c r="H3" s="322"/>
    </row>
    <row r="4" spans="1:9" ht="20.399999999999999" x14ac:dyDescent="0.25">
      <c r="B4" s="270"/>
      <c r="E4" s="322"/>
      <c r="F4" s="322"/>
      <c r="G4" s="322"/>
      <c r="H4" s="322"/>
    </row>
    <row r="5" spans="1:9" ht="20.399999999999999" x14ac:dyDescent="0.3">
      <c r="A5" s="1188" t="s">
        <v>231</v>
      </c>
      <c r="B5" s="270"/>
      <c r="D5" s="1189" t="s">
        <v>888</v>
      </c>
      <c r="E5" s="322"/>
      <c r="F5" s="322"/>
      <c r="G5" s="322"/>
      <c r="H5" s="322"/>
    </row>
    <row r="6" spans="1:9" ht="20.399999999999999" x14ac:dyDescent="0.25">
      <c r="A6" s="323"/>
      <c r="B6" s="270"/>
      <c r="D6" s="1192" t="s">
        <v>1090</v>
      </c>
      <c r="E6" s="322"/>
      <c r="F6" s="322"/>
      <c r="G6" s="322"/>
      <c r="H6" s="322"/>
    </row>
    <row r="7" spans="1:9" ht="20.399999999999999" x14ac:dyDescent="0.25">
      <c r="A7" s="323"/>
      <c r="B7" s="270"/>
      <c r="D7" s="324"/>
      <c r="E7" s="322"/>
      <c r="F7" s="322"/>
      <c r="G7" s="322"/>
      <c r="H7" s="322"/>
    </row>
    <row r="10" spans="1:9" ht="12.6" customHeight="1" x14ac:dyDescent="0.25">
      <c r="A10" s="233" t="s">
        <v>313</v>
      </c>
      <c r="B10" s="233"/>
      <c r="C10" s="233"/>
      <c r="D10" s="233" t="s">
        <v>587</v>
      </c>
      <c r="E10" s="233"/>
      <c r="F10" s="233" t="s">
        <v>298</v>
      </c>
      <c r="G10" s="332"/>
      <c r="I10" s="333"/>
    </row>
    <row r="11" spans="1:9" ht="12.6" customHeight="1" x14ac:dyDescent="0.25">
      <c r="A11" s="235" t="s">
        <v>579</v>
      </c>
      <c r="B11" s="233"/>
      <c r="C11" s="233"/>
      <c r="D11" s="235" t="s">
        <v>588</v>
      </c>
      <c r="E11" s="233"/>
      <c r="F11" s="235" t="s">
        <v>589</v>
      </c>
      <c r="G11" s="332"/>
    </row>
    <row r="12" spans="1:9" ht="12.6" customHeight="1" x14ac:dyDescent="0.25">
      <c r="A12" s="334"/>
      <c r="B12" s="233"/>
      <c r="C12" s="233"/>
      <c r="D12" s="240"/>
      <c r="E12" s="233"/>
      <c r="F12" s="240"/>
      <c r="G12" s="332"/>
    </row>
    <row r="13" spans="1:9" x14ac:dyDescent="0.25">
      <c r="A13" s="328">
        <v>37530</v>
      </c>
      <c r="B13" s="45"/>
      <c r="C13" s="335"/>
      <c r="D13" s="329">
        <v>11.91</v>
      </c>
      <c r="E13" s="329"/>
      <c r="F13" s="329">
        <v>11.09</v>
      </c>
    </row>
    <row r="14" spans="1:9" x14ac:dyDescent="0.25">
      <c r="A14" s="328">
        <v>37895</v>
      </c>
      <c r="B14" s="45"/>
      <c r="C14" s="335"/>
      <c r="D14" s="329">
        <v>14.34</v>
      </c>
      <c r="E14" s="329"/>
      <c r="F14" s="329">
        <v>13.52</v>
      </c>
    </row>
    <row r="17" spans="1:6" ht="26.4" x14ac:dyDescent="0.25">
      <c r="A17" s="326" t="s">
        <v>571</v>
      </c>
      <c r="D17" s="326" t="s">
        <v>288</v>
      </c>
      <c r="E17" s="337"/>
      <c r="F17" s="344" t="s">
        <v>590</v>
      </c>
    </row>
    <row r="18" spans="1:6" ht="13.8" x14ac:dyDescent="0.25">
      <c r="D18" s="272"/>
      <c r="E18" s="338"/>
    </row>
    <row r="19" spans="1:6" x14ac:dyDescent="0.25">
      <c r="A19" s="328">
        <v>38169</v>
      </c>
      <c r="D19" s="329">
        <v>14.9</v>
      </c>
      <c r="E19" s="330"/>
      <c r="F19" s="345">
        <v>14.08</v>
      </c>
    </row>
    <row r="20" spans="1:6" x14ac:dyDescent="0.25">
      <c r="A20" s="328">
        <v>38292</v>
      </c>
      <c r="D20" s="329">
        <v>18.59</v>
      </c>
      <c r="E20" s="330"/>
      <c r="F20" s="345">
        <v>17.77</v>
      </c>
    </row>
    <row r="21" spans="1:6" x14ac:dyDescent="0.25">
      <c r="A21" s="328">
        <v>38626</v>
      </c>
      <c r="D21" s="329">
        <v>21.28944135958433</v>
      </c>
      <c r="F21" s="345">
        <v>20.46944135958433</v>
      </c>
    </row>
    <row r="22" spans="1:6" x14ac:dyDescent="0.25">
      <c r="A22" s="328">
        <v>39022</v>
      </c>
      <c r="D22" s="329">
        <v>22.07</v>
      </c>
      <c r="F22" s="345">
        <v>21.25</v>
      </c>
    </row>
    <row r="23" spans="1:6" x14ac:dyDescent="0.25">
      <c r="A23" s="328">
        <v>39387</v>
      </c>
      <c r="D23" s="329">
        <v>19.559999999999999</v>
      </c>
      <c r="F23" s="345">
        <v>18.739999999999998</v>
      </c>
    </row>
    <row r="24" spans="1:6" x14ac:dyDescent="0.25">
      <c r="A24" s="328">
        <v>39753</v>
      </c>
      <c r="D24" s="329">
        <v>24.37</v>
      </c>
      <c r="F24" s="329">
        <v>23.54</v>
      </c>
    </row>
    <row r="25" spans="1:6" x14ac:dyDescent="0.25">
      <c r="A25" s="328">
        <v>39814</v>
      </c>
      <c r="D25" s="329">
        <v>24.97</v>
      </c>
      <c r="F25" s="329">
        <v>24.41</v>
      </c>
    </row>
    <row r="26" spans="1:6" x14ac:dyDescent="0.25">
      <c r="A26" s="328">
        <v>40118</v>
      </c>
      <c r="B26" s="1848" t="s">
        <v>1084</v>
      </c>
      <c r="C26" s="1848"/>
      <c r="D26" s="345">
        <v>0</v>
      </c>
      <c r="F26" s="345">
        <v>0</v>
      </c>
    </row>
  </sheetData>
  <mergeCells count="1">
    <mergeCell ref="B26:C26"/>
  </mergeCells>
  <phoneticPr fontId="11" type="noConversion"/>
  <pageMargins left="0.75" right="0.75" top="0.84" bottom="1" header="0.5" footer="0.5"/>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topLeftCell="A6" zoomScaleNormal="100" workbookViewId="0">
      <selection activeCell="A10" sqref="A10"/>
    </sheetView>
  </sheetViews>
  <sheetFormatPr defaultColWidth="10.6640625" defaultRowHeight="13.2" x14ac:dyDescent="0.25"/>
  <cols>
    <col min="1" max="1" width="28.44140625" style="1" customWidth="1"/>
    <col min="2" max="2" width="14.33203125" style="1" customWidth="1"/>
    <col min="3" max="3" width="12.6640625" style="1" bestFit="1" customWidth="1"/>
    <col min="4" max="4" width="10.6640625" style="1" customWidth="1"/>
    <col min="5" max="5" width="11.33203125" style="1" bestFit="1" customWidth="1"/>
    <col min="6" max="6" width="12.109375" style="1" customWidth="1"/>
    <col min="7" max="7" width="12.109375" style="1" bestFit="1" customWidth="1"/>
    <col min="8" max="16384" width="10.6640625" style="1"/>
  </cols>
  <sheetData>
    <row r="1" spans="1:9" x14ac:dyDescent="0.25">
      <c r="A1" s="274"/>
      <c r="B1" s="274"/>
      <c r="C1" s="274"/>
      <c r="D1" s="274"/>
      <c r="E1" s="274"/>
    </row>
    <row r="2" spans="1:9" ht="22.8" x14ac:dyDescent="0.25">
      <c r="A2" s="321"/>
      <c r="B2" s="270"/>
      <c r="D2" s="322"/>
      <c r="E2" s="47"/>
      <c r="F2" s="322"/>
    </row>
    <row r="3" spans="1:9" ht="22.8" x14ac:dyDescent="0.25">
      <c r="A3" s="321"/>
      <c r="B3" s="270"/>
      <c r="D3" s="322"/>
      <c r="E3" s="322"/>
      <c r="F3" s="322"/>
    </row>
    <row r="4" spans="1:9" ht="20.399999999999999" x14ac:dyDescent="0.25">
      <c r="B4" s="270"/>
      <c r="D4" s="322"/>
      <c r="E4" s="322"/>
      <c r="F4" s="322"/>
    </row>
    <row r="5" spans="1:9" ht="46.5" customHeight="1" x14ac:dyDescent="0.3">
      <c r="A5" s="1201" t="s">
        <v>231</v>
      </c>
      <c r="B5" s="270"/>
      <c r="C5" s="1849" t="s">
        <v>1082</v>
      </c>
      <c r="D5" s="1849"/>
      <c r="E5" s="1849"/>
      <c r="F5" s="1849"/>
      <c r="G5" s="1849"/>
      <c r="H5" s="18"/>
      <c r="I5" s="18"/>
    </row>
    <row r="6" spans="1:9" ht="20.399999999999999" x14ac:dyDescent="0.25">
      <c r="B6" s="270"/>
      <c r="C6" s="1200" t="s">
        <v>576</v>
      </c>
      <c r="D6" s="1190"/>
      <c r="E6" s="1190"/>
      <c r="F6" s="1190"/>
      <c r="G6" s="1191"/>
      <c r="H6" s="1191"/>
      <c r="I6" s="1191"/>
    </row>
    <row r="7" spans="1:9" ht="20.399999999999999" x14ac:dyDescent="0.25">
      <c r="B7" s="270"/>
      <c r="C7" s="324"/>
      <c r="D7" s="322"/>
      <c r="E7" s="322"/>
      <c r="F7" s="322"/>
    </row>
    <row r="8" spans="1:9" x14ac:dyDescent="0.25">
      <c r="A8" s="233"/>
      <c r="B8" s="233" t="s">
        <v>617</v>
      </c>
      <c r="C8" s="233" t="s">
        <v>618</v>
      </c>
      <c r="D8" s="233"/>
      <c r="E8" s="379"/>
    </row>
    <row r="9" spans="1:9" ht="13.8" x14ac:dyDescent="0.25">
      <c r="A9" s="235" t="s">
        <v>669</v>
      </c>
      <c r="B9" s="235" t="s">
        <v>198</v>
      </c>
      <c r="C9" s="235" t="s">
        <v>194</v>
      </c>
      <c r="D9" s="233"/>
      <c r="E9" s="849"/>
    </row>
    <row r="10" spans="1:9" x14ac:dyDescent="0.25">
      <c r="E10" s="137"/>
    </row>
    <row r="11" spans="1:9" ht="13.5" customHeight="1" x14ac:dyDescent="0.25">
      <c r="A11" s="328">
        <v>37530</v>
      </c>
      <c r="B11" s="852" t="s">
        <v>70</v>
      </c>
      <c r="C11" s="850">
        <v>0.63341999999999998</v>
      </c>
      <c r="E11" s="32"/>
    </row>
    <row r="12" spans="1:9" x14ac:dyDescent="0.25">
      <c r="A12" s="328">
        <v>37895</v>
      </c>
      <c r="B12" s="852" t="s">
        <v>70</v>
      </c>
      <c r="C12" s="850">
        <v>0.76102000000000003</v>
      </c>
      <c r="E12" s="32"/>
    </row>
    <row r="13" spans="1:9" ht="12.75" customHeight="1" x14ac:dyDescent="0.25">
      <c r="A13" s="328">
        <v>38169</v>
      </c>
      <c r="B13" s="852" t="s">
        <v>70</v>
      </c>
      <c r="C13" s="851">
        <v>0.84801000000000004</v>
      </c>
      <c r="E13" s="8"/>
    </row>
    <row r="14" spans="1:9" ht="12.75" customHeight="1" x14ac:dyDescent="0.25">
      <c r="A14" s="328">
        <v>38292</v>
      </c>
      <c r="B14" s="852" t="s">
        <v>70</v>
      </c>
      <c r="C14" s="851">
        <v>0.98868999999999996</v>
      </c>
      <c r="E14" s="8"/>
    </row>
    <row r="15" spans="1:9" x14ac:dyDescent="0.25">
      <c r="A15" s="328">
        <v>38626</v>
      </c>
      <c r="B15" s="852" t="s">
        <v>70</v>
      </c>
      <c r="C15" s="851">
        <v>1.12744</v>
      </c>
      <c r="E15" s="8"/>
    </row>
    <row r="16" spans="1:9" x14ac:dyDescent="0.25">
      <c r="A16" s="328">
        <v>39022</v>
      </c>
      <c r="B16" s="852" t="s">
        <v>70</v>
      </c>
      <c r="C16" s="851">
        <v>1.16706</v>
      </c>
      <c r="E16" s="8"/>
    </row>
    <row r="17" spans="1:5" x14ac:dyDescent="0.25">
      <c r="A17" s="328">
        <v>39387</v>
      </c>
      <c r="B17" s="852" t="s">
        <v>70</v>
      </c>
      <c r="C17" s="851">
        <v>1.0365800000000001</v>
      </c>
      <c r="E17" s="8"/>
    </row>
    <row r="18" spans="1:5" x14ac:dyDescent="0.25">
      <c r="A18" s="328">
        <v>39753</v>
      </c>
      <c r="B18" s="852" t="s">
        <v>70</v>
      </c>
      <c r="C18" s="851">
        <v>1.2883199999999997</v>
      </c>
      <c r="E18" s="8"/>
    </row>
    <row r="19" spans="1:5" x14ac:dyDescent="0.25">
      <c r="A19" s="328">
        <v>39814</v>
      </c>
      <c r="B19" s="29">
        <v>6</v>
      </c>
      <c r="C19" s="851">
        <v>1.2372700000000001</v>
      </c>
      <c r="D19" s="331"/>
      <c r="E19" s="8"/>
    </row>
    <row r="20" spans="1:5" x14ac:dyDescent="0.25">
      <c r="A20" s="1136">
        <v>40118</v>
      </c>
      <c r="B20" s="29">
        <v>6</v>
      </c>
      <c r="C20" s="28">
        <v>0.90407999999999999</v>
      </c>
      <c r="E20" s="8"/>
    </row>
    <row r="21" spans="1:5" x14ac:dyDescent="0.25">
      <c r="A21" s="1136">
        <v>40483</v>
      </c>
      <c r="B21" s="29">
        <v>6</v>
      </c>
      <c r="C21" s="28">
        <v>0.87407999999999997</v>
      </c>
      <c r="E21" s="8"/>
    </row>
    <row r="22" spans="1:5" x14ac:dyDescent="0.25">
      <c r="A22" s="1136">
        <v>40848</v>
      </c>
      <c r="B22" s="29">
        <v>6</v>
      </c>
      <c r="C22" s="28">
        <v>0.85042999999999991</v>
      </c>
      <c r="E22" s="8"/>
    </row>
    <row r="23" spans="1:5" x14ac:dyDescent="0.25">
      <c r="A23" s="1136">
        <v>41214</v>
      </c>
      <c r="B23" s="29">
        <v>6</v>
      </c>
      <c r="C23" s="28">
        <v>0.76588000000000001</v>
      </c>
      <c r="E23" s="8"/>
    </row>
    <row r="24" spans="1:5" x14ac:dyDescent="0.25">
      <c r="A24" s="1136">
        <v>41579</v>
      </c>
      <c r="B24" s="29">
        <v>6</v>
      </c>
      <c r="C24" s="28">
        <v>0.78061000000000003</v>
      </c>
      <c r="E24" s="8"/>
    </row>
    <row r="25" spans="1:5" x14ac:dyDescent="0.25">
      <c r="A25" s="1136">
        <v>41944</v>
      </c>
      <c r="B25" s="29">
        <v>6</v>
      </c>
      <c r="C25" s="28">
        <v>0.84195999999999982</v>
      </c>
    </row>
    <row r="26" spans="1:5" x14ac:dyDescent="0.25">
      <c r="A26" s="1136">
        <v>42309</v>
      </c>
      <c r="B26" s="29">
        <v>7</v>
      </c>
      <c r="C26" s="28">
        <v>0.67817999999999978</v>
      </c>
    </row>
    <row r="27" spans="1:5" x14ac:dyDescent="0.25">
      <c r="A27" s="1136">
        <v>42675</v>
      </c>
      <c r="B27" s="29">
        <v>7</v>
      </c>
      <c r="C27" s="28">
        <v>0.66168999999999978</v>
      </c>
    </row>
    <row r="28" spans="1:5" x14ac:dyDescent="0.25">
      <c r="A28" s="1136">
        <v>43040</v>
      </c>
      <c r="B28" s="29">
        <v>7</v>
      </c>
      <c r="C28" s="28">
        <v>0.63078999999999985</v>
      </c>
    </row>
    <row r="29" spans="1:5" x14ac:dyDescent="0.25">
      <c r="A29" s="1136">
        <v>43405</v>
      </c>
      <c r="B29" s="29">
        <v>7</v>
      </c>
      <c r="C29" s="28">
        <v>0.56221999999999983</v>
      </c>
    </row>
    <row r="30" spans="1:5" x14ac:dyDescent="0.25">
      <c r="A30" s="1136">
        <f>+EFFDATE</f>
        <v>43770</v>
      </c>
      <c r="B30" s="29">
        <v>7</v>
      </c>
      <c r="C30" s="28">
        <f>'Rates in detail'!$V$18</f>
        <v>0.60601999999999989</v>
      </c>
    </row>
  </sheetData>
  <mergeCells count="1">
    <mergeCell ref="C5:G5"/>
  </mergeCells>
  <phoneticPr fontId="12" type="noConversion"/>
  <printOptions horizontalCentered="1"/>
  <pageMargins left="0.71" right="0.41" top="0.78" bottom="1" header="0.5" footer="0.5"/>
  <pageSetup scale="8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topLeftCell="A10" zoomScaleNormal="100" workbookViewId="0">
      <selection activeCell="A10" sqref="A10"/>
    </sheetView>
  </sheetViews>
  <sheetFormatPr defaultColWidth="10.6640625" defaultRowHeight="13.2" x14ac:dyDescent="0.25"/>
  <cols>
    <col min="1" max="1" width="16.109375" style="1" customWidth="1"/>
    <col min="2" max="2" width="14.44140625" style="1" customWidth="1"/>
    <col min="3" max="3" width="12.88671875" style="1" customWidth="1"/>
    <col min="4" max="4" width="13.109375" style="1" customWidth="1"/>
    <col min="5" max="5" width="14.33203125" style="1" customWidth="1"/>
    <col min="6" max="6" width="4.44140625" style="1" customWidth="1"/>
    <col min="7" max="7" width="12.6640625" style="1" customWidth="1"/>
    <col min="8" max="8" width="2.44140625" style="1" customWidth="1"/>
    <col min="9" max="9" width="10.6640625" style="8" customWidth="1"/>
    <col min="10" max="10" width="7.6640625" style="8" customWidth="1"/>
    <col min="11" max="16384" width="10.6640625" style="1"/>
  </cols>
  <sheetData>
    <row r="1" spans="1:10" ht="56.25" customHeight="1" x14ac:dyDescent="0.25">
      <c r="A1" s="321"/>
      <c r="B1" s="321"/>
      <c r="C1" s="270"/>
      <c r="D1" s="1851" t="s">
        <v>231</v>
      </c>
      <c r="E1" s="1851"/>
    </row>
    <row r="2" spans="1:10" ht="21" x14ac:dyDescent="0.25">
      <c r="C2" s="270"/>
      <c r="D2" s="270"/>
      <c r="E2" s="350"/>
      <c r="F2" s="350"/>
      <c r="G2" s="350"/>
    </row>
    <row r="3" spans="1:10" ht="20.399999999999999" x14ac:dyDescent="0.25">
      <c r="A3" s="351" t="s">
        <v>601</v>
      </c>
      <c r="C3" s="270"/>
      <c r="D3" s="270"/>
      <c r="E3" s="19"/>
      <c r="F3" s="19"/>
      <c r="G3" s="19"/>
    </row>
    <row r="4" spans="1:10" ht="20.399999999999999" x14ac:dyDescent="0.25">
      <c r="A4" s="214" t="s">
        <v>633</v>
      </c>
      <c r="B4" s="351"/>
      <c r="C4" s="270"/>
      <c r="D4" s="270"/>
      <c r="E4" s="19"/>
      <c r="F4" s="19"/>
      <c r="G4" s="19"/>
    </row>
    <row r="5" spans="1:10" ht="7.5" customHeight="1" x14ac:dyDescent="0.25"/>
    <row r="6" spans="1:10" ht="7.5" customHeight="1" x14ac:dyDescent="0.25">
      <c r="A6" s="214"/>
    </row>
    <row r="7" spans="1:10" ht="20.25" customHeight="1" x14ac:dyDescent="0.25">
      <c r="E7" s="1852" t="s">
        <v>602</v>
      </c>
      <c r="F7" s="1853"/>
      <c r="G7" s="1854"/>
      <c r="I7" s="1855"/>
      <c r="J7" s="1855"/>
    </row>
    <row r="8" spans="1:10" ht="63" customHeight="1" thickBot="1" x14ac:dyDescent="0.3">
      <c r="A8" s="352" t="s">
        <v>571</v>
      </c>
      <c r="B8" s="353" t="s">
        <v>280</v>
      </c>
      <c r="C8" s="353" t="s">
        <v>297</v>
      </c>
      <c r="D8" s="353" t="s">
        <v>603</v>
      </c>
      <c r="E8" s="354" t="s">
        <v>336</v>
      </c>
      <c r="F8" s="355"/>
      <c r="G8" s="356" t="s">
        <v>604</v>
      </c>
      <c r="I8" s="1856"/>
      <c r="J8" s="1856"/>
    </row>
    <row r="9" spans="1:10" ht="13.5" customHeight="1" x14ac:dyDescent="0.25">
      <c r="A9" s="358"/>
      <c r="B9" s="359"/>
      <c r="C9" s="359"/>
      <c r="D9" s="359"/>
      <c r="E9" s="360"/>
      <c r="F9" s="361"/>
      <c r="G9" s="362"/>
      <c r="J9" s="363"/>
    </row>
    <row r="10" spans="1:10" ht="12" customHeight="1" x14ac:dyDescent="0.25">
      <c r="A10" s="364">
        <v>38169</v>
      </c>
      <c r="B10" s="138">
        <v>195.16</v>
      </c>
      <c r="C10" s="330">
        <v>0.7482747132052181</v>
      </c>
      <c r="D10" s="330">
        <v>0.72805471320521797</v>
      </c>
      <c r="E10" s="365">
        <v>0.12942000000000001</v>
      </c>
      <c r="F10" s="633" t="s">
        <v>677</v>
      </c>
      <c r="G10" s="366">
        <v>1.85</v>
      </c>
      <c r="I10" s="1850"/>
      <c r="J10" s="1850"/>
    </row>
    <row r="11" spans="1:10" ht="12" customHeight="1" x14ac:dyDescent="0.25">
      <c r="A11" s="364">
        <v>38292</v>
      </c>
      <c r="B11" s="138">
        <v>195.16</v>
      </c>
      <c r="C11" s="330">
        <v>0.94350999999999996</v>
      </c>
      <c r="D11" s="330">
        <v>0.92274</v>
      </c>
      <c r="E11" s="365">
        <v>0.12296102537274392</v>
      </c>
      <c r="F11" s="633" t="s">
        <v>677</v>
      </c>
      <c r="G11" s="366">
        <v>1.76</v>
      </c>
      <c r="I11" s="212"/>
      <c r="J11" s="212"/>
    </row>
    <row r="12" spans="1:10" ht="13.5" customHeight="1" x14ac:dyDescent="0.25">
      <c r="A12" s="364">
        <v>38626</v>
      </c>
      <c r="B12" s="138">
        <v>195.16</v>
      </c>
      <c r="C12" s="330">
        <v>1.1202700000000001</v>
      </c>
      <c r="D12" s="330">
        <v>1.09945</v>
      </c>
      <c r="E12" s="365">
        <v>8.5126423308774277E-2</v>
      </c>
      <c r="F12" s="633" t="s">
        <v>677</v>
      </c>
      <c r="G12" s="366">
        <v>1.2749768774163779</v>
      </c>
    </row>
    <row r="13" spans="1:10" ht="12.75" customHeight="1" x14ac:dyDescent="0.25">
      <c r="A13" s="364">
        <v>39022</v>
      </c>
      <c r="B13" s="335">
        <v>195.16</v>
      </c>
      <c r="C13" s="330">
        <v>1.13472</v>
      </c>
      <c r="D13" s="336">
        <v>1.11389</v>
      </c>
      <c r="E13" s="393">
        <v>0.11033999999999999</v>
      </c>
      <c r="F13" s="629" t="s">
        <v>677</v>
      </c>
      <c r="G13" s="394">
        <v>1.64</v>
      </c>
    </row>
    <row r="14" spans="1:10" ht="12.75" customHeight="1" x14ac:dyDescent="0.25">
      <c r="A14" s="364">
        <v>39387</v>
      </c>
      <c r="B14" s="335">
        <v>195.16</v>
      </c>
      <c r="C14" s="330">
        <v>0.99570999999999998</v>
      </c>
      <c r="D14" s="336">
        <v>0.97487999999999997</v>
      </c>
      <c r="E14" s="393">
        <v>0.11887</v>
      </c>
      <c r="F14" s="634" t="s">
        <v>677</v>
      </c>
      <c r="G14" s="394">
        <v>1.77</v>
      </c>
    </row>
    <row r="15" spans="1:10" x14ac:dyDescent="0.25">
      <c r="A15" s="364">
        <v>39753</v>
      </c>
      <c r="B15" s="335">
        <v>195.16</v>
      </c>
      <c r="C15" s="330">
        <v>1.2504299999999999</v>
      </c>
      <c r="D15" s="336">
        <v>1.2295999999999998</v>
      </c>
      <c r="E15" s="393">
        <v>0.11592</v>
      </c>
      <c r="F15" s="629" t="s">
        <v>677</v>
      </c>
      <c r="G15" s="394">
        <v>1.73</v>
      </c>
    </row>
    <row r="16" spans="1:10" x14ac:dyDescent="0.25">
      <c r="A16" s="364">
        <v>39814</v>
      </c>
      <c r="B16" s="335">
        <v>250</v>
      </c>
      <c r="C16" s="330">
        <v>1.16859</v>
      </c>
      <c r="D16" s="336">
        <v>1.13307</v>
      </c>
      <c r="E16" s="393">
        <v>0.11592</v>
      </c>
      <c r="F16" s="629" t="s">
        <v>677</v>
      </c>
      <c r="G16" s="394">
        <v>1.73</v>
      </c>
    </row>
    <row r="17" spans="1:7" x14ac:dyDescent="0.25">
      <c r="A17" s="1136">
        <v>40118</v>
      </c>
      <c r="B17" s="29">
        <v>250</v>
      </c>
      <c r="C17" s="630">
        <v>0.82906000000000002</v>
      </c>
      <c r="D17" s="331">
        <v>0.79305999999999999</v>
      </c>
      <c r="E17" s="1099">
        <v>0.12238</v>
      </c>
      <c r="F17" s="629" t="s">
        <v>677</v>
      </c>
      <c r="G17" s="394">
        <v>1.82</v>
      </c>
    </row>
    <row r="18" spans="1:7" x14ac:dyDescent="0.25">
      <c r="A18" s="1136">
        <v>40483</v>
      </c>
      <c r="B18" s="29"/>
      <c r="E18" s="1203"/>
      <c r="F18" s="1204"/>
      <c r="G18" s="1205"/>
    </row>
    <row r="19" spans="1:7" x14ac:dyDescent="0.25">
      <c r="A19" s="1202" t="s">
        <v>740</v>
      </c>
      <c r="B19" s="29">
        <v>250</v>
      </c>
      <c r="C19" s="630">
        <v>0.79375000000000007</v>
      </c>
      <c r="D19" s="331">
        <v>0.75557999999999981</v>
      </c>
      <c r="E19" s="1099">
        <v>0.12877</v>
      </c>
      <c r="F19" s="1288" t="s">
        <v>677</v>
      </c>
      <c r="G19" s="394">
        <v>1.91</v>
      </c>
    </row>
    <row r="20" spans="1:7" x14ac:dyDescent="0.25">
      <c r="A20" s="1202" t="s">
        <v>741</v>
      </c>
      <c r="B20" s="29">
        <v>250</v>
      </c>
      <c r="C20" s="630">
        <v>0.78347000000000011</v>
      </c>
      <c r="D20" s="331">
        <v>0.74651999999999985</v>
      </c>
      <c r="E20" s="1099">
        <v>0.12877</v>
      </c>
      <c r="F20" s="1288" t="s">
        <v>677</v>
      </c>
      <c r="G20" s="394">
        <v>1.91</v>
      </c>
    </row>
    <row r="21" spans="1:7" x14ac:dyDescent="0.25">
      <c r="A21" s="1136">
        <v>40848</v>
      </c>
      <c r="B21" s="29"/>
      <c r="C21" s="630"/>
      <c r="D21" s="331"/>
      <c r="E21" s="1099"/>
      <c r="F21" s="1318"/>
      <c r="G21" s="394"/>
    </row>
    <row r="22" spans="1:7" x14ac:dyDescent="0.25">
      <c r="A22" s="1202" t="s">
        <v>740</v>
      </c>
      <c r="B22" s="29">
        <v>250</v>
      </c>
      <c r="C22" s="630">
        <v>0.76424000000000014</v>
      </c>
      <c r="D22" s="331">
        <v>0.7271399999999999</v>
      </c>
      <c r="E22" s="1099">
        <v>0.13618</v>
      </c>
      <c r="F22" s="1318" t="s">
        <v>677</v>
      </c>
      <c r="G22" s="394">
        <v>2.0299999999999998</v>
      </c>
    </row>
    <row r="23" spans="1:7" x14ac:dyDescent="0.25">
      <c r="A23" s="1202" t="s">
        <v>741</v>
      </c>
      <c r="B23" s="29">
        <v>250</v>
      </c>
      <c r="C23" s="630">
        <v>0.75932000000000022</v>
      </c>
      <c r="D23" s="331">
        <v>0.72280999999999995</v>
      </c>
      <c r="E23" s="1099">
        <v>0.13618</v>
      </c>
      <c r="F23" s="1318" t="s">
        <v>677</v>
      </c>
      <c r="G23" s="394">
        <v>2.0299999999999998</v>
      </c>
    </row>
    <row r="24" spans="1:7" x14ac:dyDescent="0.25">
      <c r="A24" s="1136">
        <v>41214</v>
      </c>
      <c r="B24" s="29"/>
      <c r="C24" s="630"/>
      <c r="D24" s="331"/>
      <c r="E24" s="1099"/>
      <c r="F24" s="1443"/>
      <c r="G24" s="394"/>
    </row>
    <row r="25" spans="1:7" x14ac:dyDescent="0.25">
      <c r="A25" s="1202" t="s">
        <v>740</v>
      </c>
      <c r="B25" s="29">
        <v>250</v>
      </c>
      <c r="C25" s="630">
        <v>0.67049000000000014</v>
      </c>
      <c r="D25" s="331">
        <v>0.63289999999999991</v>
      </c>
      <c r="E25" s="1099">
        <v>0.14038999999999999</v>
      </c>
      <c r="F25" s="1443" t="s">
        <v>677</v>
      </c>
      <c r="G25" s="394">
        <v>2.09</v>
      </c>
    </row>
    <row r="26" spans="1:7" x14ac:dyDescent="0.25">
      <c r="A26" s="1202" t="s">
        <v>741</v>
      </c>
      <c r="B26" s="29">
        <v>250</v>
      </c>
      <c r="C26" s="630">
        <v>0.66199000000000019</v>
      </c>
      <c r="D26" s="331">
        <v>0.62539999999999996</v>
      </c>
      <c r="E26" s="1099">
        <v>0.14038999999999999</v>
      </c>
      <c r="F26" s="1443" t="s">
        <v>677</v>
      </c>
      <c r="G26" s="394">
        <v>2.09</v>
      </c>
    </row>
    <row r="27" spans="1:7" x14ac:dyDescent="0.25">
      <c r="A27" s="1471">
        <v>41579</v>
      </c>
      <c r="B27" s="29"/>
      <c r="C27" s="630"/>
      <c r="D27" s="331"/>
      <c r="E27" s="1099"/>
      <c r="F27" s="1470"/>
      <c r="G27" s="394"/>
    </row>
    <row r="28" spans="1:7" x14ac:dyDescent="0.25">
      <c r="A28" s="1202" t="s">
        <v>740</v>
      </c>
      <c r="B28" s="29">
        <v>250</v>
      </c>
      <c r="C28" s="630">
        <v>0.68579000000000001</v>
      </c>
      <c r="D28" s="331">
        <v>0.64785999999999999</v>
      </c>
      <c r="E28" s="1099">
        <v>0.14005000000000001</v>
      </c>
      <c r="F28" s="1470" t="s">
        <v>677</v>
      </c>
      <c r="G28" s="394">
        <v>2.09</v>
      </c>
    </row>
    <row r="29" spans="1:7" x14ac:dyDescent="0.25">
      <c r="A29" s="1202" t="s">
        <v>741</v>
      </c>
      <c r="B29" s="29">
        <v>250</v>
      </c>
      <c r="C29" s="630">
        <v>0.67005000000000003</v>
      </c>
      <c r="D29" s="331">
        <v>0.63397999999999999</v>
      </c>
      <c r="E29" s="1099">
        <v>0.14005000000000001</v>
      </c>
      <c r="F29" s="1470" t="s">
        <v>677</v>
      </c>
      <c r="G29" s="394">
        <v>2.09</v>
      </c>
    </row>
    <row r="30" spans="1:7" x14ac:dyDescent="0.25">
      <c r="A30" s="1136">
        <v>41944</v>
      </c>
      <c r="B30" s="29"/>
      <c r="E30" s="1203"/>
      <c r="F30" s="1204"/>
      <c r="G30" s="1205"/>
    </row>
    <row r="31" spans="1:7" x14ac:dyDescent="0.25">
      <c r="A31" s="1202" t="s">
        <v>740</v>
      </c>
      <c r="B31" s="29">
        <v>250</v>
      </c>
      <c r="C31" s="630">
        <v>0.76423000000000019</v>
      </c>
      <c r="D31" s="331">
        <v>0.72610999999999981</v>
      </c>
      <c r="E31" s="1099">
        <v>0.12517</v>
      </c>
      <c r="F31" s="1147" t="s">
        <v>677</v>
      </c>
      <c r="G31" s="394">
        <v>1.87</v>
      </c>
    </row>
    <row r="32" spans="1:7" x14ac:dyDescent="0.25">
      <c r="A32" s="1202" t="s">
        <v>741</v>
      </c>
      <c r="B32" s="29">
        <v>250</v>
      </c>
      <c r="C32" s="630">
        <v>0.74924000000000013</v>
      </c>
      <c r="D32" s="331">
        <v>0.71288999999999991</v>
      </c>
      <c r="E32" s="1099">
        <v>0.12517</v>
      </c>
      <c r="F32" s="1199" t="s">
        <v>677</v>
      </c>
      <c r="G32" s="394">
        <v>1.87</v>
      </c>
    </row>
    <row r="33" spans="1:7" x14ac:dyDescent="0.25">
      <c r="A33" s="1290">
        <v>42309</v>
      </c>
      <c r="B33" s="1293"/>
      <c r="C33" s="1291"/>
      <c r="D33" s="1291"/>
      <c r="E33" s="1598"/>
      <c r="F33" s="1599"/>
      <c r="G33" s="1600"/>
    </row>
    <row r="34" spans="1:7" x14ac:dyDescent="0.25">
      <c r="A34" s="1292" t="s">
        <v>740</v>
      </c>
      <c r="B34" s="1293">
        <v>250</v>
      </c>
      <c r="C34" s="1299">
        <v>0.60450000000000026</v>
      </c>
      <c r="D34" s="1294">
        <v>0.56629999999999991</v>
      </c>
      <c r="E34" s="1601">
        <v>0.12112000000000001</v>
      </c>
      <c r="F34" s="1602" t="s">
        <v>677</v>
      </c>
      <c r="G34" s="1603">
        <v>1.81</v>
      </c>
    </row>
    <row r="35" spans="1:7" x14ac:dyDescent="0.25">
      <c r="A35" s="1292" t="s">
        <v>741</v>
      </c>
      <c r="B35" s="1293">
        <v>250</v>
      </c>
      <c r="C35" s="1299">
        <v>0.58997000000000022</v>
      </c>
      <c r="D35" s="1294">
        <v>0.55346999999999991</v>
      </c>
      <c r="E35" s="1601">
        <v>0.12112000000000001</v>
      </c>
      <c r="F35" s="1602" t="s">
        <v>677</v>
      </c>
      <c r="G35" s="1603">
        <v>1.81</v>
      </c>
    </row>
    <row r="36" spans="1:7" x14ac:dyDescent="0.25">
      <c r="A36" s="1290">
        <v>42675</v>
      </c>
      <c r="B36" s="1293"/>
      <c r="C36" s="1291"/>
      <c r="D36" s="1291"/>
      <c r="E36" s="1598"/>
      <c r="F36" s="1599"/>
      <c r="G36" s="1600"/>
    </row>
    <row r="37" spans="1:7" x14ac:dyDescent="0.25">
      <c r="A37" s="1292" t="s">
        <v>740</v>
      </c>
      <c r="B37" s="1293">
        <v>250</v>
      </c>
      <c r="C37" s="1299">
        <v>0.58449000000000029</v>
      </c>
      <c r="D37" s="1294">
        <v>0.54572999999999983</v>
      </c>
      <c r="E37" s="1601">
        <v>0.12379999999999999</v>
      </c>
      <c r="F37" s="1602" t="s">
        <v>677</v>
      </c>
      <c r="G37" s="1603">
        <v>1.85</v>
      </c>
    </row>
    <row r="38" spans="1:7" x14ac:dyDescent="0.25">
      <c r="A38" s="1292" t="s">
        <v>741</v>
      </c>
      <c r="B38" s="1293">
        <v>250</v>
      </c>
      <c r="C38" s="1299">
        <v>0.56538000000000022</v>
      </c>
      <c r="D38" s="1294">
        <v>0.52887999999999991</v>
      </c>
      <c r="E38" s="1601">
        <v>0.12379999999999999</v>
      </c>
      <c r="F38" s="1602" t="s">
        <v>677</v>
      </c>
      <c r="G38" s="1603">
        <v>1.85</v>
      </c>
    </row>
    <row r="39" spans="1:7" x14ac:dyDescent="0.25">
      <c r="A39" s="1290">
        <v>43040</v>
      </c>
      <c r="B39" s="1293"/>
      <c r="C39" s="1299"/>
      <c r="D39" s="1294"/>
      <c r="E39" s="1601"/>
      <c r="F39" s="1602"/>
      <c r="G39" s="1603"/>
    </row>
    <row r="40" spans="1:7" x14ac:dyDescent="0.25">
      <c r="A40" s="1292" t="s">
        <v>740</v>
      </c>
      <c r="B40" s="1293">
        <v>250</v>
      </c>
      <c r="C40" s="1299">
        <v>0.55691000000000024</v>
      </c>
      <c r="D40" s="1294">
        <v>0.51810999999999996</v>
      </c>
      <c r="E40" s="1601">
        <v>0.12157999999999999</v>
      </c>
      <c r="F40" s="1602" t="s">
        <v>677</v>
      </c>
      <c r="G40" s="1603">
        <v>1.82</v>
      </c>
    </row>
    <row r="41" spans="1:7" x14ac:dyDescent="0.25">
      <c r="A41" s="1292" t="s">
        <v>741</v>
      </c>
      <c r="B41" s="1293">
        <v>250</v>
      </c>
      <c r="C41" s="1299">
        <v>0.53626000000000018</v>
      </c>
      <c r="D41" s="1294">
        <v>0.49990999999999991</v>
      </c>
      <c r="E41" s="1601">
        <v>0.12157999999999999</v>
      </c>
      <c r="F41" s="1602" t="s">
        <v>677</v>
      </c>
      <c r="G41" s="1603">
        <v>1.82</v>
      </c>
    </row>
    <row r="42" spans="1:7" x14ac:dyDescent="0.25">
      <c r="A42" s="1136">
        <v>43405</v>
      </c>
      <c r="B42" s="1293"/>
      <c r="C42" s="1299"/>
      <c r="D42" s="1294"/>
      <c r="E42" s="1601"/>
      <c r="F42" s="1602"/>
      <c r="G42" s="1603"/>
    </row>
    <row r="43" spans="1:7" x14ac:dyDescent="0.25">
      <c r="A43" s="1292" t="s">
        <v>740</v>
      </c>
      <c r="B43" s="1293">
        <v>250</v>
      </c>
      <c r="C43" s="1299">
        <v>0.4992600000000002</v>
      </c>
      <c r="D43" s="1294">
        <v>0.46018000000000003</v>
      </c>
      <c r="E43" s="1601">
        <v>0.1113</v>
      </c>
      <c r="F43" s="1602" t="s">
        <v>677</v>
      </c>
      <c r="G43" s="1603">
        <v>1.66</v>
      </c>
    </row>
    <row r="44" spans="1:7" x14ac:dyDescent="0.25">
      <c r="A44" s="1292" t="s">
        <v>741</v>
      </c>
      <c r="B44" s="1293">
        <v>250</v>
      </c>
      <c r="C44" s="1299">
        <v>0.47592000000000029</v>
      </c>
      <c r="D44" s="1294">
        <v>0.43959999999999988</v>
      </c>
      <c r="E44" s="1601">
        <v>0.1113</v>
      </c>
      <c r="F44" s="1602" t="s">
        <v>677</v>
      </c>
      <c r="G44" s="1603">
        <v>1.66</v>
      </c>
    </row>
    <row r="45" spans="1:7" ht="15" customHeight="1" x14ac:dyDescent="0.25">
      <c r="A45" s="1136">
        <f>+EFFDATE</f>
        <v>43770</v>
      </c>
      <c r="B45" s="29"/>
      <c r="E45" s="1203"/>
      <c r="F45" s="1204"/>
      <c r="G45" s="1205"/>
    </row>
    <row r="46" spans="1:7" x14ac:dyDescent="0.25">
      <c r="A46" s="1202" t="s">
        <v>740</v>
      </c>
      <c r="B46" s="29">
        <v>250</v>
      </c>
      <c r="C46" s="630">
        <f>'Rates in detail'!$V$19</f>
        <v>0.54353000000000029</v>
      </c>
      <c r="D46" s="331">
        <f>'Rates in detail'!$V$20</f>
        <v>0.50379999999999991</v>
      </c>
      <c r="E46" s="1099">
        <f>Inputs!$B$18</f>
        <v>0.1109</v>
      </c>
      <c r="F46" s="1480" t="s">
        <v>677</v>
      </c>
      <c r="G46" s="394">
        <f>Inputs!$B$22</f>
        <v>1.66</v>
      </c>
    </row>
    <row r="47" spans="1:7" x14ac:dyDescent="0.25">
      <c r="A47" s="1202" t="s">
        <v>741</v>
      </c>
      <c r="B47" s="29">
        <v>250</v>
      </c>
      <c r="C47" s="630">
        <f>'Rates in detail'!$V$25</f>
        <v>0.51405000000000034</v>
      </c>
      <c r="D47" s="331">
        <f>'Rates in detail'!$V$26</f>
        <v>0.47782999999999987</v>
      </c>
      <c r="E47" s="1099">
        <f>Inputs!$B$18</f>
        <v>0.1109</v>
      </c>
      <c r="F47" s="1480" t="s">
        <v>677</v>
      </c>
      <c r="G47" s="394">
        <f>Inputs!$B$22</f>
        <v>1.66</v>
      </c>
    </row>
    <row r="48" spans="1:7" x14ac:dyDescent="0.25">
      <c r="A48" s="364"/>
      <c r="D48" s="247"/>
    </row>
    <row r="56" spans="1:1" ht="42" customHeight="1" x14ac:dyDescent="0.25"/>
    <row r="58" spans="1:1" x14ac:dyDescent="0.25">
      <c r="A58" s="364"/>
    </row>
  </sheetData>
  <mergeCells count="5">
    <mergeCell ref="I10:J10"/>
    <mergeCell ref="D1:E1"/>
    <mergeCell ref="E7:G7"/>
    <mergeCell ref="I7:J7"/>
    <mergeCell ref="I8:J8"/>
  </mergeCells>
  <phoneticPr fontId="12" type="noConversion"/>
  <pageMargins left="0.75" right="0.66" top="0.71" bottom="0.64"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R105"/>
  <sheetViews>
    <sheetView showGridLines="0" zoomScaleNormal="100" workbookViewId="0">
      <pane xSplit="4" ySplit="12" topLeftCell="E13" activePane="bottomRight" state="frozen"/>
      <selection activeCell="E2" sqref="E2"/>
      <selection pane="topRight" activeCell="E2" sqref="E2"/>
      <selection pane="bottomLeft" activeCell="E2" sqref="E2"/>
      <selection pane="bottomRight" activeCell="E2" sqref="E2"/>
    </sheetView>
  </sheetViews>
  <sheetFormatPr defaultColWidth="9.33203125" defaultRowHeight="13.2" x14ac:dyDescent="0.25"/>
  <cols>
    <col min="1" max="1" width="5.88671875" style="436" customWidth="1"/>
    <col min="2" max="2" width="17.88671875" style="505" customWidth="1"/>
    <col min="3" max="3" width="11.88671875" style="505" customWidth="1"/>
    <col min="4" max="4" width="14.33203125" style="505" hidden="1" customWidth="1"/>
    <col min="5" max="5" width="19.88671875" style="436" customWidth="1"/>
    <col min="6" max="9" width="16.88671875" style="436" customWidth="1"/>
    <col min="10" max="10" width="18.33203125" style="436" customWidth="1"/>
    <col min="11" max="11" width="5.88671875" style="437" customWidth="1"/>
    <col min="12" max="12" width="14.6640625" style="653" customWidth="1"/>
    <col min="13" max="13" width="15.88671875" style="436" customWidth="1"/>
    <col min="14" max="14" width="8.6640625" style="436" customWidth="1"/>
    <col min="15" max="15" width="14.6640625" style="437" customWidth="1"/>
    <col min="16" max="16" width="12.33203125" style="436" bestFit="1" customWidth="1"/>
    <col min="17" max="17" width="10.33203125" style="436" bestFit="1" customWidth="1"/>
    <col min="18" max="16384" width="9.33203125" style="436"/>
  </cols>
  <sheetData>
    <row r="1" spans="1:17" ht="15" x14ac:dyDescent="0.25">
      <c r="A1" s="597" t="s">
        <v>0</v>
      </c>
    </row>
    <row r="2" spans="1:17" ht="15" x14ac:dyDescent="0.25">
      <c r="A2" s="597" t="s">
        <v>1</v>
      </c>
    </row>
    <row r="3" spans="1:17" ht="13.8" x14ac:dyDescent="0.25">
      <c r="A3" s="1035" t="s">
        <v>1180</v>
      </c>
    </row>
    <row r="4" spans="1:17" ht="13.8" x14ac:dyDescent="0.25">
      <c r="A4" s="598" t="s">
        <v>119</v>
      </c>
    </row>
    <row r="6" spans="1:17" x14ac:dyDescent="0.25">
      <c r="F6" s="600" t="s">
        <v>18</v>
      </c>
      <c r="G6" s="600" t="s">
        <v>18</v>
      </c>
      <c r="H6" s="600" t="s">
        <v>18</v>
      </c>
      <c r="I6" s="600" t="s">
        <v>18</v>
      </c>
    </row>
    <row r="7" spans="1:17" ht="15" x14ac:dyDescent="0.25">
      <c r="A7" s="479">
        <v>1</v>
      </c>
      <c r="B7" s="599"/>
      <c r="F7" s="600" t="s">
        <v>700</v>
      </c>
      <c r="G7" s="600" t="s">
        <v>700</v>
      </c>
      <c r="H7" s="600" t="s">
        <v>700</v>
      </c>
      <c r="I7" s="600" t="s">
        <v>700</v>
      </c>
    </row>
    <row r="8" spans="1:17" ht="15" x14ac:dyDescent="0.25">
      <c r="A8" s="479">
        <f>+A7+1</f>
        <v>2</v>
      </c>
      <c r="B8" s="599"/>
      <c r="E8" s="439" t="s">
        <v>17</v>
      </c>
      <c r="F8" s="600" t="s">
        <v>46</v>
      </c>
      <c r="G8" s="600" t="s">
        <v>47</v>
      </c>
      <c r="H8" s="600" t="s">
        <v>318</v>
      </c>
      <c r="I8" s="600" t="s">
        <v>316</v>
      </c>
      <c r="M8" s="439" t="s">
        <v>215</v>
      </c>
      <c r="O8" s="444"/>
    </row>
    <row r="9" spans="1:17" x14ac:dyDescent="0.25">
      <c r="A9" s="479">
        <f t="shared" ref="A9:A71" si="0">+A8+1</f>
        <v>3</v>
      </c>
      <c r="B9" s="601"/>
      <c r="E9" s="439" t="s">
        <v>705</v>
      </c>
      <c r="F9" s="600" t="s">
        <v>158</v>
      </c>
      <c r="G9" s="600" t="s">
        <v>158</v>
      </c>
      <c r="H9" s="600" t="s">
        <v>158</v>
      </c>
      <c r="I9" s="600" t="s">
        <v>158</v>
      </c>
      <c r="M9" s="439" t="s">
        <v>197</v>
      </c>
      <c r="O9" s="444"/>
    </row>
    <row r="10" spans="1:17" ht="13.8" thickBot="1" x14ac:dyDescent="0.3">
      <c r="A10" s="479">
        <f t="shared" si="0"/>
        <v>4</v>
      </c>
      <c r="E10" s="1606" t="s">
        <v>1183</v>
      </c>
      <c r="F10" s="602" t="s">
        <v>702</v>
      </c>
      <c r="G10" s="602" t="s">
        <v>702</v>
      </c>
      <c r="H10" s="602" t="s">
        <v>702</v>
      </c>
      <c r="I10" s="602" t="s">
        <v>702</v>
      </c>
      <c r="J10" s="602" t="s">
        <v>15</v>
      </c>
      <c r="K10" s="600"/>
      <c r="L10" s="602" t="s">
        <v>202</v>
      </c>
      <c r="M10" s="536" t="s">
        <v>203</v>
      </c>
      <c r="O10" s="444"/>
    </row>
    <row r="11" spans="1:17" x14ac:dyDescent="0.25">
      <c r="A11" s="479">
        <f t="shared" si="0"/>
        <v>5</v>
      </c>
      <c r="J11" s="439"/>
      <c r="K11" s="444"/>
      <c r="M11" s="439" t="s">
        <v>703</v>
      </c>
      <c r="O11" s="444"/>
    </row>
    <row r="12" spans="1:17" x14ac:dyDescent="0.25">
      <c r="A12" s="479">
        <f t="shared" si="0"/>
        <v>6</v>
      </c>
      <c r="B12" s="496" t="s">
        <v>2</v>
      </c>
      <c r="C12" s="445" t="s">
        <v>3</v>
      </c>
      <c r="D12" s="451" t="s">
        <v>159</v>
      </c>
      <c r="E12" s="446" t="s">
        <v>77</v>
      </c>
      <c r="F12" s="446" t="s">
        <v>78</v>
      </c>
      <c r="G12" s="446" t="s">
        <v>16</v>
      </c>
      <c r="H12" s="446" t="s">
        <v>79</v>
      </c>
      <c r="I12" s="446" t="s">
        <v>80</v>
      </c>
      <c r="J12" s="446" t="s">
        <v>81</v>
      </c>
      <c r="K12" s="444"/>
      <c r="L12" s="654" t="s">
        <v>82</v>
      </c>
      <c r="M12" s="439" t="s">
        <v>83</v>
      </c>
      <c r="N12" s="437"/>
      <c r="O12" s="444"/>
      <c r="P12" s="437"/>
      <c r="Q12" s="437"/>
    </row>
    <row r="13" spans="1:17" x14ac:dyDescent="0.25">
      <c r="A13" s="479">
        <f t="shared" si="0"/>
        <v>7</v>
      </c>
      <c r="B13" s="450" t="s">
        <v>4</v>
      </c>
      <c r="C13" s="447"/>
      <c r="D13" s="450" t="s">
        <v>4</v>
      </c>
      <c r="E13" s="1607">
        <v>191257.1</v>
      </c>
      <c r="F13" s="603">
        <f>ROUND(((E13/($E$13+$E$15+$E$18)))*$F$71,1)</f>
        <v>196915.9</v>
      </c>
      <c r="G13" s="603"/>
      <c r="H13" s="603"/>
      <c r="I13" s="603"/>
      <c r="J13" s="603">
        <f>IF(SUM(F13:I13)=0,E13,SUM(F13:I13))</f>
        <v>196915.9</v>
      </c>
      <c r="K13" s="604"/>
      <c r="L13" s="1579">
        <v>885</v>
      </c>
      <c r="M13" s="603">
        <f t="shared" ref="M13:M18" si="1">IF(L13&lt;&gt;0,ROUND(+J13/L13/12,0),0)</f>
        <v>19</v>
      </c>
      <c r="N13" s="607"/>
      <c r="O13" s="604" t="s">
        <v>1173</v>
      </c>
      <c r="P13" s="606"/>
      <c r="Q13" s="1668">
        <f>L13+L15</f>
        <v>78579</v>
      </c>
    </row>
    <row r="14" spans="1:17" x14ac:dyDescent="0.25">
      <c r="A14" s="479">
        <f t="shared" si="0"/>
        <v>8</v>
      </c>
      <c r="B14" s="450" t="s">
        <v>5</v>
      </c>
      <c r="C14" s="447"/>
      <c r="D14" s="450" t="s">
        <v>5</v>
      </c>
      <c r="E14" s="1607">
        <v>38545.900000000009</v>
      </c>
      <c r="F14" s="603"/>
      <c r="G14" s="603">
        <f>ROUND((E14/($E$14+$E$16+$E$19+$E$20+$E$29+$E$30+$E$31+$E$32+$E$33+$E$34))*$G$71,1)</f>
        <v>41008.9</v>
      </c>
      <c r="H14" s="603"/>
      <c r="I14" s="603"/>
      <c r="J14" s="603">
        <f t="shared" ref="J14:J66" si="2">IF(SUM(F14:I14)=0,E14,SUM(F14:I14))</f>
        <v>41008.9</v>
      </c>
      <c r="K14" s="604"/>
      <c r="L14" s="1579">
        <v>36</v>
      </c>
      <c r="M14" s="603">
        <f t="shared" si="1"/>
        <v>95</v>
      </c>
      <c r="N14" s="607"/>
      <c r="O14" s="604" t="s">
        <v>1174</v>
      </c>
      <c r="P14" s="606"/>
      <c r="Q14" s="1668">
        <f>L14+L16+L18+L19+L21+L29+L47</f>
        <v>7248</v>
      </c>
    </row>
    <row r="15" spans="1:17" x14ac:dyDescent="0.25">
      <c r="A15" s="479">
        <f t="shared" si="0"/>
        <v>9</v>
      </c>
      <c r="B15" s="450" t="s">
        <v>14</v>
      </c>
      <c r="C15" s="447"/>
      <c r="D15" s="450" t="s">
        <v>14</v>
      </c>
      <c r="E15" s="1607">
        <v>51774808.900000006</v>
      </c>
      <c r="F15" s="603">
        <f>ROUND(((E15/($E$13+$E$15+$E$18)))*$F$71,1)</f>
        <v>53306699.299999997</v>
      </c>
      <c r="G15" s="603"/>
      <c r="H15" s="603"/>
      <c r="I15" s="603"/>
      <c r="J15" s="603">
        <f t="shared" si="2"/>
        <v>53306699.299999997</v>
      </c>
      <c r="K15" s="604"/>
      <c r="L15" s="1579">
        <v>77694</v>
      </c>
      <c r="M15" s="603">
        <f t="shared" si="1"/>
        <v>57</v>
      </c>
      <c r="N15" s="607"/>
      <c r="O15" s="604" t="s">
        <v>1175</v>
      </c>
      <c r="P15" s="606"/>
      <c r="Q15" s="1668">
        <f>L68-Q13-Q14</f>
        <v>89</v>
      </c>
    </row>
    <row r="16" spans="1:17" x14ac:dyDescent="0.25">
      <c r="A16" s="479">
        <f t="shared" si="0"/>
        <v>10</v>
      </c>
      <c r="B16" s="450" t="s">
        <v>12</v>
      </c>
      <c r="C16" s="447"/>
      <c r="D16" s="450" t="s">
        <v>12</v>
      </c>
      <c r="E16" s="1607">
        <v>17415380.399999999</v>
      </c>
      <c r="F16" s="603"/>
      <c r="G16" s="603">
        <f>ROUND((E16/($E$14+$E$16+$E$19+$E$20+$E$29+$E$30+$E$31+$E$32+$E$33+$E$34))*$G$71,1)</f>
        <v>18528180.699999999</v>
      </c>
      <c r="H16" s="603"/>
      <c r="I16" s="603"/>
      <c r="J16" s="603">
        <f t="shared" si="2"/>
        <v>18528180.699999999</v>
      </c>
      <c r="K16" s="604"/>
      <c r="L16" s="1579">
        <v>6219</v>
      </c>
      <c r="M16" s="603">
        <f t="shared" si="1"/>
        <v>248</v>
      </c>
      <c r="N16" s="607"/>
      <c r="O16" s="604"/>
      <c r="P16" s="606"/>
      <c r="Q16" s="538"/>
    </row>
    <row r="17" spans="1:17" x14ac:dyDescent="0.25">
      <c r="A17" s="479">
        <f t="shared" si="0"/>
        <v>11</v>
      </c>
      <c r="B17" s="450" t="s">
        <v>13</v>
      </c>
      <c r="C17" s="447"/>
      <c r="D17" s="450" t="s">
        <v>13</v>
      </c>
      <c r="E17" s="1607">
        <v>363433.89999999997</v>
      </c>
      <c r="F17" s="603"/>
      <c r="G17" s="603"/>
      <c r="H17" s="603">
        <f>ROUND((E17/(+$E$17+SUM($E$25:$E$26)+SUM($E$35:$E$40)))*$H$71,0)</f>
        <v>363801</v>
      </c>
      <c r="I17" s="603"/>
      <c r="J17" s="603">
        <f t="shared" si="2"/>
        <v>363801</v>
      </c>
      <c r="K17" s="604"/>
      <c r="L17" s="1579">
        <v>25</v>
      </c>
      <c r="M17" s="603">
        <f t="shared" si="1"/>
        <v>1213</v>
      </c>
      <c r="N17" s="607"/>
      <c r="O17" s="604"/>
      <c r="P17" s="606"/>
      <c r="Q17" s="538"/>
    </row>
    <row r="18" spans="1:17" x14ac:dyDescent="0.25">
      <c r="A18" s="479">
        <f t="shared" si="0"/>
        <v>12</v>
      </c>
      <c r="B18" s="510">
        <v>27</v>
      </c>
      <c r="C18" s="455"/>
      <c r="D18" s="510">
        <v>27</v>
      </c>
      <c r="E18" s="1719">
        <v>559230.89999999991</v>
      </c>
      <c r="F18" s="608">
        <f>ROUND(((E18/($E$13+$E$15+$E$18)))*$F$71,1)</f>
        <v>575777.19999999995</v>
      </c>
      <c r="G18" s="608"/>
      <c r="H18" s="608"/>
      <c r="I18" s="608"/>
      <c r="J18" s="608">
        <f t="shared" si="2"/>
        <v>575777.19999999995</v>
      </c>
      <c r="K18" s="604"/>
      <c r="L18" s="1578">
        <v>889</v>
      </c>
      <c r="M18" s="608">
        <f t="shared" si="1"/>
        <v>54</v>
      </c>
      <c r="N18" s="605"/>
      <c r="O18" s="604"/>
      <c r="P18" s="606"/>
      <c r="Q18" s="538"/>
    </row>
    <row r="19" spans="1:17" x14ac:dyDescent="0.25">
      <c r="A19" s="479">
        <f t="shared" si="0"/>
        <v>13</v>
      </c>
      <c r="B19" s="505" t="s">
        <v>857</v>
      </c>
      <c r="C19" s="452" t="s">
        <v>6</v>
      </c>
      <c r="D19" s="505" t="s">
        <v>120</v>
      </c>
      <c r="E19" s="1720">
        <v>1851900.2000000002</v>
      </c>
      <c r="F19" s="604"/>
      <c r="G19" s="604">
        <f>ROUND((E19/($E$14+$E$16+$E$19+$E$20+$E$29+$E$30+$E$31+$E$32+$E$33+$E$34))*$G$71,1)</f>
        <v>1970232.1</v>
      </c>
      <c r="H19" s="604"/>
      <c r="I19" s="604"/>
      <c r="J19" s="604">
        <f t="shared" si="2"/>
        <v>1970232.1</v>
      </c>
      <c r="K19" s="604"/>
      <c r="L19" s="1577">
        <v>96</v>
      </c>
      <c r="M19" s="604">
        <f>IF(L19&lt;&gt;0,ROUND(+SUM(J19:J20)/L19/12,0),0)</f>
        <v>3554</v>
      </c>
      <c r="N19" s="609"/>
      <c r="O19" s="604"/>
      <c r="P19" s="1482"/>
      <c r="Q19" s="538"/>
    </row>
    <row r="20" spans="1:17" x14ac:dyDescent="0.25">
      <c r="A20" s="479">
        <f t="shared" si="0"/>
        <v>14</v>
      </c>
      <c r="B20" s="510"/>
      <c r="C20" s="456" t="s">
        <v>7</v>
      </c>
      <c r="D20" s="510" t="s">
        <v>121</v>
      </c>
      <c r="E20" s="1719">
        <v>1996310.4</v>
      </c>
      <c r="F20" s="608"/>
      <c r="G20" s="608">
        <f>ROUND((E20/($E$14+$E$16+$E$19+$E$20+$E$29+$E$30+$E$31+$E$32+$E$33+$E$34))*$G$71,1)</f>
        <v>2123869.7999999998</v>
      </c>
      <c r="H20" s="608"/>
      <c r="I20" s="608"/>
      <c r="J20" s="608">
        <f t="shared" si="2"/>
        <v>2123869.7999999998</v>
      </c>
      <c r="K20" s="604"/>
      <c r="L20" s="1578"/>
      <c r="M20" s="608"/>
      <c r="N20" s="609"/>
      <c r="O20" s="604"/>
      <c r="P20" s="1482"/>
      <c r="Q20" s="538"/>
    </row>
    <row r="21" spans="1:17" x14ac:dyDescent="0.25">
      <c r="A21" s="479">
        <f t="shared" si="0"/>
        <v>15</v>
      </c>
      <c r="B21" s="505" t="s">
        <v>858</v>
      </c>
      <c r="C21" s="452" t="s">
        <v>6</v>
      </c>
      <c r="E21" s="1720">
        <v>0</v>
      </c>
      <c r="F21" s="604"/>
      <c r="G21" s="604"/>
      <c r="H21" s="604"/>
      <c r="I21" s="604">
        <f>ROUND((E21/(+SUM($E$27:$E$28)+SUM($E$47:$E$52)+SUM($E$21:$E$22)+SUM($E$53:$E$58)))*$I$71,0)</f>
        <v>0</v>
      </c>
      <c r="J21" s="604">
        <f t="shared" si="2"/>
        <v>0</v>
      </c>
      <c r="K21" s="604"/>
      <c r="L21" s="1577">
        <v>0</v>
      </c>
      <c r="M21" s="604">
        <f>IF(L21&lt;&gt;0,ROUND(+SUM(J21:J22)/L21/12,0),0)</f>
        <v>0</v>
      </c>
      <c r="N21" s="609"/>
      <c r="O21" s="604"/>
      <c r="P21" s="1482"/>
      <c r="Q21" s="538"/>
    </row>
    <row r="22" spans="1:17" x14ac:dyDescent="0.25">
      <c r="A22" s="479">
        <f t="shared" si="0"/>
        <v>16</v>
      </c>
      <c r="B22" s="510"/>
      <c r="C22" s="456" t="s">
        <v>7</v>
      </c>
      <c r="E22" s="1719">
        <v>0</v>
      </c>
      <c r="F22" s="608"/>
      <c r="G22" s="608"/>
      <c r="H22" s="608"/>
      <c r="I22" s="608">
        <f>ROUND((E22/(+SUM($E$27:$E$28)+SUM($E$47:$E$52)+SUM($E$21:$E$22)+SUM($E$53:$E$58)))*$I$71,0)</f>
        <v>0</v>
      </c>
      <c r="J22" s="608">
        <f t="shared" si="2"/>
        <v>0</v>
      </c>
      <c r="K22" s="604"/>
      <c r="L22" s="1578"/>
      <c r="M22" s="608"/>
      <c r="N22" s="609"/>
      <c r="O22" s="604"/>
      <c r="P22" s="1482"/>
      <c r="Q22" s="538"/>
    </row>
    <row r="23" spans="1:17" x14ac:dyDescent="0.25">
      <c r="A23" s="479">
        <f t="shared" si="0"/>
        <v>17</v>
      </c>
      <c r="B23" s="505" t="s">
        <v>161</v>
      </c>
      <c r="C23" s="452" t="s">
        <v>6</v>
      </c>
      <c r="D23" s="505" t="s">
        <v>122</v>
      </c>
      <c r="E23" s="1720">
        <v>303749</v>
      </c>
      <c r="F23" s="604"/>
      <c r="G23" s="604"/>
      <c r="H23" s="604"/>
      <c r="I23" s="604"/>
      <c r="J23" s="604">
        <f t="shared" si="2"/>
        <v>303749</v>
      </c>
      <c r="K23" s="604"/>
      <c r="L23" s="1577">
        <v>8</v>
      </c>
      <c r="M23" s="604">
        <f>IF(L23&lt;&gt;0,ROUND(+SUM(J23:J24)/L23/12,0),0)</f>
        <v>8210</v>
      </c>
      <c r="N23" s="609"/>
      <c r="O23" s="604"/>
      <c r="P23" s="1482"/>
      <c r="Q23" s="538"/>
    </row>
    <row r="24" spans="1:17" x14ac:dyDescent="0.25">
      <c r="A24" s="479">
        <f t="shared" si="0"/>
        <v>18</v>
      </c>
      <c r="B24" s="510"/>
      <c r="C24" s="456" t="s">
        <v>7</v>
      </c>
      <c r="D24" s="510" t="s">
        <v>123</v>
      </c>
      <c r="E24" s="1719">
        <v>484375</v>
      </c>
      <c r="F24" s="608"/>
      <c r="G24" s="608"/>
      <c r="H24" s="608"/>
      <c r="I24" s="608"/>
      <c r="J24" s="608">
        <f t="shared" si="2"/>
        <v>484375</v>
      </c>
      <c r="K24" s="604"/>
      <c r="L24" s="1578"/>
      <c r="M24" s="608"/>
      <c r="N24" s="610"/>
    </row>
    <row r="25" spans="1:17" x14ac:dyDescent="0.25">
      <c r="A25" s="479">
        <f t="shared" si="0"/>
        <v>19</v>
      </c>
      <c r="B25" s="505" t="s">
        <v>859</v>
      </c>
      <c r="C25" s="452" t="s">
        <v>6</v>
      </c>
      <c r="E25" s="1720">
        <v>359872.9</v>
      </c>
      <c r="F25" s="604"/>
      <c r="G25" s="604"/>
      <c r="H25" s="604">
        <f>ROUND((E25/(+$E$17+SUM($E$25:$E$26)+SUM($E$35:$E$40)))*$H$71,0)</f>
        <v>360236</v>
      </c>
      <c r="I25" s="604"/>
      <c r="J25" s="604">
        <f t="shared" si="2"/>
        <v>360236</v>
      </c>
      <c r="K25" s="604"/>
      <c r="L25" s="1577">
        <v>18</v>
      </c>
      <c r="M25" s="604">
        <f>IF(L25&lt;&gt;0,ROUND(+SUM(J25:J26)/L25/12,0),0)</f>
        <v>4177</v>
      </c>
      <c r="N25" s="610"/>
      <c r="O25" s="604"/>
      <c r="P25" s="1723"/>
      <c r="Q25" s="538"/>
    </row>
    <row r="26" spans="1:17" x14ac:dyDescent="0.25">
      <c r="A26" s="479">
        <f t="shared" si="0"/>
        <v>20</v>
      </c>
      <c r="B26" s="510"/>
      <c r="C26" s="456" t="s">
        <v>7</v>
      </c>
      <c r="E26" s="1719">
        <v>541493.6</v>
      </c>
      <c r="F26" s="608"/>
      <c r="G26" s="608"/>
      <c r="H26" s="608">
        <f>ROUND((E26/(+$E$17+SUM($E$25:$E$26)+SUM($E$35:$E$40)))*$H$71,0)</f>
        <v>542040</v>
      </c>
      <c r="I26" s="608"/>
      <c r="J26" s="608">
        <f t="shared" si="2"/>
        <v>542040</v>
      </c>
      <c r="K26" s="604"/>
      <c r="L26" s="1578"/>
      <c r="M26" s="608"/>
      <c r="N26" s="610"/>
      <c r="O26" s="604"/>
      <c r="P26" s="1723"/>
      <c r="Q26" s="538"/>
    </row>
    <row r="27" spans="1:17" x14ac:dyDescent="0.25">
      <c r="A27" s="479">
        <f t="shared" si="0"/>
        <v>21</v>
      </c>
      <c r="B27" s="505" t="s">
        <v>860</v>
      </c>
      <c r="C27" s="452" t="s">
        <v>6</v>
      </c>
      <c r="D27" s="505" t="s">
        <v>124</v>
      </c>
      <c r="E27" s="1720">
        <v>0</v>
      </c>
      <c r="F27" s="604"/>
      <c r="G27" s="604"/>
      <c r="H27" s="604"/>
      <c r="I27" s="604">
        <f>ROUND((E27/(+SUM($E$27:$E$28)+SUM($E$47:$E$52)+SUM($E$21:$E$22)+SUM($E$53:$E$58)))*$I$71,0)</f>
        <v>0</v>
      </c>
      <c r="J27" s="604">
        <f t="shared" si="2"/>
        <v>0</v>
      </c>
      <c r="K27" s="604"/>
      <c r="L27" s="1577">
        <v>0</v>
      </c>
      <c r="M27" s="604">
        <f>IF(L27&lt;&gt;0,ROUND(+SUM(J27:J28)/L27/12,0),0)</f>
        <v>0</v>
      </c>
      <c r="N27" s="610"/>
    </row>
    <row r="28" spans="1:17" x14ac:dyDescent="0.25">
      <c r="A28" s="479">
        <f t="shared" si="0"/>
        <v>22</v>
      </c>
      <c r="B28" s="510"/>
      <c r="C28" s="456" t="s">
        <v>7</v>
      </c>
      <c r="D28" s="510" t="s">
        <v>125</v>
      </c>
      <c r="E28" s="1719">
        <v>0</v>
      </c>
      <c r="F28" s="608"/>
      <c r="G28" s="608"/>
      <c r="H28" s="608"/>
      <c r="I28" s="608">
        <f>ROUND((E28/(+SUM($E$27:$E$28)+SUM($E$47:$E$52)+SUM($E$21:$E$22)+SUM($E$53:$E$58)))*$I$71,0)</f>
        <v>0</v>
      </c>
      <c r="J28" s="608">
        <f t="shared" si="2"/>
        <v>0</v>
      </c>
      <c r="K28" s="604"/>
      <c r="L28" s="1578"/>
      <c r="M28" s="608"/>
      <c r="N28" s="605"/>
    </row>
    <row r="29" spans="1:17" x14ac:dyDescent="0.25">
      <c r="A29" s="479">
        <f t="shared" si="0"/>
        <v>23</v>
      </c>
      <c r="B29" s="505" t="s">
        <v>163</v>
      </c>
      <c r="C29" s="452" t="s">
        <v>6</v>
      </c>
      <c r="D29" s="505" t="s">
        <v>126</v>
      </c>
      <c r="E29" s="1720">
        <v>527477.9</v>
      </c>
      <c r="F29" s="604"/>
      <c r="G29" s="604">
        <f t="shared" ref="G29:G34" si="3">ROUND((E29/($E$14+$E$16+$E$19+$E$20+$E$29+$E$30+$E$31+$E$32+$E$33+$E$34))*$G$71,1)</f>
        <v>561182.4</v>
      </c>
      <c r="H29" s="604"/>
      <c r="I29" s="604"/>
      <c r="J29" s="604">
        <f t="shared" si="2"/>
        <v>561182.4</v>
      </c>
      <c r="K29" s="604"/>
      <c r="L29" s="1577">
        <v>6</v>
      </c>
      <c r="M29" s="604">
        <f>IF(L29&lt;&gt;0,ROUND(+SUM(J29:J34)/L29/12,0),0)</f>
        <v>16603</v>
      </c>
    </row>
    <row r="30" spans="1:17" x14ac:dyDescent="0.25">
      <c r="A30" s="479">
        <f t="shared" si="0"/>
        <v>24</v>
      </c>
      <c r="C30" s="452" t="s">
        <v>7</v>
      </c>
      <c r="D30" s="505" t="s">
        <v>127</v>
      </c>
      <c r="E30" s="1720">
        <v>452920.5</v>
      </c>
      <c r="F30" s="604"/>
      <c r="G30" s="604">
        <f t="shared" si="3"/>
        <v>481861</v>
      </c>
      <c r="H30" s="604"/>
      <c r="I30" s="604"/>
      <c r="J30" s="604">
        <f t="shared" si="2"/>
        <v>481861</v>
      </c>
      <c r="K30" s="604"/>
      <c r="L30" s="1577"/>
      <c r="M30" s="604"/>
    </row>
    <row r="31" spans="1:17" x14ac:dyDescent="0.25">
      <c r="A31" s="479">
        <f t="shared" si="0"/>
        <v>25</v>
      </c>
      <c r="C31" s="452" t="s">
        <v>8</v>
      </c>
      <c r="D31" s="505" t="s">
        <v>128</v>
      </c>
      <c r="E31" s="1720">
        <v>123484.5</v>
      </c>
      <c r="F31" s="604"/>
      <c r="G31" s="604">
        <f t="shared" si="3"/>
        <v>131374.9</v>
      </c>
      <c r="H31" s="604"/>
      <c r="I31" s="604"/>
      <c r="J31" s="604">
        <f t="shared" si="2"/>
        <v>131374.9</v>
      </c>
      <c r="K31" s="604"/>
      <c r="L31" s="1577"/>
      <c r="M31" s="604"/>
    </row>
    <row r="32" spans="1:17" x14ac:dyDescent="0.25">
      <c r="A32" s="479">
        <f t="shared" si="0"/>
        <v>26</v>
      </c>
      <c r="C32" s="452" t="s">
        <v>9</v>
      </c>
      <c r="D32" s="505" t="s">
        <v>129</v>
      </c>
      <c r="E32" s="1720">
        <v>19709.5</v>
      </c>
      <c r="F32" s="604"/>
      <c r="G32" s="604">
        <f t="shared" si="3"/>
        <v>20968.900000000001</v>
      </c>
      <c r="H32" s="604"/>
      <c r="I32" s="604"/>
      <c r="J32" s="604">
        <f t="shared" si="2"/>
        <v>20968.900000000001</v>
      </c>
      <c r="K32" s="604"/>
      <c r="L32" s="1577"/>
      <c r="M32" s="604"/>
      <c r="N32" s="605"/>
    </row>
    <row r="33" spans="1:18" x14ac:dyDescent="0.25">
      <c r="A33" s="479">
        <f t="shared" si="0"/>
        <v>27</v>
      </c>
      <c r="C33" s="452" t="s">
        <v>10</v>
      </c>
      <c r="D33" s="505" t="s">
        <v>130</v>
      </c>
      <c r="E33" s="1720">
        <v>0</v>
      </c>
      <c r="F33" s="604"/>
      <c r="G33" s="604">
        <f t="shared" si="3"/>
        <v>0</v>
      </c>
      <c r="H33" s="604"/>
      <c r="I33" s="604"/>
      <c r="J33" s="604">
        <f t="shared" si="2"/>
        <v>0</v>
      </c>
      <c r="K33" s="604"/>
      <c r="L33" s="1577"/>
      <c r="M33" s="604"/>
      <c r="N33" s="605"/>
    </row>
    <row r="34" spans="1:18" x14ac:dyDescent="0.25">
      <c r="A34" s="479">
        <f t="shared" si="0"/>
        <v>28</v>
      </c>
      <c r="B34" s="510"/>
      <c r="C34" s="456" t="s">
        <v>11</v>
      </c>
      <c r="D34" s="510" t="s">
        <v>131</v>
      </c>
      <c r="E34" s="1719">
        <v>0</v>
      </c>
      <c r="F34" s="608"/>
      <c r="G34" s="608">
        <f t="shared" si="3"/>
        <v>0</v>
      </c>
      <c r="H34" s="608"/>
      <c r="I34" s="608"/>
      <c r="J34" s="608">
        <f t="shared" si="2"/>
        <v>0</v>
      </c>
      <c r="K34" s="604"/>
      <c r="L34" s="1578"/>
      <c r="M34" s="608"/>
      <c r="N34" s="605"/>
    </row>
    <row r="35" spans="1:18" x14ac:dyDescent="0.25">
      <c r="A35" s="479">
        <f t="shared" si="0"/>
        <v>29</v>
      </c>
      <c r="B35" s="505" t="s">
        <v>164</v>
      </c>
      <c r="C35" s="452" t="s">
        <v>6</v>
      </c>
      <c r="D35" s="505" t="s">
        <v>132</v>
      </c>
      <c r="E35" s="1720">
        <v>1059704.2</v>
      </c>
      <c r="F35" s="604"/>
      <c r="G35" s="604"/>
      <c r="H35" s="604">
        <f t="shared" ref="H35:H40" si="4">ROUND((E35/(+$E$17+SUM($E$25:$E$26)+SUM($E$35:$E$40)))*$H$71,0)</f>
        <v>1060773</v>
      </c>
      <c r="I35" s="604"/>
      <c r="J35" s="604">
        <f t="shared" si="2"/>
        <v>1060773</v>
      </c>
      <c r="K35" s="604"/>
      <c r="L35" s="1577">
        <v>12</v>
      </c>
      <c r="M35" s="604">
        <f>IF(L35&lt;&gt;0,ROUND(+SUM(J35:J40)/L35/12,0),0)</f>
        <v>12726</v>
      </c>
      <c r="N35" s="605"/>
    </row>
    <row r="36" spans="1:18" x14ac:dyDescent="0.25">
      <c r="A36" s="479">
        <f t="shared" si="0"/>
        <v>30</v>
      </c>
      <c r="C36" s="452" t="s">
        <v>7</v>
      </c>
      <c r="D36" s="505" t="s">
        <v>133</v>
      </c>
      <c r="E36" s="1720">
        <v>649578.69999999995</v>
      </c>
      <c r="F36" s="604"/>
      <c r="G36" s="604"/>
      <c r="H36" s="604">
        <f t="shared" si="4"/>
        <v>650234</v>
      </c>
      <c r="I36" s="604"/>
      <c r="J36" s="604">
        <f t="shared" si="2"/>
        <v>650234</v>
      </c>
      <c r="K36" s="604"/>
      <c r="L36" s="1577"/>
      <c r="M36" s="604"/>
      <c r="N36" s="437"/>
    </row>
    <row r="37" spans="1:18" x14ac:dyDescent="0.25">
      <c r="A37" s="479">
        <f t="shared" si="0"/>
        <v>31</v>
      </c>
      <c r="C37" s="452" t="s">
        <v>8</v>
      </c>
      <c r="D37" s="505" t="s">
        <v>134</v>
      </c>
      <c r="E37" s="1720">
        <v>111939.8</v>
      </c>
      <c r="F37" s="604"/>
      <c r="G37" s="604"/>
      <c r="H37" s="604">
        <f t="shared" si="4"/>
        <v>112053</v>
      </c>
      <c r="I37" s="604"/>
      <c r="J37" s="604">
        <f t="shared" si="2"/>
        <v>112053</v>
      </c>
      <c r="K37" s="604"/>
      <c r="L37" s="1577"/>
      <c r="M37" s="604"/>
      <c r="N37" s="437"/>
    </row>
    <row r="38" spans="1:18" x14ac:dyDescent="0.25">
      <c r="A38" s="479">
        <f t="shared" si="0"/>
        <v>32</v>
      </c>
      <c r="C38" s="452" t="s">
        <v>9</v>
      </c>
      <c r="D38" s="505" t="s">
        <v>135</v>
      </c>
      <c r="E38" s="1720">
        <v>9417.4</v>
      </c>
      <c r="F38" s="604"/>
      <c r="G38" s="604"/>
      <c r="H38" s="604">
        <f t="shared" si="4"/>
        <v>9427</v>
      </c>
      <c r="I38" s="604"/>
      <c r="J38" s="604">
        <f t="shared" si="2"/>
        <v>9427</v>
      </c>
      <c r="K38" s="604"/>
      <c r="L38" s="1577"/>
      <c r="M38" s="604"/>
      <c r="N38" s="437"/>
    </row>
    <row r="39" spans="1:18" x14ac:dyDescent="0.25">
      <c r="A39" s="479">
        <f t="shared" si="0"/>
        <v>33</v>
      </c>
      <c r="C39" s="452" t="s">
        <v>10</v>
      </c>
      <c r="D39" s="505" t="s">
        <v>136</v>
      </c>
      <c r="E39" s="1720">
        <v>0</v>
      </c>
      <c r="F39" s="604"/>
      <c r="G39" s="604"/>
      <c r="H39" s="604">
        <f t="shared" si="4"/>
        <v>0</v>
      </c>
      <c r="I39" s="604"/>
      <c r="J39" s="604">
        <f t="shared" si="2"/>
        <v>0</v>
      </c>
      <c r="K39" s="604"/>
      <c r="L39" s="1577"/>
      <c r="M39" s="604"/>
    </row>
    <row r="40" spans="1:18" x14ac:dyDescent="0.25">
      <c r="A40" s="479">
        <f t="shared" si="0"/>
        <v>34</v>
      </c>
      <c r="B40" s="510"/>
      <c r="C40" s="456" t="s">
        <v>11</v>
      </c>
      <c r="D40" s="510" t="s">
        <v>137</v>
      </c>
      <c r="E40" s="1719">
        <v>0</v>
      </c>
      <c r="F40" s="608"/>
      <c r="G40" s="608"/>
      <c r="H40" s="608">
        <f t="shared" si="4"/>
        <v>0</v>
      </c>
      <c r="I40" s="608"/>
      <c r="J40" s="608">
        <f t="shared" si="2"/>
        <v>0</v>
      </c>
      <c r="K40" s="604"/>
      <c r="L40" s="1578"/>
      <c r="M40" s="608"/>
      <c r="N40" s="611"/>
      <c r="O40" s="1720"/>
      <c r="P40" s="1724"/>
      <c r="Q40" s="1725"/>
      <c r="R40" s="1726"/>
    </row>
    <row r="41" spans="1:18" x14ac:dyDescent="0.25">
      <c r="A41" s="479">
        <f t="shared" si="0"/>
        <v>35</v>
      </c>
      <c r="B41" s="505" t="s">
        <v>165</v>
      </c>
      <c r="C41" s="452" t="s">
        <v>6</v>
      </c>
      <c r="D41" s="505" t="s">
        <v>138</v>
      </c>
      <c r="E41" s="1720">
        <v>1336403</v>
      </c>
      <c r="F41" s="604"/>
      <c r="G41" s="604"/>
      <c r="H41" s="604"/>
      <c r="I41" s="604"/>
      <c r="J41" s="604">
        <f t="shared" si="2"/>
        <v>1336403</v>
      </c>
      <c r="K41" s="604"/>
      <c r="L41" s="1577">
        <v>13</v>
      </c>
      <c r="M41" s="604">
        <f>IF(L41&lt;&gt;0,ROUND(+SUM(J41:J46)/L41/12,0),0)</f>
        <v>48106</v>
      </c>
      <c r="N41" s="605"/>
      <c r="O41" s="1474"/>
      <c r="P41" s="1726"/>
      <c r="Q41" s="1726"/>
      <c r="R41" s="1726"/>
    </row>
    <row r="42" spans="1:18" x14ac:dyDescent="0.25">
      <c r="A42" s="479">
        <f t="shared" si="0"/>
        <v>36</v>
      </c>
      <c r="C42" s="452" t="s">
        <v>7</v>
      </c>
      <c r="D42" s="505" t="s">
        <v>139</v>
      </c>
      <c r="E42" s="1720">
        <v>1682938</v>
      </c>
      <c r="F42" s="604"/>
      <c r="G42" s="604"/>
      <c r="H42" s="604"/>
      <c r="I42" s="604"/>
      <c r="J42" s="604">
        <f t="shared" si="2"/>
        <v>1682938</v>
      </c>
      <c r="K42" s="604"/>
      <c r="L42" s="1577"/>
      <c r="M42" s="604"/>
      <c r="N42" s="437"/>
    </row>
    <row r="43" spans="1:18" x14ac:dyDescent="0.25">
      <c r="A43" s="479">
        <f t="shared" si="0"/>
        <v>37</v>
      </c>
      <c r="C43" s="452" t="s">
        <v>8</v>
      </c>
      <c r="D43" s="505" t="s">
        <v>140</v>
      </c>
      <c r="E43" s="1720">
        <v>1387648</v>
      </c>
      <c r="F43" s="604"/>
      <c r="G43" s="604"/>
      <c r="H43" s="604"/>
      <c r="I43" s="604"/>
      <c r="J43" s="604">
        <f t="shared" si="2"/>
        <v>1387648</v>
      </c>
      <c r="K43" s="604"/>
      <c r="L43" s="1577"/>
      <c r="M43" s="604"/>
      <c r="N43" s="437"/>
    </row>
    <row r="44" spans="1:18" x14ac:dyDescent="0.25">
      <c r="A44" s="479">
        <f t="shared" si="0"/>
        <v>38</v>
      </c>
      <c r="C44" s="452" t="s">
        <v>9</v>
      </c>
      <c r="D44" s="505" t="s">
        <v>141</v>
      </c>
      <c r="E44" s="1720">
        <v>2195748</v>
      </c>
      <c r="F44" s="604"/>
      <c r="G44" s="604"/>
      <c r="H44" s="604"/>
      <c r="I44" s="604"/>
      <c r="J44" s="604">
        <f t="shared" si="2"/>
        <v>2195748</v>
      </c>
      <c r="K44" s="604"/>
      <c r="L44" s="1577"/>
      <c r="M44" s="604"/>
      <c r="O44" s="604"/>
    </row>
    <row r="45" spans="1:18" x14ac:dyDescent="0.25">
      <c r="A45" s="479">
        <f t="shared" si="0"/>
        <v>39</v>
      </c>
      <c r="C45" s="452" t="s">
        <v>10</v>
      </c>
      <c r="D45" s="505" t="s">
        <v>142</v>
      </c>
      <c r="E45" s="1720">
        <v>901810</v>
      </c>
      <c r="F45" s="604"/>
      <c r="G45" s="604"/>
      <c r="H45" s="604"/>
      <c r="I45" s="604"/>
      <c r="J45" s="604">
        <f t="shared" si="2"/>
        <v>901810</v>
      </c>
      <c r="K45" s="604"/>
      <c r="L45" s="1577"/>
      <c r="M45" s="604"/>
      <c r="O45" s="604"/>
      <c r="P45" s="612"/>
      <c r="Q45" s="437"/>
    </row>
    <row r="46" spans="1:18" x14ac:dyDescent="0.25">
      <c r="A46" s="479">
        <f t="shared" si="0"/>
        <v>40</v>
      </c>
      <c r="B46" s="510"/>
      <c r="C46" s="456" t="s">
        <v>11</v>
      </c>
      <c r="D46" s="510" t="s">
        <v>143</v>
      </c>
      <c r="E46" s="1719">
        <v>0</v>
      </c>
      <c r="F46" s="608"/>
      <c r="G46" s="608"/>
      <c r="H46" s="608"/>
      <c r="I46" s="608"/>
      <c r="J46" s="608">
        <f t="shared" si="2"/>
        <v>0</v>
      </c>
      <c r="K46" s="604"/>
      <c r="L46" s="1578"/>
      <c r="M46" s="608"/>
      <c r="O46" s="604"/>
      <c r="P46" s="437"/>
      <c r="Q46" s="437"/>
    </row>
    <row r="47" spans="1:18" x14ac:dyDescent="0.25">
      <c r="A47" s="479">
        <f t="shared" si="0"/>
        <v>41</v>
      </c>
      <c r="B47" s="505" t="s">
        <v>861</v>
      </c>
      <c r="C47" s="452" t="s">
        <v>6</v>
      </c>
      <c r="E47" s="1720">
        <v>240000</v>
      </c>
      <c r="F47" s="604"/>
      <c r="G47" s="604"/>
      <c r="H47" s="604"/>
      <c r="I47" s="604">
        <f t="shared" ref="I47:I58" si="5">ROUND((E47/(+SUM($E$27:$E$28)+SUM($E$47:$E$52)+SUM($E$21:$E$22)+SUM($E$53:$E$58)))*$I$71,0)</f>
        <v>237919</v>
      </c>
      <c r="J47" s="604">
        <f t="shared" si="2"/>
        <v>237919</v>
      </c>
      <c r="K47" s="604"/>
      <c r="L47" s="1577">
        <v>2</v>
      </c>
      <c r="M47" s="604">
        <f>IF(L47&lt;&gt;0,ROUND(+SUM(J47:J52)/L47/12,0),0)</f>
        <v>39882</v>
      </c>
      <c r="O47" s="604"/>
    </row>
    <row r="48" spans="1:18" x14ac:dyDescent="0.25">
      <c r="A48" s="479">
        <f t="shared" si="0"/>
        <v>42</v>
      </c>
      <c r="C48" s="452" t="s">
        <v>7</v>
      </c>
      <c r="E48" s="1720">
        <v>468919</v>
      </c>
      <c r="F48" s="604"/>
      <c r="G48" s="604"/>
      <c r="H48" s="604"/>
      <c r="I48" s="604">
        <f t="shared" si="5"/>
        <v>464853</v>
      </c>
      <c r="J48" s="604">
        <f t="shared" si="2"/>
        <v>464853</v>
      </c>
      <c r="K48" s="604"/>
      <c r="L48" s="1577"/>
      <c r="M48" s="604"/>
      <c r="P48" s="437"/>
      <c r="Q48" s="437"/>
    </row>
    <row r="49" spans="1:17" x14ac:dyDescent="0.25">
      <c r="A49" s="479">
        <f t="shared" si="0"/>
        <v>43</v>
      </c>
      <c r="C49" s="452" t="s">
        <v>8</v>
      </c>
      <c r="E49" s="1720">
        <v>216788</v>
      </c>
      <c r="F49" s="604"/>
      <c r="G49" s="604"/>
      <c r="H49" s="604"/>
      <c r="I49" s="604">
        <f t="shared" si="5"/>
        <v>214908</v>
      </c>
      <c r="J49" s="604">
        <f t="shared" si="2"/>
        <v>214908</v>
      </c>
      <c r="K49" s="604"/>
      <c r="L49" s="1577"/>
      <c r="M49" s="604"/>
      <c r="P49" s="437"/>
      <c r="Q49" s="437"/>
    </row>
    <row r="50" spans="1:17" x14ac:dyDescent="0.25">
      <c r="A50" s="479">
        <f t="shared" si="0"/>
        <v>44</v>
      </c>
      <c r="C50" s="452" t="s">
        <v>9</v>
      </c>
      <c r="E50" s="1720">
        <v>39839</v>
      </c>
      <c r="F50" s="604"/>
      <c r="G50" s="604"/>
      <c r="H50" s="604"/>
      <c r="I50" s="604">
        <f t="shared" si="5"/>
        <v>39494</v>
      </c>
      <c r="J50" s="604">
        <f t="shared" si="2"/>
        <v>39494</v>
      </c>
      <c r="K50" s="604"/>
      <c r="L50" s="1577"/>
      <c r="M50" s="604"/>
      <c r="O50" s="604"/>
    </row>
    <row r="51" spans="1:17" x14ac:dyDescent="0.25">
      <c r="A51" s="479">
        <f t="shared" si="0"/>
        <v>45</v>
      </c>
      <c r="C51" s="452" t="s">
        <v>10</v>
      </c>
      <c r="E51" s="1720">
        <v>0</v>
      </c>
      <c r="F51" s="604"/>
      <c r="G51" s="604"/>
      <c r="H51" s="604"/>
      <c r="I51" s="604">
        <f t="shared" si="5"/>
        <v>0</v>
      </c>
      <c r="J51" s="604">
        <f t="shared" si="2"/>
        <v>0</v>
      </c>
      <c r="K51" s="604"/>
      <c r="L51" s="1577"/>
      <c r="M51" s="604"/>
      <c r="O51" s="604"/>
    </row>
    <row r="52" spans="1:17" x14ac:dyDescent="0.25">
      <c r="A52" s="479">
        <f t="shared" si="0"/>
        <v>46</v>
      </c>
      <c r="B52" s="510"/>
      <c r="C52" s="456" t="s">
        <v>11</v>
      </c>
      <c r="E52" s="1719">
        <v>0</v>
      </c>
      <c r="F52" s="608"/>
      <c r="G52" s="608"/>
      <c r="H52" s="608"/>
      <c r="I52" s="608">
        <f t="shared" si="5"/>
        <v>0</v>
      </c>
      <c r="J52" s="608">
        <f t="shared" si="2"/>
        <v>0</v>
      </c>
      <c r="K52" s="604"/>
      <c r="L52" s="1578"/>
      <c r="M52" s="608"/>
      <c r="O52" s="604"/>
    </row>
    <row r="53" spans="1:17" x14ac:dyDescent="0.25">
      <c r="A53" s="479">
        <f t="shared" si="0"/>
        <v>47</v>
      </c>
      <c r="B53" s="505" t="s">
        <v>862</v>
      </c>
      <c r="C53" s="452" t="s">
        <v>6</v>
      </c>
      <c r="D53" s="505" t="s">
        <v>144</v>
      </c>
      <c r="E53" s="1720">
        <v>160823</v>
      </c>
      <c r="F53" s="604"/>
      <c r="G53" s="604"/>
      <c r="H53" s="604"/>
      <c r="I53" s="604">
        <f t="shared" si="5"/>
        <v>159428</v>
      </c>
      <c r="J53" s="604">
        <f t="shared" si="2"/>
        <v>159428</v>
      </c>
      <c r="K53" s="604"/>
      <c r="L53" s="1577">
        <v>3</v>
      </c>
      <c r="M53" s="604">
        <f>IF(L53&lt;&gt;0,ROUND(+SUM(J53:J58)/L53/12,0),0)</f>
        <v>8626</v>
      </c>
      <c r="O53" s="604"/>
    </row>
    <row r="54" spans="1:17" x14ac:dyDescent="0.25">
      <c r="A54" s="479">
        <f t="shared" si="0"/>
        <v>48</v>
      </c>
      <c r="C54" s="452" t="s">
        <v>7</v>
      </c>
      <c r="D54" s="505" t="s">
        <v>145</v>
      </c>
      <c r="E54" s="1720">
        <v>152426</v>
      </c>
      <c r="F54" s="604"/>
      <c r="G54" s="604"/>
      <c r="H54" s="604"/>
      <c r="I54" s="604">
        <f t="shared" si="5"/>
        <v>151104</v>
      </c>
      <c r="J54" s="604">
        <f t="shared" si="2"/>
        <v>151104</v>
      </c>
      <c r="K54" s="604"/>
      <c r="L54" s="1577"/>
      <c r="M54" s="604"/>
      <c r="O54" s="604"/>
    </row>
    <row r="55" spans="1:17" x14ac:dyDescent="0.25">
      <c r="A55" s="479">
        <f t="shared" si="0"/>
        <v>49</v>
      </c>
      <c r="C55" s="452" t="s">
        <v>8</v>
      </c>
      <c r="D55" s="505" t="s">
        <v>146</v>
      </c>
      <c r="E55" s="1720">
        <v>0</v>
      </c>
      <c r="F55" s="604"/>
      <c r="G55" s="604"/>
      <c r="H55" s="604"/>
      <c r="I55" s="604">
        <f t="shared" si="5"/>
        <v>0</v>
      </c>
      <c r="J55" s="604">
        <f t="shared" si="2"/>
        <v>0</v>
      </c>
      <c r="K55" s="604"/>
      <c r="L55" s="1577"/>
      <c r="M55" s="604"/>
      <c r="O55" s="604"/>
    </row>
    <row r="56" spans="1:17" x14ac:dyDescent="0.25">
      <c r="A56" s="479">
        <f t="shared" si="0"/>
        <v>50</v>
      </c>
      <c r="C56" s="452" t="s">
        <v>9</v>
      </c>
      <c r="D56" s="505" t="s">
        <v>147</v>
      </c>
      <c r="E56" s="1720">
        <v>0</v>
      </c>
      <c r="F56" s="604"/>
      <c r="G56" s="604"/>
      <c r="H56" s="604"/>
      <c r="I56" s="604">
        <f t="shared" si="5"/>
        <v>0</v>
      </c>
      <c r="J56" s="604">
        <f t="shared" si="2"/>
        <v>0</v>
      </c>
      <c r="K56" s="604"/>
      <c r="L56" s="1577"/>
      <c r="M56" s="604"/>
      <c r="O56" s="604"/>
    </row>
    <row r="57" spans="1:17" x14ac:dyDescent="0.25">
      <c r="A57" s="479">
        <f t="shared" si="0"/>
        <v>51</v>
      </c>
      <c r="C57" s="452" t="s">
        <v>10</v>
      </c>
      <c r="D57" s="505" t="s">
        <v>148</v>
      </c>
      <c r="E57" s="1720">
        <v>0</v>
      </c>
      <c r="F57" s="604"/>
      <c r="G57" s="604"/>
      <c r="H57" s="604"/>
      <c r="I57" s="604">
        <f t="shared" si="5"/>
        <v>0</v>
      </c>
      <c r="J57" s="604">
        <f t="shared" si="2"/>
        <v>0</v>
      </c>
      <c r="K57" s="604"/>
      <c r="L57" s="1577"/>
      <c r="M57" s="604"/>
      <c r="O57" s="604"/>
    </row>
    <row r="58" spans="1:17" x14ac:dyDescent="0.25">
      <c r="A58" s="479">
        <f t="shared" si="0"/>
        <v>52</v>
      </c>
      <c r="B58" s="510"/>
      <c r="C58" s="456" t="s">
        <v>11</v>
      </c>
      <c r="D58" s="510" t="s">
        <v>149</v>
      </c>
      <c r="E58" s="1719">
        <v>0</v>
      </c>
      <c r="F58" s="608"/>
      <c r="G58" s="608"/>
      <c r="H58" s="608"/>
      <c r="I58" s="608">
        <f t="shared" si="5"/>
        <v>0</v>
      </c>
      <c r="J58" s="608">
        <f t="shared" si="2"/>
        <v>0</v>
      </c>
      <c r="K58" s="604"/>
      <c r="L58" s="1578"/>
      <c r="M58" s="608"/>
      <c r="O58" s="604"/>
    </row>
    <row r="59" spans="1:17" x14ac:dyDescent="0.25">
      <c r="A59" s="479">
        <f t="shared" si="0"/>
        <v>53</v>
      </c>
      <c r="B59" s="505" t="s">
        <v>166</v>
      </c>
      <c r="C59" s="452" t="s">
        <v>6</v>
      </c>
      <c r="D59" s="505" t="s">
        <v>150</v>
      </c>
      <c r="E59" s="1720">
        <v>881572</v>
      </c>
      <c r="F59" s="604"/>
      <c r="G59" s="604"/>
      <c r="H59" s="604"/>
      <c r="I59" s="604"/>
      <c r="J59" s="604">
        <f t="shared" si="2"/>
        <v>881572</v>
      </c>
      <c r="K59" s="604"/>
      <c r="L59" s="1577">
        <v>10</v>
      </c>
      <c r="M59" s="604">
        <f>IF(L59&lt;&gt;0,ROUND(+SUM(J59:J64)/L59/12,0),0)</f>
        <v>82573</v>
      </c>
      <c r="O59" s="604"/>
    </row>
    <row r="60" spans="1:17" x14ac:dyDescent="0.25">
      <c r="A60" s="479">
        <f t="shared" si="0"/>
        <v>54</v>
      </c>
      <c r="C60" s="452" t="s">
        <v>7</v>
      </c>
      <c r="D60" s="505" t="s">
        <v>151</v>
      </c>
      <c r="E60" s="1720">
        <v>1495748</v>
      </c>
      <c r="F60" s="604"/>
      <c r="G60" s="604"/>
      <c r="H60" s="604"/>
      <c r="I60" s="604"/>
      <c r="J60" s="604">
        <f t="shared" si="2"/>
        <v>1495748</v>
      </c>
      <c r="K60" s="604"/>
      <c r="L60" s="1577"/>
      <c r="M60" s="604"/>
      <c r="O60" s="604"/>
    </row>
    <row r="61" spans="1:17" x14ac:dyDescent="0.25">
      <c r="A61" s="479">
        <f t="shared" si="0"/>
        <v>55</v>
      </c>
      <c r="C61" s="452" t="s">
        <v>8</v>
      </c>
      <c r="D61" s="505" t="s">
        <v>152</v>
      </c>
      <c r="E61" s="1720">
        <v>1185204</v>
      </c>
      <c r="F61" s="604"/>
      <c r="G61" s="604"/>
      <c r="H61" s="604"/>
      <c r="I61" s="604"/>
      <c r="J61" s="604">
        <f t="shared" si="2"/>
        <v>1185204</v>
      </c>
      <c r="K61" s="604"/>
      <c r="L61" s="1577"/>
      <c r="M61" s="604"/>
      <c r="O61" s="604"/>
    </row>
    <row r="62" spans="1:17" x14ac:dyDescent="0.25">
      <c r="A62" s="479">
        <f t="shared" si="0"/>
        <v>56</v>
      </c>
      <c r="C62" s="452" t="s">
        <v>9</v>
      </c>
      <c r="D62" s="505" t="s">
        <v>153</v>
      </c>
      <c r="E62" s="1720">
        <v>4013728</v>
      </c>
      <c r="F62" s="604"/>
      <c r="G62" s="604"/>
      <c r="H62" s="604"/>
      <c r="I62" s="604"/>
      <c r="J62" s="604">
        <f t="shared" si="2"/>
        <v>4013728</v>
      </c>
      <c r="K62" s="604"/>
      <c r="L62" s="1577"/>
      <c r="M62" s="604"/>
      <c r="O62" s="604"/>
    </row>
    <row r="63" spans="1:17" x14ac:dyDescent="0.25">
      <c r="A63" s="479">
        <f t="shared" si="0"/>
        <v>57</v>
      </c>
      <c r="C63" s="452" t="s">
        <v>10</v>
      </c>
      <c r="D63" s="505" t="s">
        <v>154</v>
      </c>
      <c r="E63" s="1720">
        <v>2332547</v>
      </c>
      <c r="F63" s="604"/>
      <c r="G63" s="604"/>
      <c r="H63" s="604"/>
      <c r="I63" s="604"/>
      <c r="J63" s="604">
        <f t="shared" si="2"/>
        <v>2332547</v>
      </c>
      <c r="K63" s="604"/>
      <c r="L63" s="1577"/>
      <c r="M63" s="604"/>
      <c r="O63" s="604"/>
    </row>
    <row r="64" spans="1:17" x14ac:dyDescent="0.25">
      <c r="A64" s="479">
        <f t="shared" si="0"/>
        <v>58</v>
      </c>
      <c r="B64" s="510"/>
      <c r="C64" s="456" t="s">
        <v>11</v>
      </c>
      <c r="D64" s="510" t="s">
        <v>155</v>
      </c>
      <c r="E64" s="1719">
        <v>0</v>
      </c>
      <c r="F64" s="608"/>
      <c r="G64" s="608"/>
      <c r="H64" s="608"/>
      <c r="I64" s="608"/>
      <c r="J64" s="608">
        <f t="shared" si="2"/>
        <v>0</v>
      </c>
      <c r="K64" s="604"/>
      <c r="L64" s="1578"/>
      <c r="M64" s="608"/>
      <c r="O64" s="604"/>
    </row>
    <row r="65" spans="1:15" x14ac:dyDescent="0.25">
      <c r="A65" s="479">
        <f t="shared" si="0"/>
        <v>59</v>
      </c>
      <c r="B65" s="510" t="s">
        <v>167</v>
      </c>
      <c r="C65" s="455"/>
      <c r="D65" s="510" t="s">
        <v>156</v>
      </c>
      <c r="E65" s="1719">
        <v>0</v>
      </c>
      <c r="F65" s="608"/>
      <c r="G65" s="608"/>
      <c r="H65" s="608"/>
      <c r="I65" s="608"/>
      <c r="J65" s="608">
        <f t="shared" si="2"/>
        <v>0</v>
      </c>
      <c r="K65" s="604"/>
      <c r="L65" s="1578"/>
      <c r="M65" s="608">
        <f>IF(L65&lt;&gt;0,ROUND(+J65/L65/12,0),0)</f>
        <v>0</v>
      </c>
      <c r="O65" s="604"/>
    </row>
    <row r="66" spans="1:15" x14ac:dyDescent="0.25">
      <c r="A66" s="479">
        <f t="shared" si="0"/>
        <v>60</v>
      </c>
      <c r="B66" s="450" t="s">
        <v>168</v>
      </c>
      <c r="C66" s="447"/>
      <c r="D66" s="450" t="s">
        <v>157</v>
      </c>
      <c r="E66" s="1607">
        <v>0</v>
      </c>
      <c r="F66" s="603"/>
      <c r="G66" s="603"/>
      <c r="H66" s="603"/>
      <c r="I66" s="603"/>
      <c r="J66" s="603">
        <f t="shared" si="2"/>
        <v>0</v>
      </c>
      <c r="K66" s="604"/>
      <c r="L66" s="1579"/>
      <c r="M66" s="603">
        <f>IF(L66&lt;&gt;0,ROUND(+J66/L66/12,0),0)</f>
        <v>0</v>
      </c>
      <c r="O66" s="604"/>
    </row>
    <row r="67" spans="1:15" x14ac:dyDescent="0.25">
      <c r="A67" s="479">
        <f t="shared" si="0"/>
        <v>61</v>
      </c>
      <c r="B67" s="449" t="s">
        <v>217</v>
      </c>
      <c r="C67" s="447"/>
      <c r="D67" s="450"/>
      <c r="E67" s="1607"/>
      <c r="F67" s="603"/>
      <c r="G67" s="603"/>
      <c r="H67" s="603"/>
      <c r="I67" s="603"/>
      <c r="J67" s="603"/>
      <c r="K67" s="604"/>
      <c r="L67" s="1579"/>
      <c r="M67" s="603"/>
      <c r="O67" s="604"/>
    </row>
    <row r="68" spans="1:15" x14ac:dyDescent="0.25">
      <c r="A68" s="479">
        <f t="shared" si="0"/>
        <v>62</v>
      </c>
      <c r="E68" s="596">
        <f t="shared" ref="E68:L68" si="6">SUM(E13:E67)</f>
        <v>97526731.700000048</v>
      </c>
      <c r="F68" s="596">
        <f t="shared" si="6"/>
        <v>54079392.399999999</v>
      </c>
      <c r="G68" s="596">
        <f t="shared" si="6"/>
        <v>23858678.699999996</v>
      </c>
      <c r="H68" s="596">
        <f t="shared" si="6"/>
        <v>3098564</v>
      </c>
      <c r="I68" s="596">
        <f t="shared" si="6"/>
        <v>1267706</v>
      </c>
      <c r="J68" s="613">
        <f t="shared" si="6"/>
        <v>100505811.10000001</v>
      </c>
      <c r="K68" s="614"/>
      <c r="L68" s="596">
        <f t="shared" si="6"/>
        <v>85916</v>
      </c>
      <c r="M68" s="615"/>
      <c r="N68" s="615"/>
      <c r="O68" s="625"/>
    </row>
    <row r="69" spans="1:15" x14ac:dyDescent="0.25">
      <c r="A69" s="479">
        <f t="shared" si="0"/>
        <v>63</v>
      </c>
      <c r="E69" s="596"/>
      <c r="F69" s="596"/>
      <c r="G69" s="596"/>
      <c r="H69" s="596"/>
      <c r="I69" s="596"/>
      <c r="J69" s="596"/>
      <c r="K69" s="556"/>
      <c r="L69" s="655"/>
    </row>
    <row r="70" spans="1:15" ht="13.8" thickBot="1" x14ac:dyDescent="0.3">
      <c r="A70" s="479">
        <f t="shared" si="0"/>
        <v>64</v>
      </c>
      <c r="E70" s="616"/>
      <c r="J70" s="617"/>
      <c r="K70" s="618"/>
      <c r="L70" s="656"/>
    </row>
    <row r="71" spans="1:15" ht="13.8" thickBot="1" x14ac:dyDescent="0.3">
      <c r="A71" s="479">
        <f t="shared" si="0"/>
        <v>65</v>
      </c>
      <c r="B71" s="619" t="s">
        <v>1075</v>
      </c>
      <c r="C71" s="620"/>
      <c r="D71" s="620"/>
      <c r="E71" s="621"/>
      <c r="F71" s="1475">
        <f>+Inputs!B8</f>
        <v>54079392.371755585</v>
      </c>
      <c r="G71" s="1475">
        <f>+Inputs!B10</f>
        <v>23858678.638648845</v>
      </c>
      <c r="H71" s="1475">
        <f>+Inputs!B12</f>
        <v>3098563.675999999</v>
      </c>
      <c r="I71" s="1476">
        <f>+Inputs!B14</f>
        <v>1267705.7000000002</v>
      </c>
      <c r="J71" s="1667">
        <f>+SUM(F71:I71)</f>
        <v>82304340.38640444</v>
      </c>
      <c r="K71" s="618"/>
      <c r="L71" s="1335"/>
    </row>
    <row r="72" spans="1:15" x14ac:dyDescent="0.25">
      <c r="E72" s="616"/>
      <c r="J72" s="617"/>
      <c r="K72" s="618"/>
      <c r="L72" s="655"/>
    </row>
    <row r="73" spans="1:15" x14ac:dyDescent="0.25">
      <c r="E73" s="596"/>
      <c r="F73" s="596"/>
      <c r="G73" s="596"/>
      <c r="H73" s="596"/>
      <c r="I73" s="596"/>
      <c r="J73" s="596"/>
      <c r="K73" s="618"/>
      <c r="L73" s="655"/>
    </row>
    <row r="74" spans="1:15" x14ac:dyDescent="0.25">
      <c r="E74" s="596"/>
      <c r="F74" s="596"/>
      <c r="G74" s="596"/>
      <c r="H74" s="596"/>
      <c r="I74" s="596"/>
      <c r="J74" s="596"/>
      <c r="K74" s="618"/>
      <c r="L74" s="655"/>
    </row>
    <row r="75" spans="1:15" x14ac:dyDescent="0.25">
      <c r="C75" s="505" t="s">
        <v>687</v>
      </c>
      <c r="E75" s="596">
        <f t="shared" ref="E75:J75" si="7">+SUM(E23:E24)+SUM(E41:E46)+SUM(E59:E64)+E65+E66</f>
        <v>18201470</v>
      </c>
      <c r="F75" s="596">
        <f t="shared" si="7"/>
        <v>0</v>
      </c>
      <c r="G75" s="596">
        <f t="shared" si="7"/>
        <v>0</v>
      </c>
      <c r="H75" s="596">
        <f t="shared" si="7"/>
        <v>0</v>
      </c>
      <c r="I75" s="596">
        <f t="shared" si="7"/>
        <v>0</v>
      </c>
      <c r="J75" s="596">
        <f t="shared" si="7"/>
        <v>18201470</v>
      </c>
      <c r="K75" s="618"/>
      <c r="L75" s="596">
        <f>+SUM(L23:L24)+SUM(L41:L46)+SUM(L59:L64)+L65+L66</f>
        <v>31</v>
      </c>
    </row>
    <row r="76" spans="1:15" x14ac:dyDescent="0.25">
      <c r="C76" s="505" t="s">
        <v>688</v>
      </c>
      <c r="E76" s="596">
        <f t="shared" ref="E76:J76" si="8">+SUM(E13:E20)+SUM(E27:E40)+SUM(E53:E58)+E67+SUM(E21:E22)+SUM(E25:E26)+SUM(E47:E52)</f>
        <v>79325261.700000033</v>
      </c>
      <c r="F76" s="596">
        <f t="shared" si="8"/>
        <v>54079392.399999999</v>
      </c>
      <c r="G76" s="596">
        <f t="shared" si="8"/>
        <v>23858678.699999999</v>
      </c>
      <c r="H76" s="596">
        <f t="shared" si="8"/>
        <v>3098564</v>
      </c>
      <c r="I76" s="596">
        <f t="shared" si="8"/>
        <v>1267706</v>
      </c>
      <c r="J76" s="596">
        <f t="shared" si="8"/>
        <v>82304341.099999994</v>
      </c>
      <c r="K76" s="618"/>
      <c r="L76" s="596">
        <f>+SUM(L13:L20)+SUM(L27:L40)+SUM(L53:L58)+L67+SUM(L21:L22)+SUM(L25:L26)+SUM(L47:L52)</f>
        <v>85885</v>
      </c>
    </row>
    <row r="77" spans="1:15" x14ac:dyDescent="0.25">
      <c r="E77" s="666">
        <f t="shared" ref="E77:J77" si="9">+E76+E75-E68</f>
        <v>0</v>
      </c>
      <c r="F77" s="666">
        <f t="shared" si="9"/>
        <v>0</v>
      </c>
      <c r="G77" s="666">
        <f t="shared" si="9"/>
        <v>0</v>
      </c>
      <c r="H77" s="666">
        <f t="shared" si="9"/>
        <v>0</v>
      </c>
      <c r="I77" s="666">
        <f t="shared" si="9"/>
        <v>0</v>
      </c>
      <c r="J77" s="666">
        <f t="shared" si="9"/>
        <v>0</v>
      </c>
      <c r="K77" s="618"/>
      <c r="L77" s="666">
        <f>+L76+L75-L68</f>
        <v>0</v>
      </c>
    </row>
    <row r="78" spans="1:15" x14ac:dyDescent="0.25">
      <c r="C78" s="505" t="s">
        <v>689</v>
      </c>
      <c r="E78" s="596">
        <f t="shared" ref="E78:J78" si="10">+E13+E15</f>
        <v>51966066.000000007</v>
      </c>
      <c r="F78" s="596">
        <f t="shared" si="10"/>
        <v>53503615.199999996</v>
      </c>
      <c r="G78" s="596">
        <f t="shared" si="10"/>
        <v>0</v>
      </c>
      <c r="H78" s="596">
        <f t="shared" si="10"/>
        <v>0</v>
      </c>
      <c r="I78" s="596">
        <f t="shared" si="10"/>
        <v>0</v>
      </c>
      <c r="J78" s="596">
        <f t="shared" si="10"/>
        <v>53503615.199999996</v>
      </c>
      <c r="K78" s="618"/>
      <c r="L78" s="596">
        <f>+L13+L15</f>
        <v>78579</v>
      </c>
      <c r="M78" s="596">
        <f>+L68-L78</f>
        <v>7337</v>
      </c>
    </row>
    <row r="79" spans="1:15" x14ac:dyDescent="0.25">
      <c r="C79" s="505" t="s">
        <v>690</v>
      </c>
      <c r="E79" s="596">
        <f t="shared" ref="E79:J79" si="11">+E14+E16+SUM(E29:E34)+SUM(E19:E20)+SUM(E21:E22)+SUM(E47:E52)</f>
        <v>23391275.299999997</v>
      </c>
      <c r="F79" s="596">
        <f t="shared" si="11"/>
        <v>0</v>
      </c>
      <c r="G79" s="596">
        <f t="shared" si="11"/>
        <v>23858678.699999996</v>
      </c>
      <c r="H79" s="596">
        <f t="shared" si="11"/>
        <v>0</v>
      </c>
      <c r="I79" s="596">
        <f t="shared" si="11"/>
        <v>957174</v>
      </c>
      <c r="J79" s="596">
        <f t="shared" si="11"/>
        <v>24815852.699999996</v>
      </c>
      <c r="L79" s="596">
        <f>+L14+L16+SUM(L29:L34)+SUM(L19:L20)+SUM(L21:L22)+SUM(L47:L52)</f>
        <v>6359</v>
      </c>
    </row>
    <row r="80" spans="1:15" x14ac:dyDescent="0.25">
      <c r="C80" s="505" t="s">
        <v>691</v>
      </c>
      <c r="E80" s="556">
        <f t="shared" ref="E80:J80" si="12">+E17++SUM(E27:E28)+SUM(E35:E40)+SUM(E53:E58)+SUM(E25:E26)</f>
        <v>3408689.5</v>
      </c>
      <c r="F80" s="556">
        <f t="shared" si="12"/>
        <v>0</v>
      </c>
      <c r="G80" s="556">
        <f t="shared" si="12"/>
        <v>0</v>
      </c>
      <c r="H80" s="556">
        <f t="shared" si="12"/>
        <v>3098564</v>
      </c>
      <c r="I80" s="556">
        <f t="shared" si="12"/>
        <v>310532</v>
      </c>
      <c r="J80" s="556">
        <f t="shared" si="12"/>
        <v>3409096</v>
      </c>
      <c r="K80" s="618"/>
      <c r="L80" s="556">
        <f>+L17++SUM(L27:L28)+SUM(L35:L40)+SUM(L53:L58)+SUM(L25:L26)</f>
        <v>58</v>
      </c>
      <c r="M80" s="437"/>
      <c r="N80" s="437"/>
    </row>
    <row r="81" spans="2:14" x14ac:dyDescent="0.25">
      <c r="C81" s="505">
        <v>27</v>
      </c>
      <c r="E81" s="556">
        <f t="shared" ref="E81:J81" si="13">+E18</f>
        <v>559230.89999999991</v>
      </c>
      <c r="F81" s="556">
        <f t="shared" si="13"/>
        <v>575777.19999999995</v>
      </c>
      <c r="G81" s="556">
        <f t="shared" si="13"/>
        <v>0</v>
      </c>
      <c r="H81" s="556">
        <f t="shared" si="13"/>
        <v>0</v>
      </c>
      <c r="I81" s="556">
        <f t="shared" si="13"/>
        <v>0</v>
      </c>
      <c r="J81" s="556">
        <f t="shared" si="13"/>
        <v>575777.19999999995</v>
      </c>
      <c r="K81" s="618"/>
      <c r="L81" s="556">
        <f>+L18</f>
        <v>889</v>
      </c>
      <c r="M81" s="437"/>
      <c r="N81" s="437"/>
    </row>
    <row r="82" spans="2:14" x14ac:dyDescent="0.25">
      <c r="E82" s="666">
        <f t="shared" ref="E82:J82" si="14">+SUM(E78:E81)-E76</f>
        <v>0</v>
      </c>
      <c r="F82" s="666">
        <f t="shared" si="14"/>
        <v>0</v>
      </c>
      <c r="G82" s="666">
        <f t="shared" si="14"/>
        <v>0</v>
      </c>
      <c r="H82" s="666">
        <f t="shared" si="14"/>
        <v>0</v>
      </c>
      <c r="I82" s="666">
        <f t="shared" si="14"/>
        <v>0</v>
      </c>
      <c r="J82" s="666">
        <f t="shared" si="14"/>
        <v>0</v>
      </c>
      <c r="K82" s="622"/>
      <c r="L82" s="666">
        <f>+SUM(L78:L81)-L76</f>
        <v>0</v>
      </c>
      <c r="M82" s="437"/>
      <c r="N82" s="437"/>
    </row>
    <row r="83" spans="2:14" x14ac:dyDescent="0.25">
      <c r="B83" s="623"/>
      <c r="C83" s="505" t="s">
        <v>692</v>
      </c>
      <c r="D83" s="624"/>
      <c r="E83" s="666">
        <f t="shared" ref="E83:J83" si="15">+SUM(E13:E20)+SUM(E29:E40)+SUM(E25:E26)</f>
        <v>78046466.700000033</v>
      </c>
      <c r="F83" s="666">
        <f t="shared" si="15"/>
        <v>54079392.399999999</v>
      </c>
      <c r="G83" s="666">
        <f t="shared" si="15"/>
        <v>23858678.699999999</v>
      </c>
      <c r="H83" s="666">
        <f t="shared" si="15"/>
        <v>3098564</v>
      </c>
      <c r="I83" s="666">
        <f t="shared" si="15"/>
        <v>0</v>
      </c>
      <c r="J83" s="666">
        <f t="shared" si="15"/>
        <v>81036635.099999994</v>
      </c>
      <c r="K83" s="625"/>
      <c r="L83" s="666">
        <f>+SUM(L13:L20)+SUM(L29:L40)+SUM(L25:L26)</f>
        <v>85880</v>
      </c>
      <c r="M83" s="437"/>
      <c r="N83" s="437"/>
    </row>
    <row r="84" spans="2:14" x14ac:dyDescent="0.25">
      <c r="C84" s="505" t="s">
        <v>693</v>
      </c>
      <c r="D84" s="623"/>
      <c r="E84" s="666">
        <f t="shared" ref="E84:J84" si="16">+SUM(E27:E28)+SUM(E53:E58)+SUM(E21:E22)+SUM(E47:E52)</f>
        <v>1278795</v>
      </c>
      <c r="F84" s="666">
        <f t="shared" si="16"/>
        <v>0</v>
      </c>
      <c r="G84" s="666">
        <f t="shared" si="16"/>
        <v>0</v>
      </c>
      <c r="H84" s="666">
        <f t="shared" si="16"/>
        <v>0</v>
      </c>
      <c r="I84" s="666">
        <f t="shared" si="16"/>
        <v>1267706</v>
      </c>
      <c r="J84" s="666">
        <f t="shared" si="16"/>
        <v>1267706</v>
      </c>
      <c r="K84" s="626"/>
      <c r="L84" s="666">
        <f>+SUM(L27:L28)+SUM(L53:L58)+SUM(L21:L22)+SUM(L47:L52)</f>
        <v>5</v>
      </c>
      <c r="M84" s="437"/>
      <c r="N84" s="437"/>
    </row>
    <row r="85" spans="2:14" x14ac:dyDescent="0.25">
      <c r="E85" s="666">
        <f t="shared" ref="E85:J85" si="17">+E84+E83-E76</f>
        <v>0</v>
      </c>
      <c r="F85" s="666">
        <f t="shared" si="17"/>
        <v>0</v>
      </c>
      <c r="G85" s="666">
        <f t="shared" si="17"/>
        <v>0</v>
      </c>
      <c r="H85" s="666">
        <f t="shared" si="17"/>
        <v>0</v>
      </c>
      <c r="I85" s="666">
        <f t="shared" si="17"/>
        <v>0</v>
      </c>
      <c r="J85" s="666">
        <f t="shared" si="17"/>
        <v>0</v>
      </c>
      <c r="K85" s="622"/>
      <c r="L85" s="666">
        <f>+L84+L83-L76</f>
        <v>0</v>
      </c>
      <c r="M85" s="437"/>
      <c r="N85" s="437"/>
    </row>
    <row r="86" spans="2:14" x14ac:dyDescent="0.25">
      <c r="C86" s="437"/>
      <c r="D86" s="437"/>
      <c r="E86" s="622"/>
      <c r="F86" s="622"/>
      <c r="G86" s="622"/>
      <c r="H86" s="622"/>
      <c r="I86" s="622"/>
      <c r="J86" s="622"/>
      <c r="K86" s="622"/>
      <c r="L86" s="538"/>
      <c r="M86" s="437"/>
      <c r="N86" s="437"/>
    </row>
    <row r="87" spans="2:14" x14ac:dyDescent="0.25">
      <c r="E87" s="622"/>
      <c r="F87" s="622"/>
      <c r="G87" s="437"/>
      <c r="H87" s="437"/>
      <c r="I87" s="437"/>
      <c r="J87" s="622"/>
      <c r="K87" s="622"/>
      <c r="L87" s="538"/>
      <c r="M87" s="437"/>
      <c r="N87" s="437"/>
    </row>
    <row r="88" spans="2:14" x14ac:dyDescent="0.25">
      <c r="E88" s="622"/>
      <c r="F88" s="437"/>
      <c r="G88" s="437"/>
      <c r="H88" s="437"/>
      <c r="I88" s="437"/>
      <c r="J88" s="622"/>
      <c r="K88" s="622"/>
      <c r="L88" s="538"/>
      <c r="M88" s="437"/>
      <c r="N88" s="437"/>
    </row>
    <row r="89" spans="2:14" x14ac:dyDescent="0.25">
      <c r="C89" s="623"/>
      <c r="D89" s="623"/>
      <c r="E89" s="622"/>
      <c r="F89" s="437"/>
      <c r="G89" s="437"/>
      <c r="H89" s="437"/>
      <c r="I89" s="437"/>
      <c r="J89" s="622"/>
      <c r="K89" s="622"/>
      <c r="L89" s="538"/>
      <c r="M89" s="437"/>
      <c r="N89" s="437"/>
    </row>
    <row r="90" spans="2:14" x14ac:dyDescent="0.25">
      <c r="C90" s="623"/>
      <c r="D90" s="623"/>
      <c r="E90" s="622"/>
      <c r="F90" s="437"/>
      <c r="G90" s="437"/>
      <c r="H90" s="437"/>
      <c r="I90" s="437"/>
      <c r="J90" s="622"/>
      <c r="K90" s="622"/>
      <c r="L90" s="538"/>
      <c r="M90" s="437"/>
      <c r="N90" s="437"/>
    </row>
    <row r="91" spans="2:14" x14ac:dyDescent="0.25">
      <c r="C91" s="623"/>
      <c r="D91" s="623"/>
      <c r="E91" s="622"/>
      <c r="F91" s="437"/>
      <c r="G91" s="437"/>
      <c r="H91" s="437"/>
      <c r="I91" s="437"/>
      <c r="J91" s="622"/>
      <c r="K91" s="622"/>
      <c r="L91" s="538"/>
      <c r="M91" s="437"/>
      <c r="N91" s="437"/>
    </row>
    <row r="92" spans="2:14" x14ac:dyDescent="0.25">
      <c r="E92" s="622"/>
      <c r="F92" s="437"/>
      <c r="G92" s="437"/>
      <c r="H92" s="437"/>
      <c r="I92" s="437"/>
      <c r="J92" s="437"/>
      <c r="L92" s="538"/>
      <c r="M92" s="437"/>
      <c r="N92" s="437"/>
    </row>
    <row r="93" spans="2:14" x14ac:dyDescent="0.25">
      <c r="E93" s="622"/>
      <c r="F93" s="437"/>
      <c r="G93" s="437"/>
      <c r="H93" s="437"/>
      <c r="I93" s="437"/>
      <c r="J93" s="437"/>
      <c r="L93" s="538"/>
      <c r="M93" s="437"/>
      <c r="N93" s="437"/>
    </row>
    <row r="94" spans="2:14" x14ac:dyDescent="0.25">
      <c r="E94" s="622"/>
      <c r="F94" s="437"/>
      <c r="G94" s="437"/>
      <c r="H94" s="437"/>
      <c r="I94" s="437"/>
      <c r="J94" s="437"/>
      <c r="L94" s="538"/>
      <c r="M94" s="437"/>
      <c r="N94" s="437"/>
    </row>
    <row r="95" spans="2:14" x14ac:dyDescent="0.25">
      <c r="E95" s="627"/>
      <c r="F95" s="437"/>
      <c r="G95" s="437"/>
      <c r="H95" s="437"/>
      <c r="I95" s="437"/>
      <c r="J95" s="627"/>
      <c r="K95" s="627"/>
      <c r="L95" s="538"/>
      <c r="M95" s="437"/>
      <c r="N95" s="437"/>
    </row>
    <row r="96" spans="2:14" x14ac:dyDescent="0.25">
      <c r="C96" s="437"/>
      <c r="D96" s="437"/>
      <c r="E96" s="618"/>
      <c r="F96" s="437"/>
      <c r="G96" s="437"/>
      <c r="H96" s="437"/>
      <c r="I96" s="437"/>
      <c r="J96" s="618"/>
      <c r="K96" s="618"/>
      <c r="L96" s="538"/>
      <c r="M96" s="437"/>
      <c r="N96" s="437"/>
    </row>
    <row r="97" spans="3:14" x14ac:dyDescent="0.25">
      <c r="C97" s="437"/>
      <c r="D97" s="437"/>
      <c r="E97" s="618"/>
      <c r="F97" s="437"/>
      <c r="G97" s="437"/>
      <c r="H97" s="437"/>
      <c r="I97" s="437"/>
      <c r="J97" s="618"/>
      <c r="K97" s="618"/>
      <c r="L97" s="538"/>
      <c r="M97" s="437"/>
      <c r="N97" s="437"/>
    </row>
    <row r="98" spans="3:14" x14ac:dyDescent="0.25">
      <c r="C98" s="437"/>
      <c r="D98" s="437"/>
      <c r="E98" s="618"/>
      <c r="F98" s="437"/>
      <c r="G98" s="437"/>
      <c r="H98" s="437"/>
      <c r="I98" s="437"/>
      <c r="J98" s="618"/>
      <c r="K98" s="618"/>
      <c r="L98" s="538"/>
      <c r="M98" s="437"/>
      <c r="N98" s="437"/>
    </row>
    <row r="99" spans="3:14" x14ac:dyDescent="0.25">
      <c r="C99" s="437"/>
      <c r="D99" s="437"/>
      <c r="E99" s="618"/>
      <c r="F99" s="437"/>
      <c r="G99" s="437"/>
      <c r="H99" s="437"/>
      <c r="I99" s="437"/>
      <c r="J99" s="618"/>
      <c r="K99" s="618"/>
      <c r="L99" s="538"/>
      <c r="M99" s="437"/>
      <c r="N99" s="437"/>
    </row>
    <row r="100" spans="3:14" x14ac:dyDescent="0.25">
      <c r="C100" s="437"/>
      <c r="D100" s="437"/>
      <c r="E100" s="618"/>
      <c r="F100" s="437"/>
      <c r="G100" s="437"/>
      <c r="H100" s="437"/>
      <c r="I100" s="437"/>
      <c r="J100" s="618"/>
      <c r="K100" s="618"/>
      <c r="L100" s="538"/>
      <c r="M100" s="437"/>
      <c r="N100" s="437"/>
    </row>
    <row r="101" spans="3:14" x14ac:dyDescent="0.25">
      <c r="E101" s="618"/>
      <c r="F101" s="437"/>
      <c r="G101" s="437"/>
      <c r="H101" s="437"/>
      <c r="I101" s="437"/>
      <c r="J101" s="618"/>
      <c r="K101" s="618"/>
      <c r="L101" s="538"/>
      <c r="M101" s="437"/>
      <c r="N101" s="437"/>
    </row>
    <row r="102" spans="3:14" x14ac:dyDescent="0.25">
      <c r="E102" s="622"/>
      <c r="F102" s="437"/>
      <c r="G102" s="437"/>
      <c r="H102" s="437"/>
      <c r="I102" s="437"/>
      <c r="J102" s="437"/>
      <c r="L102" s="538"/>
      <c r="M102" s="437"/>
      <c r="N102" s="437"/>
    </row>
    <row r="103" spans="3:14" x14ac:dyDescent="0.25">
      <c r="E103" s="622"/>
      <c r="F103" s="437"/>
      <c r="G103" s="437"/>
      <c r="H103" s="437"/>
      <c r="I103" s="437"/>
      <c r="J103" s="622"/>
      <c r="K103" s="622"/>
      <c r="L103" s="538"/>
      <c r="M103" s="437"/>
      <c r="N103" s="437"/>
    </row>
    <row r="104" spans="3:14" x14ac:dyDescent="0.25">
      <c r="E104" s="437"/>
      <c r="F104" s="437"/>
      <c r="G104" s="437"/>
      <c r="H104" s="437"/>
      <c r="I104" s="437"/>
      <c r="J104" s="618"/>
      <c r="K104" s="618"/>
      <c r="L104" s="538"/>
      <c r="M104" s="437"/>
      <c r="N104" s="437"/>
    </row>
    <row r="105" spans="3:14" x14ac:dyDescent="0.25">
      <c r="E105" s="437"/>
      <c r="F105" s="437"/>
      <c r="G105" s="437"/>
      <c r="H105" s="437"/>
      <c r="I105" s="437"/>
      <c r="J105" s="618"/>
      <c r="K105" s="618"/>
      <c r="L105" s="538"/>
      <c r="M105" s="437"/>
      <c r="N105" s="437"/>
    </row>
  </sheetData>
  <phoneticPr fontId="2" type="noConversion"/>
  <printOptions horizontalCentered="1"/>
  <pageMargins left="0.5" right="0.5" top="0.5" bottom="0.5" header="0.25" footer="0.25"/>
  <pageSetup scale="58" orientation="landscape" r:id="rId1"/>
  <headerFooter alignWithMargins="0">
    <oddHeader xml:space="preserve">&amp;RUG-181053 NWN Compliance Filing
Advice 19-07 / Work Paper
</oddHeader>
    <oddFooter xml:space="preserve">&amp;C&amp;F &amp;D &amp;T
&amp;A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opLeftCell="A21" zoomScaleNormal="100" workbookViewId="0">
      <selection activeCell="A10" sqref="A10"/>
    </sheetView>
  </sheetViews>
  <sheetFormatPr defaultColWidth="10.6640625" defaultRowHeight="13.2" x14ac:dyDescent="0.25"/>
  <cols>
    <col min="1" max="3" width="15.88671875" style="1" customWidth="1"/>
    <col min="4" max="4" width="13.33203125" style="1" customWidth="1"/>
    <col min="5" max="5" width="8.109375" style="1" customWidth="1"/>
    <col min="6" max="6" width="13.44140625" style="1" customWidth="1"/>
    <col min="7" max="7" width="14.6640625" style="1" customWidth="1"/>
    <col min="8" max="8" width="8.109375" style="1" customWidth="1"/>
    <col min="9" max="16384" width="10.6640625" style="1"/>
  </cols>
  <sheetData>
    <row r="1" spans="1:11" ht="46.5" customHeight="1" x14ac:dyDescent="0.25">
      <c r="A1" s="321"/>
      <c r="B1" s="321"/>
      <c r="C1" s="270"/>
      <c r="D1" s="1851" t="s">
        <v>231</v>
      </c>
      <c r="E1" s="1851"/>
    </row>
    <row r="2" spans="1:11" ht="21" x14ac:dyDescent="0.25">
      <c r="C2" s="270"/>
      <c r="D2" s="270"/>
      <c r="E2" s="350"/>
      <c r="F2" s="350"/>
      <c r="G2" s="350"/>
    </row>
    <row r="3" spans="1:11" ht="20.399999999999999" x14ac:dyDescent="0.25">
      <c r="A3" s="351" t="s">
        <v>605</v>
      </c>
      <c r="C3" s="270"/>
      <c r="D3" s="270"/>
      <c r="E3" s="19"/>
      <c r="F3" s="19"/>
      <c r="G3" s="19"/>
    </row>
    <row r="4" spans="1:11" ht="20.399999999999999" x14ac:dyDescent="0.25">
      <c r="A4" s="214" t="s">
        <v>633</v>
      </c>
      <c r="B4" s="351"/>
      <c r="C4" s="270"/>
      <c r="D4" s="270"/>
      <c r="E4" s="19"/>
      <c r="F4" s="19"/>
      <c r="G4" s="19"/>
    </row>
    <row r="6" spans="1:11" ht="15" x14ac:dyDescent="0.25">
      <c r="A6" s="214"/>
    </row>
    <row r="7" spans="1:11" x14ac:dyDescent="0.25">
      <c r="E7" s="1831"/>
      <c r="F7" s="1831"/>
      <c r="G7" s="1831"/>
      <c r="H7" s="8"/>
      <c r="I7" s="1855"/>
      <c r="J7" s="1855"/>
      <c r="K7" s="8"/>
    </row>
    <row r="8" spans="1:11" ht="53.4" thickBot="1" x14ac:dyDescent="0.3">
      <c r="A8" s="353" t="s">
        <v>571</v>
      </c>
      <c r="B8" s="353" t="s">
        <v>280</v>
      </c>
      <c r="C8" s="353" t="s">
        <v>297</v>
      </c>
      <c r="D8" s="353" t="s">
        <v>603</v>
      </c>
      <c r="E8" s="361"/>
      <c r="F8" s="367" t="s">
        <v>336</v>
      </c>
      <c r="G8" s="357"/>
      <c r="H8" s="8"/>
      <c r="I8" s="8"/>
      <c r="J8" s="357"/>
      <c r="K8" s="8"/>
    </row>
    <row r="9" spans="1:11" x14ac:dyDescent="0.25">
      <c r="A9" s="358"/>
      <c r="B9" s="359"/>
      <c r="C9" s="359"/>
      <c r="D9" s="359"/>
      <c r="E9" s="361"/>
      <c r="F9" s="8"/>
      <c r="G9" s="357"/>
      <c r="H9" s="8"/>
      <c r="I9" s="8"/>
      <c r="J9" s="363"/>
      <c r="K9" s="8"/>
    </row>
    <row r="10" spans="1:11" x14ac:dyDescent="0.25">
      <c r="A10" s="364">
        <v>38169</v>
      </c>
      <c r="B10" s="138">
        <v>195.16</v>
      </c>
      <c r="C10" s="330">
        <v>0.75789433795696037</v>
      </c>
      <c r="D10" s="330">
        <v>0.73767433795696025</v>
      </c>
      <c r="E10" s="247"/>
      <c r="F10" s="212">
        <v>4.521E-2</v>
      </c>
      <c r="G10" s="138"/>
      <c r="H10" s="8"/>
      <c r="I10" s="8"/>
      <c r="J10" s="212"/>
      <c r="K10" s="8"/>
    </row>
    <row r="11" spans="1:11" x14ac:dyDescent="0.25">
      <c r="A11" s="364">
        <v>0</v>
      </c>
      <c r="B11" s="138">
        <v>195.16</v>
      </c>
      <c r="C11" s="330">
        <v>0.94345999999999997</v>
      </c>
      <c r="D11" s="330">
        <v>0.92269000000000001</v>
      </c>
      <c r="E11" s="247"/>
      <c r="F11" s="212">
        <v>4.2950562385561081E-2</v>
      </c>
      <c r="G11" s="138"/>
      <c r="H11" s="8"/>
      <c r="I11" s="8"/>
      <c r="J11" s="212"/>
      <c r="K11" s="8"/>
    </row>
    <row r="12" spans="1:11" x14ac:dyDescent="0.25">
      <c r="A12" s="364">
        <v>38626</v>
      </c>
      <c r="B12" s="138">
        <v>195.16</v>
      </c>
      <c r="C12" s="330">
        <v>1.1223105371207409</v>
      </c>
      <c r="D12" s="330">
        <v>1.1014905371207406</v>
      </c>
      <c r="E12" s="247"/>
      <c r="F12" s="212">
        <v>2.9739919093150199E-2</v>
      </c>
      <c r="G12" s="8"/>
      <c r="H12" s="8"/>
      <c r="I12" s="8"/>
      <c r="J12" s="8"/>
      <c r="K12" s="8"/>
    </row>
    <row r="13" spans="1:11" x14ac:dyDescent="0.25">
      <c r="A13" s="364">
        <v>39022</v>
      </c>
      <c r="B13" s="138">
        <v>195.16</v>
      </c>
      <c r="C13" s="330">
        <v>1.1428100000000001</v>
      </c>
      <c r="D13" s="330">
        <v>1.12198</v>
      </c>
      <c r="F13" s="212">
        <v>3.8550000000000001E-2</v>
      </c>
    </row>
    <row r="14" spans="1:11" x14ac:dyDescent="0.25">
      <c r="A14" s="364">
        <v>39387</v>
      </c>
      <c r="B14" s="138">
        <v>195.16</v>
      </c>
      <c r="C14" s="330">
        <v>1.0172000000000001</v>
      </c>
      <c r="D14" s="330">
        <v>0.99636999999999998</v>
      </c>
      <c r="F14" s="212">
        <v>4.1520000000000001E-2</v>
      </c>
    </row>
    <row r="15" spans="1:11" x14ac:dyDescent="0.25">
      <c r="A15" s="364">
        <v>39753</v>
      </c>
      <c r="B15" s="335">
        <v>195.16</v>
      </c>
      <c r="C15" s="330">
        <v>1.25973</v>
      </c>
      <c r="D15" s="336">
        <v>1.2388999999999999</v>
      </c>
      <c r="F15" s="212">
        <v>4.0489999999999998E-2</v>
      </c>
    </row>
    <row r="16" spans="1:11" x14ac:dyDescent="0.25">
      <c r="A16" s="364">
        <f>+'Index &amp; Documentation'!D1</f>
        <v>39814</v>
      </c>
      <c r="B16" s="335">
        <v>250</v>
      </c>
      <c r="C16" s="330">
        <v>1.17828</v>
      </c>
      <c r="D16" s="336">
        <v>1.1427099999999999</v>
      </c>
      <c r="F16" s="212">
        <v>4.0489999999999998E-2</v>
      </c>
    </row>
    <row r="17" spans="1:6" x14ac:dyDescent="0.25">
      <c r="A17" s="1136">
        <v>40118</v>
      </c>
      <c r="B17" s="29">
        <v>250</v>
      </c>
      <c r="C17" s="331">
        <v>0.83792999999999995</v>
      </c>
      <c r="D17" s="1100">
        <v>0.80215999999999998</v>
      </c>
      <c r="E17" s="331"/>
      <c r="F17" s="331">
        <v>4.2750000000000003E-2</v>
      </c>
    </row>
    <row r="18" spans="1:6" x14ac:dyDescent="0.25">
      <c r="A18" s="1290">
        <v>40483</v>
      </c>
      <c r="B18" s="1291"/>
      <c r="C18" s="1291"/>
      <c r="D18" s="1291"/>
      <c r="E18" s="1291"/>
      <c r="F18" s="1291"/>
    </row>
    <row r="19" spans="1:6" x14ac:dyDescent="0.25">
      <c r="A19" s="1292" t="s">
        <v>740</v>
      </c>
      <c r="B19" s="1293">
        <v>250</v>
      </c>
      <c r="C19" s="1294">
        <v>0.80553999999999992</v>
      </c>
      <c r="D19" s="1295">
        <v>0.76744999999999985</v>
      </c>
      <c r="E19" s="1294"/>
      <c r="F19" s="1294">
        <v>4.4979999999999999E-2</v>
      </c>
    </row>
    <row r="20" spans="1:6" x14ac:dyDescent="0.25">
      <c r="A20" s="1292" t="s">
        <v>741</v>
      </c>
      <c r="B20" s="1293">
        <v>250</v>
      </c>
      <c r="C20" s="1294">
        <v>0.79296999999999995</v>
      </c>
      <c r="D20" s="1295">
        <v>0.75636999999999988</v>
      </c>
      <c r="E20" s="1294"/>
      <c r="F20" s="1294">
        <v>4.4979999999999999E-2</v>
      </c>
    </row>
    <row r="21" spans="1:6" x14ac:dyDescent="0.25">
      <c r="A21" s="1136">
        <v>40848</v>
      </c>
    </row>
    <row r="22" spans="1:6" x14ac:dyDescent="0.25">
      <c r="A22" s="1202" t="s">
        <v>740</v>
      </c>
      <c r="B22" s="29">
        <v>250</v>
      </c>
      <c r="C22" s="331">
        <v>0.7734899999999999</v>
      </c>
      <c r="D22" s="1100">
        <v>0.73644999999999994</v>
      </c>
      <c r="E22" s="331"/>
      <c r="F22" s="331">
        <v>4.7570000000000001E-2</v>
      </c>
    </row>
    <row r="23" spans="1:6" x14ac:dyDescent="0.25">
      <c r="A23" s="1202" t="s">
        <v>741</v>
      </c>
      <c r="B23" s="29">
        <v>250</v>
      </c>
      <c r="C23" s="331">
        <v>0.76779999999999993</v>
      </c>
      <c r="D23" s="1100">
        <v>0.73143999999999998</v>
      </c>
      <c r="E23" s="331"/>
      <c r="F23" s="331">
        <v>4.7570000000000001E-2</v>
      </c>
    </row>
    <row r="24" spans="1:6" x14ac:dyDescent="0.25">
      <c r="A24" s="1136">
        <v>41214</v>
      </c>
      <c r="B24" s="29"/>
      <c r="C24" s="331"/>
      <c r="D24" s="1100"/>
      <c r="E24" s="331"/>
      <c r="F24" s="331"/>
    </row>
    <row r="25" spans="1:6" x14ac:dyDescent="0.25">
      <c r="A25" s="1202" t="s">
        <v>740</v>
      </c>
      <c r="B25" s="29">
        <v>250</v>
      </c>
      <c r="C25" s="331">
        <v>0.67899999999999994</v>
      </c>
      <c r="D25" s="1100">
        <v>0.64147999999999994</v>
      </c>
      <c r="E25" s="331"/>
      <c r="F25" s="331">
        <v>4.9029999999999997E-2</v>
      </c>
    </row>
    <row r="26" spans="1:6" x14ac:dyDescent="0.25">
      <c r="A26" s="1202" t="s">
        <v>741</v>
      </c>
      <c r="B26" s="29">
        <v>250</v>
      </c>
      <c r="C26" s="331">
        <v>0.67087999999999992</v>
      </c>
      <c r="D26" s="1100">
        <v>0.63432999999999995</v>
      </c>
      <c r="E26" s="331"/>
      <c r="F26" s="331">
        <v>4.9029999999999997E-2</v>
      </c>
    </row>
    <row r="27" spans="1:6" x14ac:dyDescent="0.25">
      <c r="A27" s="1471">
        <v>41579</v>
      </c>
      <c r="B27" s="29"/>
      <c r="C27" s="331"/>
      <c r="D27" s="1100"/>
      <c r="E27" s="331"/>
      <c r="F27" s="331"/>
    </row>
    <row r="28" spans="1:6" x14ac:dyDescent="0.25">
      <c r="A28" s="1202" t="s">
        <v>740</v>
      </c>
      <c r="B28" s="29">
        <v>250</v>
      </c>
      <c r="C28" s="331">
        <v>0.69672999999999996</v>
      </c>
      <c r="D28" s="1100">
        <v>0.65891</v>
      </c>
      <c r="E28" s="331"/>
      <c r="F28" s="331">
        <v>4.8919999999999998E-2</v>
      </c>
    </row>
    <row r="29" spans="1:6" x14ac:dyDescent="0.25">
      <c r="A29" s="1202" t="s">
        <v>741</v>
      </c>
      <c r="B29" s="29">
        <v>250</v>
      </c>
      <c r="C29" s="331">
        <v>0.68181999999999998</v>
      </c>
      <c r="D29" s="1100">
        <v>0.64578000000000002</v>
      </c>
      <c r="E29" s="331"/>
      <c r="F29" s="331">
        <v>4.8919999999999998E-2</v>
      </c>
    </row>
    <row r="30" spans="1:6" x14ac:dyDescent="0.25">
      <c r="A30" s="1136">
        <v>41944</v>
      </c>
    </row>
    <row r="31" spans="1:6" x14ac:dyDescent="0.25">
      <c r="A31" s="1202" t="s">
        <v>740</v>
      </c>
      <c r="B31" s="29">
        <v>250</v>
      </c>
      <c r="C31" s="331">
        <v>0.78164999999999984</v>
      </c>
      <c r="D31" s="1100">
        <v>0.7436299999999999</v>
      </c>
      <c r="E31" s="331"/>
      <c r="F31" s="331">
        <v>4.3720000000000002E-2</v>
      </c>
    </row>
    <row r="32" spans="1:6" x14ac:dyDescent="0.25">
      <c r="A32" s="1202" t="s">
        <v>741</v>
      </c>
      <c r="B32" s="29">
        <v>250</v>
      </c>
      <c r="C32" s="331">
        <v>0.76749000000000001</v>
      </c>
      <c r="D32" s="1100">
        <v>0.73115999999999992</v>
      </c>
      <c r="E32" s="331"/>
      <c r="F32" s="331">
        <v>4.3720000000000002E-2</v>
      </c>
    </row>
    <row r="33" spans="1:6" x14ac:dyDescent="0.25">
      <c r="A33" s="1136">
        <v>42309</v>
      </c>
    </row>
    <row r="34" spans="1:6" x14ac:dyDescent="0.25">
      <c r="A34" s="1202" t="s">
        <v>740</v>
      </c>
      <c r="B34" s="29">
        <v>250</v>
      </c>
      <c r="C34" s="331">
        <v>0.60379999999999989</v>
      </c>
      <c r="D34" s="1100">
        <v>0.56567999999999985</v>
      </c>
      <c r="E34" s="331"/>
      <c r="F34" s="331">
        <v>4.231E-2</v>
      </c>
    </row>
    <row r="35" spans="1:6" x14ac:dyDescent="0.25">
      <c r="A35" s="1202" t="s">
        <v>741</v>
      </c>
      <c r="B35" s="29">
        <v>250</v>
      </c>
      <c r="C35" s="331">
        <v>0.58964000000000005</v>
      </c>
      <c r="D35" s="1100">
        <v>0.55319999999999991</v>
      </c>
      <c r="E35" s="331"/>
      <c r="F35" s="331">
        <v>4.231E-2</v>
      </c>
    </row>
    <row r="36" spans="1:6" x14ac:dyDescent="0.25">
      <c r="A36" s="1136">
        <v>42675</v>
      </c>
    </row>
    <row r="37" spans="1:6" x14ac:dyDescent="0.25">
      <c r="A37" s="1202" t="s">
        <v>740</v>
      </c>
      <c r="B37" s="29">
        <v>250</v>
      </c>
      <c r="C37" s="331">
        <v>0.59213999999999989</v>
      </c>
      <c r="D37" s="1100">
        <v>0.55348999999999982</v>
      </c>
      <c r="E37" s="331"/>
      <c r="F37" s="331">
        <v>4.3249999999999997E-2</v>
      </c>
    </row>
    <row r="38" spans="1:6" x14ac:dyDescent="0.25">
      <c r="A38" s="1202" t="s">
        <v>741</v>
      </c>
      <c r="B38" s="29">
        <v>250</v>
      </c>
      <c r="C38" s="331">
        <v>0.57388000000000006</v>
      </c>
      <c r="D38" s="1100">
        <v>0.53739999999999988</v>
      </c>
      <c r="E38" s="331"/>
      <c r="F38" s="331">
        <v>4.3249999999999997E-2</v>
      </c>
    </row>
    <row r="39" spans="1:6" x14ac:dyDescent="0.25">
      <c r="A39" s="1136">
        <v>43040</v>
      </c>
      <c r="B39" s="29"/>
      <c r="C39" s="331"/>
      <c r="D39" s="1100"/>
      <c r="E39" s="331"/>
      <c r="F39" s="331"/>
    </row>
    <row r="40" spans="1:6" x14ac:dyDescent="0.25">
      <c r="A40" s="1202" t="s">
        <v>740</v>
      </c>
      <c r="B40" s="29">
        <v>250</v>
      </c>
      <c r="C40" s="331">
        <v>0.57863999999999993</v>
      </c>
      <c r="D40" s="1100">
        <v>0.54000999999999988</v>
      </c>
      <c r="E40" s="331"/>
      <c r="F40" s="331">
        <v>4.2479999999999997E-2</v>
      </c>
    </row>
    <row r="41" spans="1:6" x14ac:dyDescent="0.25">
      <c r="A41" s="1202" t="s">
        <v>741</v>
      </c>
      <c r="B41" s="29">
        <v>250</v>
      </c>
      <c r="C41" s="331">
        <v>0.55922000000000005</v>
      </c>
      <c r="D41" s="1100">
        <v>0.52289999999999992</v>
      </c>
      <c r="E41" s="331"/>
      <c r="F41" s="331">
        <v>4.2479999999999997E-2</v>
      </c>
    </row>
    <row r="42" spans="1:6" x14ac:dyDescent="0.25">
      <c r="A42" s="1136">
        <v>43405</v>
      </c>
      <c r="B42" s="29"/>
      <c r="C42" s="331"/>
      <c r="D42" s="1100"/>
      <c r="E42" s="331"/>
      <c r="F42" s="331"/>
    </row>
    <row r="43" spans="1:6" x14ac:dyDescent="0.25">
      <c r="A43" s="1202" t="s">
        <v>740</v>
      </c>
      <c r="B43" s="29">
        <v>250</v>
      </c>
      <c r="C43" s="331">
        <v>0.51518999999999993</v>
      </c>
      <c r="D43" s="331">
        <v>0.47625999999999991</v>
      </c>
      <c r="E43" s="331"/>
      <c r="F43" s="331">
        <v>3.8879999999999998E-2</v>
      </c>
    </row>
    <row r="44" spans="1:6" x14ac:dyDescent="0.25">
      <c r="A44" s="1202" t="s">
        <v>741</v>
      </c>
      <c r="B44" s="29">
        <v>250</v>
      </c>
      <c r="C44" s="331">
        <v>0.49300000000000005</v>
      </c>
      <c r="D44" s="331">
        <v>0.45670999999999995</v>
      </c>
      <c r="E44" s="331"/>
      <c r="F44" s="331">
        <v>3.8879999999999998E-2</v>
      </c>
    </row>
    <row r="45" spans="1:6" x14ac:dyDescent="0.25">
      <c r="A45" s="1136">
        <f>+EFFDATE</f>
        <v>43770</v>
      </c>
    </row>
    <row r="46" spans="1:6" x14ac:dyDescent="0.25">
      <c r="A46" s="1202" t="s">
        <v>740</v>
      </c>
      <c r="B46" s="29">
        <v>250</v>
      </c>
      <c r="C46" s="331">
        <f>'Rates in detail'!$V$21</f>
        <v>0.56037999999999999</v>
      </c>
      <c r="D46" s="1100">
        <f>'Rates in detail'!$V$22</f>
        <v>0.52086999999999994</v>
      </c>
      <c r="E46" s="331"/>
      <c r="F46" s="331">
        <f>Inputs!$B$20</f>
        <v>3.8739999999999997E-2</v>
      </c>
    </row>
    <row r="47" spans="1:6" x14ac:dyDescent="0.25">
      <c r="A47" s="1202" t="s">
        <v>741</v>
      </c>
      <c r="B47" s="29">
        <v>250</v>
      </c>
      <c r="C47" s="331">
        <f>'Rates in detail'!$V$27</f>
        <v>0.53268000000000004</v>
      </c>
      <c r="D47" s="1100">
        <f>'Rates in detail'!$V$28</f>
        <v>0.49646999999999997</v>
      </c>
      <c r="E47" s="331"/>
      <c r="F47" s="331">
        <f>Inputs!$B$20</f>
        <v>3.8739999999999997E-2</v>
      </c>
    </row>
  </sheetData>
  <mergeCells count="3">
    <mergeCell ref="D1:E1"/>
    <mergeCell ref="E7:G7"/>
    <mergeCell ref="I7:J7"/>
  </mergeCells>
  <phoneticPr fontId="12" type="noConversion"/>
  <pageMargins left="0.75" right="0.75" top="1" bottom="1" header="0.5" footer="0.5"/>
  <pageSetup scale="94"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topLeftCell="A9" zoomScaleNormal="100" workbookViewId="0">
      <selection activeCell="A10" sqref="A10"/>
    </sheetView>
  </sheetViews>
  <sheetFormatPr defaultColWidth="10.6640625" defaultRowHeight="13.2" x14ac:dyDescent="0.25"/>
  <cols>
    <col min="1" max="1" width="12.44140625" style="1" customWidth="1"/>
    <col min="2" max="2" width="12.33203125" style="1" customWidth="1"/>
    <col min="3" max="3" width="11" style="1" customWidth="1"/>
    <col min="4" max="4" width="10.6640625" style="1" customWidth="1"/>
    <col min="5" max="5" width="10.44140625" style="1" customWidth="1"/>
    <col min="6" max="6" width="12" style="1" customWidth="1"/>
    <col min="7" max="7" width="11.109375" style="1" customWidth="1"/>
    <col min="8" max="8" width="10.44140625" style="1" customWidth="1"/>
    <col min="9" max="9" width="11.88671875" style="1" customWidth="1"/>
    <col min="10" max="10" width="10.6640625" style="1" customWidth="1"/>
    <col min="11" max="11" width="11.109375" style="1" customWidth="1"/>
    <col min="12" max="12" width="4.109375" style="1" customWidth="1"/>
    <col min="13" max="13" width="10.6640625" style="1" customWidth="1"/>
    <col min="14" max="14" width="3.6640625" style="1" customWidth="1"/>
    <col min="15" max="16384" width="10.6640625" style="1"/>
  </cols>
  <sheetData>
    <row r="1" spans="1:14" ht="51.75" customHeight="1" x14ac:dyDescent="0.25">
      <c r="A1" s="321"/>
      <c r="B1" s="321"/>
      <c r="C1" s="271"/>
      <c r="D1" s="271"/>
      <c r="E1" s="368" t="s">
        <v>231</v>
      </c>
      <c r="G1" s="271"/>
      <c r="H1" s="271"/>
    </row>
    <row r="2" spans="1:14" ht="15.75" customHeight="1" x14ac:dyDescent="0.25">
      <c r="A2" s="321"/>
      <c r="B2" s="321"/>
      <c r="C2" s="271"/>
      <c r="D2" s="271"/>
      <c r="E2" s="271"/>
      <c r="F2" s="271"/>
      <c r="G2" s="271"/>
      <c r="H2" s="271"/>
    </row>
    <row r="3" spans="1:14" ht="15.6" x14ac:dyDescent="0.25">
      <c r="A3" s="351" t="s">
        <v>606</v>
      </c>
      <c r="B3" s="351"/>
      <c r="C3" s="351"/>
      <c r="D3" s="351"/>
      <c r="E3" s="351"/>
      <c r="F3" s="351"/>
      <c r="G3" s="351"/>
    </row>
    <row r="4" spans="1:14" ht="20.25" customHeight="1" x14ac:dyDescent="0.25">
      <c r="A4" s="1857" t="s">
        <v>634</v>
      </c>
      <c r="B4" s="1857"/>
      <c r="C4" s="1857"/>
      <c r="D4" s="1857"/>
      <c r="E4" s="1857"/>
      <c r="F4" s="1857"/>
      <c r="G4" s="1857"/>
      <c r="H4" s="1857"/>
    </row>
    <row r="5" spans="1:14" ht="21" x14ac:dyDescent="0.4">
      <c r="A5" s="369"/>
      <c r="B5" s="369"/>
      <c r="C5" s="271"/>
      <c r="D5" s="370"/>
      <c r="E5" s="370"/>
      <c r="F5" s="370"/>
      <c r="G5" s="370"/>
      <c r="H5" s="370"/>
      <c r="I5" s="1852" t="s">
        <v>607</v>
      </c>
      <c r="J5" s="1853"/>
      <c r="K5" s="1853"/>
      <c r="L5" s="1853"/>
      <c r="M5" s="1854"/>
      <c r="N5" s="7"/>
    </row>
    <row r="6" spans="1:14" ht="66.599999999999994" thickBot="1" x14ac:dyDescent="0.3">
      <c r="A6" s="371" t="s">
        <v>571</v>
      </c>
      <c r="B6" s="371" t="s">
        <v>280</v>
      </c>
      <c r="C6" s="371" t="s">
        <v>608</v>
      </c>
      <c r="D6" s="371" t="s">
        <v>609</v>
      </c>
      <c r="E6" s="371" t="s">
        <v>610</v>
      </c>
      <c r="F6" s="371" t="s">
        <v>611</v>
      </c>
      <c r="G6" s="371" t="s">
        <v>612</v>
      </c>
      <c r="H6" s="371" t="s">
        <v>603</v>
      </c>
      <c r="I6" s="372" t="s">
        <v>613</v>
      </c>
      <c r="J6" s="367" t="s">
        <v>614</v>
      </c>
      <c r="K6" s="373" t="s">
        <v>336</v>
      </c>
      <c r="L6" s="373"/>
      <c r="M6" s="374" t="s">
        <v>604</v>
      </c>
      <c r="N6" s="357"/>
    </row>
    <row r="7" spans="1:14" x14ac:dyDescent="0.25">
      <c r="A7" s="8"/>
      <c r="B7" s="8"/>
      <c r="C7" s="8"/>
      <c r="D7" s="8"/>
      <c r="E7" s="8"/>
      <c r="F7" s="8"/>
      <c r="G7" s="8"/>
      <c r="H7" s="8"/>
      <c r="I7" s="1457"/>
      <c r="J7" s="1458"/>
      <c r="K7" s="1459"/>
      <c r="L7" s="1458"/>
      <c r="M7" s="1458"/>
      <c r="N7" s="357"/>
    </row>
    <row r="8" spans="1:14" x14ac:dyDescent="0.25">
      <c r="A8" s="364">
        <v>38169</v>
      </c>
      <c r="B8" s="335">
        <v>1300</v>
      </c>
      <c r="C8" s="336">
        <v>0.48886471320521813</v>
      </c>
      <c r="D8" s="336">
        <v>0.46886471320521811</v>
      </c>
      <c r="E8" s="336">
        <v>0.46886471320521811</v>
      </c>
      <c r="F8" s="336">
        <v>0.43886471320521808</v>
      </c>
      <c r="G8" s="336">
        <v>0.41886471320521806</v>
      </c>
      <c r="H8" s="336">
        <v>0.3938647132052181</v>
      </c>
      <c r="I8" s="247">
        <v>0.15748000000000001</v>
      </c>
      <c r="J8" s="247">
        <v>0.20415</v>
      </c>
      <c r="K8" s="247">
        <v>0.12942000000000001</v>
      </c>
      <c r="L8" s="1456" t="s">
        <v>677</v>
      </c>
      <c r="M8" s="138">
        <v>1.85</v>
      </c>
      <c r="N8" s="138"/>
    </row>
    <row r="9" spans="1:14" x14ac:dyDescent="0.25">
      <c r="A9" s="364">
        <v>38292</v>
      </c>
      <c r="B9" s="335">
        <v>1300</v>
      </c>
      <c r="C9" s="336">
        <v>0.67703999999999998</v>
      </c>
      <c r="D9" s="336">
        <v>0.65649999999999997</v>
      </c>
      <c r="E9" s="336">
        <v>0.65649999999999997</v>
      </c>
      <c r="F9" s="336">
        <v>0.62568000000000001</v>
      </c>
      <c r="G9" s="336">
        <v>0.60514000000000001</v>
      </c>
      <c r="H9" s="336">
        <v>0.57945999999999998</v>
      </c>
      <c r="I9" s="247">
        <v>0.15748000000000001</v>
      </c>
      <c r="J9" s="247">
        <v>0.20415</v>
      </c>
      <c r="K9" s="247">
        <v>0.12296102537274392</v>
      </c>
      <c r="L9" s="1456" t="s">
        <v>677</v>
      </c>
      <c r="M9" s="138">
        <v>1.76</v>
      </c>
      <c r="N9" s="138"/>
    </row>
    <row r="10" spans="1:14" x14ac:dyDescent="0.25">
      <c r="A10" s="364">
        <v>38626</v>
      </c>
      <c r="B10" s="335">
        <v>1300</v>
      </c>
      <c r="C10" s="336">
        <v>0.85313053712074083</v>
      </c>
      <c r="D10" s="336">
        <v>0.83254053712074072</v>
      </c>
      <c r="E10" s="336">
        <v>0.83254053712074072</v>
      </c>
      <c r="F10" s="336">
        <v>0.80165053712074075</v>
      </c>
      <c r="G10" s="336">
        <v>0.78106053712074075</v>
      </c>
      <c r="H10" s="336">
        <v>0.75530053712074074</v>
      </c>
      <c r="I10" s="247">
        <v>0.15748000000000001</v>
      </c>
      <c r="J10" s="247">
        <v>0.20415</v>
      </c>
      <c r="K10" s="247">
        <v>8.5126423308774277E-2</v>
      </c>
      <c r="L10" s="1456" t="s">
        <v>677</v>
      </c>
      <c r="M10" s="138">
        <v>1.2749768774163779</v>
      </c>
      <c r="N10" s="138"/>
    </row>
    <row r="11" spans="1:14" x14ac:dyDescent="0.25">
      <c r="A11" s="328">
        <v>39022</v>
      </c>
      <c r="B11" s="335">
        <v>1300</v>
      </c>
      <c r="C11" s="336">
        <v>0.86748000000000003</v>
      </c>
      <c r="D11" s="336">
        <v>0.84687999999999997</v>
      </c>
      <c r="E11" s="336">
        <v>0.84687999999999997</v>
      </c>
      <c r="F11" s="336">
        <v>0.81598000000000004</v>
      </c>
      <c r="G11" s="336">
        <v>0.79537999999999998</v>
      </c>
      <c r="H11" s="336">
        <v>0.76061999999999996</v>
      </c>
      <c r="I11" s="247">
        <v>0.15748000000000001</v>
      </c>
      <c r="J11" s="247">
        <v>0.20415</v>
      </c>
      <c r="K11" s="32">
        <v>0.11033999999999999</v>
      </c>
      <c r="L11" s="1456" t="s">
        <v>677</v>
      </c>
      <c r="M11" s="211">
        <v>1.64</v>
      </c>
    </row>
    <row r="12" spans="1:14" x14ac:dyDescent="0.25">
      <c r="A12" s="328">
        <v>39387</v>
      </c>
      <c r="B12" s="335">
        <v>1300</v>
      </c>
      <c r="C12" s="336">
        <v>0.72846999999999995</v>
      </c>
      <c r="D12" s="336">
        <v>0.70787</v>
      </c>
      <c r="E12" s="336">
        <v>0.70787</v>
      </c>
      <c r="F12" s="336">
        <v>0.67696999999999996</v>
      </c>
      <c r="G12" s="336">
        <v>0.65637000000000001</v>
      </c>
      <c r="H12" s="336">
        <v>0.63061</v>
      </c>
      <c r="I12" s="247">
        <v>0.15748000000000001</v>
      </c>
      <c r="J12" s="247">
        <v>0.20415</v>
      </c>
      <c r="K12" s="32">
        <v>0.11887</v>
      </c>
      <c r="L12" s="1456"/>
      <c r="M12" s="211">
        <v>1.77</v>
      </c>
    </row>
    <row r="13" spans="1:14" x14ac:dyDescent="0.25">
      <c r="A13" s="328">
        <v>39753</v>
      </c>
      <c r="B13" s="345">
        <v>1300</v>
      </c>
      <c r="C13" s="336"/>
      <c r="D13" s="336"/>
      <c r="E13" s="336"/>
      <c r="F13" s="336"/>
      <c r="G13" s="336"/>
      <c r="H13" s="336"/>
      <c r="I13" s="247"/>
      <c r="J13" s="247"/>
      <c r="K13" s="32"/>
      <c r="L13" s="1456"/>
      <c r="M13" s="211"/>
    </row>
    <row r="14" spans="1:14" x14ac:dyDescent="0.25">
      <c r="A14" s="837" t="s">
        <v>47</v>
      </c>
      <c r="B14" s="345">
        <v>1300</v>
      </c>
      <c r="C14" s="336">
        <v>0.98314999999999997</v>
      </c>
      <c r="D14" s="336">
        <v>0.96253999999999984</v>
      </c>
      <c r="E14" s="336">
        <v>0.96253999999999984</v>
      </c>
      <c r="F14" s="336">
        <v>0.93161999999999989</v>
      </c>
      <c r="G14" s="336">
        <v>0.91100999999999999</v>
      </c>
      <c r="H14" s="336">
        <v>0.88523999999999992</v>
      </c>
      <c r="I14" s="32">
        <v>0.15748000000000001</v>
      </c>
      <c r="J14" s="32">
        <v>0.20415</v>
      </c>
      <c r="K14" s="32">
        <v>0.11592</v>
      </c>
      <c r="L14" s="1456" t="s">
        <v>677</v>
      </c>
      <c r="M14" s="211">
        <v>1.73</v>
      </c>
    </row>
    <row r="15" spans="1:14" x14ac:dyDescent="0.25">
      <c r="A15" s="837" t="s">
        <v>315</v>
      </c>
      <c r="B15" s="345">
        <v>1300</v>
      </c>
      <c r="C15" s="336">
        <v>0.98314000000000001</v>
      </c>
      <c r="D15" s="336">
        <v>0.96252999999999989</v>
      </c>
      <c r="E15" s="336">
        <v>0.96252999999999989</v>
      </c>
      <c r="F15" s="336">
        <v>0.93161999999999989</v>
      </c>
      <c r="G15" s="336">
        <v>0.91100999999999999</v>
      </c>
      <c r="H15" s="336">
        <v>0.88523999999999992</v>
      </c>
      <c r="I15" s="32">
        <v>0.15748000000000001</v>
      </c>
      <c r="J15" s="32">
        <v>0.20415</v>
      </c>
      <c r="K15" s="32">
        <v>0.11592</v>
      </c>
      <c r="L15" s="1456" t="s">
        <v>677</v>
      </c>
      <c r="M15" s="211">
        <v>1.73</v>
      </c>
    </row>
    <row r="16" spans="1:14" x14ac:dyDescent="0.25">
      <c r="A16" s="395">
        <f>+'Index &amp; Documentation'!D1</f>
        <v>39814</v>
      </c>
      <c r="I16" s="8"/>
      <c r="J16" s="8"/>
      <c r="K16" s="8"/>
      <c r="L16" s="8"/>
      <c r="M16" s="8"/>
    </row>
    <row r="17" spans="1:13" x14ac:dyDescent="0.25">
      <c r="A17" s="837" t="s">
        <v>47</v>
      </c>
      <c r="B17" s="345">
        <v>1300</v>
      </c>
      <c r="C17" s="336">
        <v>0.98658000000000001</v>
      </c>
      <c r="D17" s="336">
        <v>0.97433000000000003</v>
      </c>
      <c r="E17" s="336">
        <v>0.94996000000000003</v>
      </c>
      <c r="F17" s="336">
        <v>0.93391999999999997</v>
      </c>
      <c r="G17" s="336">
        <v>0.91254000000000002</v>
      </c>
      <c r="H17" s="336">
        <v>0.88580999999999999</v>
      </c>
      <c r="I17" s="32">
        <v>0.15748000000000001</v>
      </c>
      <c r="J17" s="32">
        <v>0.20415</v>
      </c>
      <c r="K17" s="32">
        <v>0.11592</v>
      </c>
      <c r="L17" s="1456" t="s">
        <v>677</v>
      </c>
      <c r="M17" s="211">
        <v>1.73</v>
      </c>
    </row>
    <row r="18" spans="1:13" x14ac:dyDescent="0.25">
      <c r="A18" s="837" t="s">
        <v>315</v>
      </c>
      <c r="B18" s="345">
        <v>1300</v>
      </c>
      <c r="C18" s="336">
        <v>0.98678999999999994</v>
      </c>
      <c r="D18" s="336">
        <v>0.97452000000000005</v>
      </c>
      <c r="E18" s="336">
        <v>0.95011000000000001</v>
      </c>
      <c r="F18" s="336">
        <v>0.93403999999999998</v>
      </c>
      <c r="G18" s="336">
        <v>0.91261999999999999</v>
      </c>
      <c r="H18" s="336">
        <v>0.88583999999999996</v>
      </c>
      <c r="I18" s="32">
        <v>0.15748000000000001</v>
      </c>
      <c r="J18" s="32">
        <v>0.20415</v>
      </c>
      <c r="K18" s="32">
        <v>0.11592</v>
      </c>
      <c r="L18" s="1456" t="s">
        <v>677</v>
      </c>
      <c r="M18" s="211">
        <v>1.73</v>
      </c>
    </row>
    <row r="19" spans="1:13" x14ac:dyDescent="0.25">
      <c r="A19" s="395">
        <v>40118</v>
      </c>
      <c r="I19" s="8"/>
      <c r="J19" s="8"/>
      <c r="K19" s="8"/>
      <c r="L19" s="8"/>
      <c r="M19" s="8"/>
    </row>
    <row r="20" spans="1:13" x14ac:dyDescent="0.25">
      <c r="A20" s="837" t="s">
        <v>47</v>
      </c>
      <c r="B20" s="345">
        <v>1300</v>
      </c>
      <c r="C20" s="336">
        <v>0.64593999999999996</v>
      </c>
      <c r="D20" s="336">
        <v>0.63339999999999996</v>
      </c>
      <c r="E20" s="336">
        <v>0.60841999999999996</v>
      </c>
      <c r="F20" s="336">
        <v>0.59199000000000002</v>
      </c>
      <c r="G20" s="336">
        <v>0.57008999999999999</v>
      </c>
      <c r="H20" s="336">
        <v>0.54269999999999996</v>
      </c>
      <c r="I20" s="32">
        <v>0.15748000000000001</v>
      </c>
      <c r="J20" s="32">
        <v>0.20415</v>
      </c>
      <c r="K20" s="32">
        <v>0.12238</v>
      </c>
      <c r="L20" s="1456" t="s">
        <v>677</v>
      </c>
      <c r="M20" s="211">
        <v>1.82</v>
      </c>
    </row>
    <row r="21" spans="1:13" x14ac:dyDescent="0.25">
      <c r="A21" s="837" t="s">
        <v>315</v>
      </c>
      <c r="B21" s="345">
        <v>1300</v>
      </c>
      <c r="C21" s="336">
        <v>0.64617000000000002</v>
      </c>
      <c r="D21" s="336">
        <v>0.63361000000000001</v>
      </c>
      <c r="E21" s="336">
        <v>0.60858999999999996</v>
      </c>
      <c r="F21" s="336">
        <v>0.59211999999999998</v>
      </c>
      <c r="G21" s="336">
        <v>0.57018000000000002</v>
      </c>
      <c r="H21" s="336">
        <v>0.54274</v>
      </c>
      <c r="I21" s="32">
        <v>0.15748000000000001</v>
      </c>
      <c r="J21" s="32">
        <v>0.20415</v>
      </c>
      <c r="K21" s="32">
        <v>0.12238</v>
      </c>
      <c r="L21" s="1456" t="s">
        <v>677</v>
      </c>
      <c r="M21" s="211">
        <v>1.82</v>
      </c>
    </row>
    <row r="22" spans="1:13" x14ac:dyDescent="0.25">
      <c r="A22" s="1296">
        <v>40483</v>
      </c>
      <c r="B22" s="1291"/>
      <c r="C22" s="1291"/>
      <c r="D22" s="1291"/>
      <c r="E22" s="1291"/>
      <c r="F22" s="1291"/>
      <c r="G22" s="1291"/>
      <c r="H22" s="1291"/>
      <c r="I22" s="1291"/>
      <c r="J22" s="1291"/>
      <c r="K22" s="1291"/>
      <c r="L22" s="1291"/>
      <c r="M22" s="1291"/>
    </row>
    <row r="23" spans="1:13" x14ac:dyDescent="0.25">
      <c r="A23" s="1297" t="s">
        <v>47</v>
      </c>
      <c r="B23" s="1298">
        <v>1300</v>
      </c>
      <c r="C23" s="1294">
        <v>0.60580999999999985</v>
      </c>
      <c r="D23" s="1294">
        <v>0.59184999999999988</v>
      </c>
      <c r="E23" s="1294">
        <v>0.56406999999999985</v>
      </c>
      <c r="F23" s="1294">
        <v>0.54576999999999998</v>
      </c>
      <c r="G23" s="1294">
        <v>0.52140999999999993</v>
      </c>
      <c r="H23" s="1294">
        <v>0.49092000000000002</v>
      </c>
      <c r="I23" s="1319">
        <v>0.15748000000000001</v>
      </c>
      <c r="J23" s="1319">
        <v>0.20415</v>
      </c>
      <c r="K23" s="1319">
        <v>0.12877</v>
      </c>
      <c r="L23" s="1320" t="s">
        <v>677</v>
      </c>
      <c r="M23" s="1293">
        <v>1.91</v>
      </c>
    </row>
    <row r="24" spans="1:13" x14ac:dyDescent="0.25">
      <c r="A24" s="1297" t="s">
        <v>315</v>
      </c>
      <c r="B24" s="1298">
        <v>1300</v>
      </c>
      <c r="C24" s="1294">
        <v>0.59528999999999987</v>
      </c>
      <c r="D24" s="1294">
        <v>0.58243</v>
      </c>
      <c r="E24" s="1294">
        <v>0.55684</v>
      </c>
      <c r="F24" s="1294">
        <v>0.54</v>
      </c>
      <c r="G24" s="1294">
        <v>0.51756000000000013</v>
      </c>
      <c r="H24" s="1294">
        <v>0.48947999999999986</v>
      </c>
      <c r="I24" s="1319">
        <v>0.15748000000000001</v>
      </c>
      <c r="J24" s="1319">
        <v>0.20415</v>
      </c>
      <c r="K24" s="1319">
        <v>0.12877</v>
      </c>
      <c r="L24" s="1320" t="s">
        <v>677</v>
      </c>
      <c r="M24" s="1293">
        <v>1.91</v>
      </c>
    </row>
    <row r="25" spans="1:13" x14ac:dyDescent="0.25">
      <c r="A25" s="1297">
        <v>40848</v>
      </c>
      <c r="B25" s="1298"/>
      <c r="C25" s="1294"/>
      <c r="D25" s="1294"/>
      <c r="E25" s="1294"/>
      <c r="F25" s="1294"/>
      <c r="G25" s="1294"/>
      <c r="H25" s="1294"/>
      <c r="I25" s="1319"/>
      <c r="J25" s="1319"/>
      <c r="K25" s="1319"/>
      <c r="L25" s="1320"/>
      <c r="M25" s="1293"/>
    </row>
    <row r="26" spans="1:13" x14ac:dyDescent="0.25">
      <c r="A26" s="1297" t="s">
        <v>47</v>
      </c>
      <c r="B26" s="1298">
        <v>1300</v>
      </c>
      <c r="C26" s="1294">
        <v>0.57800999999999991</v>
      </c>
      <c r="D26" s="1294">
        <v>0.56482999999999983</v>
      </c>
      <c r="E26" s="1294">
        <v>0.53855999999999982</v>
      </c>
      <c r="F26" s="1294">
        <v>0.52129000000000003</v>
      </c>
      <c r="G26" s="1294">
        <v>0.49824000000000002</v>
      </c>
      <c r="H26" s="1294">
        <v>0.46945000000000003</v>
      </c>
      <c r="I26" s="1319">
        <v>0.15748000000000001</v>
      </c>
      <c r="J26" s="1319">
        <v>0.20415</v>
      </c>
      <c r="K26" s="1319">
        <v>0.13618</v>
      </c>
      <c r="L26" s="1320" t="s">
        <v>677</v>
      </c>
      <c r="M26" s="1293">
        <v>2.0299999999999998</v>
      </c>
    </row>
    <row r="27" spans="1:13" x14ac:dyDescent="0.25">
      <c r="A27" s="1297" t="s">
        <v>315</v>
      </c>
      <c r="B27" s="1298">
        <v>1300</v>
      </c>
      <c r="C27" s="1294">
        <v>0.57338999999999996</v>
      </c>
      <c r="D27" s="1294">
        <v>0.56068000000000007</v>
      </c>
      <c r="E27" s="1294">
        <v>0.53537999999999997</v>
      </c>
      <c r="F27" s="1294">
        <v>0.51874000000000009</v>
      </c>
      <c r="G27" s="1294">
        <v>0.49657000000000018</v>
      </c>
      <c r="H27" s="1294">
        <v>0.46880999999999995</v>
      </c>
      <c r="I27" s="1319">
        <v>0.15748000000000001</v>
      </c>
      <c r="J27" s="1319">
        <v>0.20415</v>
      </c>
      <c r="K27" s="1319">
        <v>0.13618</v>
      </c>
      <c r="L27" s="1320" t="s">
        <v>677</v>
      </c>
      <c r="M27" s="1293">
        <v>2.0299999999999998</v>
      </c>
    </row>
    <row r="28" spans="1:13" x14ac:dyDescent="0.25">
      <c r="A28" s="1297">
        <v>41214</v>
      </c>
      <c r="B28" s="1298"/>
      <c r="C28" s="1294"/>
      <c r="D28" s="1294"/>
      <c r="E28" s="1294"/>
      <c r="F28" s="1294"/>
      <c r="G28" s="1294"/>
      <c r="H28" s="1294"/>
      <c r="I28" s="1319"/>
      <c r="J28" s="1319"/>
      <c r="K28" s="1319"/>
      <c r="L28" s="1320"/>
      <c r="M28" s="1293"/>
    </row>
    <row r="29" spans="1:13" x14ac:dyDescent="0.25">
      <c r="A29" s="1297" t="s">
        <v>47</v>
      </c>
      <c r="B29" s="1298">
        <v>1300</v>
      </c>
      <c r="C29" s="1294">
        <v>0.48280999999999991</v>
      </c>
      <c r="D29" s="1294">
        <v>0.46933999999999981</v>
      </c>
      <c r="E29" s="1294">
        <v>0.44249999999999978</v>
      </c>
      <c r="F29" s="1294">
        <v>0.42485000000000006</v>
      </c>
      <c r="G29" s="1294">
        <v>0.40131</v>
      </c>
      <c r="H29" s="1294">
        <v>0.37188000000000004</v>
      </c>
      <c r="I29" s="1319">
        <v>0.15748000000000001</v>
      </c>
      <c r="J29" s="1319">
        <v>0.20415</v>
      </c>
      <c r="K29" s="1319">
        <v>0.14038999999999999</v>
      </c>
      <c r="L29" s="1320" t="s">
        <v>677</v>
      </c>
      <c r="M29" s="1293">
        <v>2.09</v>
      </c>
    </row>
    <row r="30" spans="1:13" x14ac:dyDescent="0.25">
      <c r="A30" s="1297" t="s">
        <v>315</v>
      </c>
      <c r="B30" s="1298">
        <v>1300</v>
      </c>
      <c r="C30" s="1294">
        <v>0.47622999999999988</v>
      </c>
      <c r="D30" s="1294">
        <v>0.46344000000000007</v>
      </c>
      <c r="E30" s="1294">
        <v>0.43797999999999998</v>
      </c>
      <c r="F30" s="1294">
        <v>0.42123000000000005</v>
      </c>
      <c r="G30" s="1294">
        <v>0.39891000000000015</v>
      </c>
      <c r="H30" s="1294">
        <v>0.37096999999999991</v>
      </c>
      <c r="I30" s="1319">
        <v>0.15748000000000001</v>
      </c>
      <c r="J30" s="1319">
        <v>0.20415</v>
      </c>
      <c r="K30" s="1319">
        <v>0.14038999999999999</v>
      </c>
      <c r="L30" s="1320" t="s">
        <v>677</v>
      </c>
      <c r="M30" s="1293">
        <v>2.09</v>
      </c>
    </row>
    <row r="31" spans="1:13" x14ac:dyDescent="0.25">
      <c r="A31" s="1297">
        <v>41579</v>
      </c>
      <c r="B31" s="1298"/>
      <c r="C31" s="1294"/>
      <c r="D31" s="1294"/>
      <c r="E31" s="1294"/>
      <c r="F31" s="1294"/>
      <c r="G31" s="1294"/>
      <c r="H31" s="1294"/>
      <c r="I31" s="1319"/>
      <c r="J31" s="1319"/>
      <c r="K31" s="1319"/>
      <c r="L31" s="1320"/>
      <c r="M31" s="1293"/>
    </row>
    <row r="32" spans="1:13" x14ac:dyDescent="0.25">
      <c r="A32" s="837" t="s">
        <v>47</v>
      </c>
      <c r="B32" s="345">
        <v>1300</v>
      </c>
      <c r="C32" s="1294">
        <v>0.49665999999999999</v>
      </c>
      <c r="D32" s="1294">
        <v>0.48304000000000002</v>
      </c>
      <c r="E32" s="1294">
        <v>0.45590000000000003</v>
      </c>
      <c r="F32" s="1294">
        <v>0.43806</v>
      </c>
      <c r="G32" s="1294">
        <v>0.41425000000000001</v>
      </c>
      <c r="H32" s="1294">
        <v>0.38451000000000002</v>
      </c>
      <c r="I32" s="1319">
        <v>0.15748000000000001</v>
      </c>
      <c r="J32" s="1319">
        <v>0.20415</v>
      </c>
      <c r="K32" s="1319">
        <v>0.14005000000000001</v>
      </c>
      <c r="L32" s="1320" t="s">
        <v>677</v>
      </c>
      <c r="M32" s="1293">
        <v>2.09</v>
      </c>
    </row>
    <row r="33" spans="1:13" x14ac:dyDescent="0.25">
      <c r="A33" s="837" t="s">
        <v>315</v>
      </c>
      <c r="B33" s="345">
        <v>1300</v>
      </c>
      <c r="C33" s="1294">
        <v>0.48636000000000001</v>
      </c>
      <c r="D33" s="1294">
        <v>0.4738</v>
      </c>
      <c r="E33" s="1294">
        <v>0.44883000000000001</v>
      </c>
      <c r="F33" s="1294">
        <v>0.43240000000000001</v>
      </c>
      <c r="G33" s="1294">
        <v>0.41049999999999998</v>
      </c>
      <c r="H33" s="1294">
        <v>0.38308999999999999</v>
      </c>
      <c r="I33" s="1319">
        <v>0.15748000000000001</v>
      </c>
      <c r="J33" s="1319">
        <v>0.20415</v>
      </c>
      <c r="K33" s="1319">
        <v>0.14005000000000001</v>
      </c>
      <c r="L33" s="1320" t="s">
        <v>677</v>
      </c>
      <c r="M33" s="1293">
        <v>2.09</v>
      </c>
    </row>
    <row r="34" spans="1:13" x14ac:dyDescent="0.25">
      <c r="A34" s="395">
        <v>41944</v>
      </c>
    </row>
    <row r="35" spans="1:13" x14ac:dyDescent="0.25">
      <c r="A35" s="837" t="s">
        <v>47</v>
      </c>
      <c r="B35" s="345">
        <v>1300</v>
      </c>
      <c r="C35" s="336">
        <v>0.5751099999999999</v>
      </c>
      <c r="D35" s="336">
        <v>0.5612999999999998</v>
      </c>
      <c r="E35" s="336">
        <v>0.53383999999999987</v>
      </c>
      <c r="F35" s="336">
        <v>0.51575000000000015</v>
      </c>
      <c r="G35" s="336">
        <v>0.49165999999999993</v>
      </c>
      <c r="H35" s="336">
        <v>0.46152000000000004</v>
      </c>
      <c r="I35" s="32">
        <v>0.15748000000000001</v>
      </c>
      <c r="J35" s="32">
        <v>0.20415</v>
      </c>
      <c r="K35" s="32">
        <v>0.12517</v>
      </c>
      <c r="L35" s="1456" t="s">
        <v>677</v>
      </c>
      <c r="M35" s="211">
        <v>1.87</v>
      </c>
    </row>
    <row r="36" spans="1:13" x14ac:dyDescent="0.25">
      <c r="A36" s="837" t="s">
        <v>315</v>
      </c>
      <c r="B36" s="345">
        <v>1300</v>
      </c>
      <c r="C36" s="336">
        <v>0.56437999999999999</v>
      </c>
      <c r="D36" s="336">
        <v>0.55170000000000008</v>
      </c>
      <c r="E36" s="336">
        <v>0.52645999999999993</v>
      </c>
      <c r="F36" s="336">
        <v>0.50986000000000009</v>
      </c>
      <c r="G36" s="336">
        <v>0.48774000000000017</v>
      </c>
      <c r="H36" s="336">
        <v>0.46003999999999995</v>
      </c>
      <c r="I36" s="32">
        <v>0.15748000000000001</v>
      </c>
      <c r="J36" s="32">
        <v>0.20415</v>
      </c>
      <c r="K36" s="32">
        <v>0.12517</v>
      </c>
      <c r="L36" s="1456" t="s">
        <v>677</v>
      </c>
      <c r="M36" s="211">
        <v>1.87</v>
      </c>
    </row>
    <row r="37" spans="1:13" x14ac:dyDescent="0.25">
      <c r="A37" s="837">
        <v>42309</v>
      </c>
      <c r="B37" s="345"/>
      <c r="C37" s="336"/>
      <c r="D37" s="336"/>
      <c r="E37" s="336"/>
      <c r="F37" s="336"/>
      <c r="G37" s="336"/>
      <c r="H37" s="336"/>
      <c r="I37" s="32"/>
      <c r="J37" s="32"/>
      <c r="K37" s="32"/>
      <c r="L37" s="1583"/>
      <c r="M37" s="211"/>
    </row>
    <row r="38" spans="1:13" x14ac:dyDescent="0.25">
      <c r="A38" s="837" t="s">
        <v>47</v>
      </c>
      <c r="B38" s="345">
        <v>1300</v>
      </c>
      <c r="C38" s="336">
        <v>0.41524999999999995</v>
      </c>
      <c r="D38" s="336">
        <v>0.40139999999999981</v>
      </c>
      <c r="E38" s="336">
        <v>0.3737899999999999</v>
      </c>
      <c r="F38" s="336">
        <v>0.35563000000000017</v>
      </c>
      <c r="G38" s="336">
        <v>0.33141999999999999</v>
      </c>
      <c r="H38" s="336">
        <v>0.30115000000000003</v>
      </c>
      <c r="I38" s="32">
        <v>0.15748000000000001</v>
      </c>
      <c r="J38" s="32">
        <v>0.20415</v>
      </c>
      <c r="K38" s="32">
        <v>0.12112000000000001</v>
      </c>
      <c r="L38" s="1583" t="s">
        <v>677</v>
      </c>
      <c r="M38" s="211">
        <v>1.81</v>
      </c>
    </row>
    <row r="39" spans="1:13" x14ac:dyDescent="0.25">
      <c r="A39" s="837" t="s">
        <v>315</v>
      </c>
      <c r="B39" s="345">
        <v>1300</v>
      </c>
      <c r="C39" s="336">
        <v>0.40471999999999997</v>
      </c>
      <c r="D39" s="336">
        <v>0.39195000000000008</v>
      </c>
      <c r="E39" s="336">
        <v>0.36655999999999989</v>
      </c>
      <c r="F39" s="336">
        <v>0.34985000000000011</v>
      </c>
      <c r="G39" s="336">
        <v>0.32757000000000019</v>
      </c>
      <c r="H39" s="336">
        <v>0.29969999999999991</v>
      </c>
      <c r="I39" s="32">
        <v>0.15748000000000001</v>
      </c>
      <c r="J39" s="32">
        <v>0.20415</v>
      </c>
      <c r="K39" s="32">
        <v>0.12112000000000001</v>
      </c>
      <c r="L39" s="1583" t="s">
        <v>677</v>
      </c>
      <c r="M39" s="211">
        <v>1.81</v>
      </c>
    </row>
    <row r="40" spans="1:13" x14ac:dyDescent="0.25">
      <c r="A40" s="837">
        <v>42675</v>
      </c>
      <c r="B40" s="345"/>
      <c r="C40" s="336"/>
      <c r="D40" s="336"/>
      <c r="E40" s="336"/>
      <c r="F40" s="336"/>
      <c r="G40" s="336"/>
      <c r="H40" s="336"/>
      <c r="I40" s="32"/>
      <c r="J40" s="32"/>
      <c r="K40" s="32"/>
      <c r="L40" s="1629"/>
      <c r="M40" s="211"/>
    </row>
    <row r="41" spans="1:13" x14ac:dyDescent="0.25">
      <c r="A41" s="837" t="s">
        <v>47</v>
      </c>
      <c r="B41" s="345">
        <v>1300</v>
      </c>
      <c r="C41" s="336">
        <v>0.39053999999999994</v>
      </c>
      <c r="D41" s="336">
        <v>0.3766899999999998</v>
      </c>
      <c r="E41" s="336">
        <v>0.34909999999999991</v>
      </c>
      <c r="F41" s="336">
        <v>0.33095000000000019</v>
      </c>
      <c r="G41" s="336">
        <v>0.30674999999999997</v>
      </c>
      <c r="H41" s="336">
        <v>0.27649000000000001</v>
      </c>
      <c r="I41" s="32">
        <v>0.15748000000000001</v>
      </c>
      <c r="J41" s="32">
        <v>0.20415</v>
      </c>
      <c r="K41" s="32">
        <v>0.12379999999999999</v>
      </c>
      <c r="L41" s="1629" t="s">
        <v>677</v>
      </c>
      <c r="M41" s="211">
        <v>1.85</v>
      </c>
    </row>
    <row r="42" spans="1:13" x14ac:dyDescent="0.25">
      <c r="A42" s="837" t="s">
        <v>315</v>
      </c>
      <c r="B42" s="345">
        <v>1300</v>
      </c>
      <c r="C42" s="336">
        <v>0.37985999999999998</v>
      </c>
      <c r="D42" s="336">
        <v>0.36712000000000006</v>
      </c>
      <c r="E42" s="336">
        <v>0.3417599999999999</v>
      </c>
      <c r="F42" s="336">
        <v>0.32508000000000009</v>
      </c>
      <c r="G42" s="336">
        <v>0.30284000000000016</v>
      </c>
      <c r="H42" s="336">
        <v>0.27501999999999993</v>
      </c>
      <c r="I42" s="32">
        <v>0.15748000000000001</v>
      </c>
      <c r="J42" s="32">
        <v>0.20415</v>
      </c>
      <c r="K42" s="32">
        <v>0.12379999999999999</v>
      </c>
      <c r="L42" s="1629" t="s">
        <v>677</v>
      </c>
      <c r="M42" s="211">
        <v>1.85</v>
      </c>
    </row>
    <row r="43" spans="1:13" x14ac:dyDescent="0.25">
      <c r="A43" s="837">
        <v>43040</v>
      </c>
      <c r="B43" s="345"/>
      <c r="C43" s="336"/>
      <c r="D43" s="336"/>
      <c r="E43" s="336"/>
      <c r="F43" s="336"/>
      <c r="G43" s="336"/>
      <c r="H43" s="336"/>
      <c r="I43" s="32"/>
      <c r="J43" s="32"/>
      <c r="K43" s="32"/>
      <c r="L43" s="1645"/>
      <c r="M43" s="211"/>
    </row>
    <row r="44" spans="1:13" x14ac:dyDescent="0.25">
      <c r="A44" s="837" t="s">
        <v>47</v>
      </c>
      <c r="B44" s="345">
        <v>1300</v>
      </c>
      <c r="C44" s="336">
        <v>0.30433999999999994</v>
      </c>
      <c r="D44" s="336">
        <v>0.29029999999999978</v>
      </c>
      <c r="E44" s="336">
        <v>0.26236999999999994</v>
      </c>
      <c r="F44" s="336">
        <v>0.24398000000000022</v>
      </c>
      <c r="G44" s="336">
        <v>0.21944999999999995</v>
      </c>
      <c r="H44" s="336">
        <v>0.18881000000000009</v>
      </c>
      <c r="I44" s="32">
        <v>0.15748000000000001</v>
      </c>
      <c r="J44" s="32">
        <v>0.20415</v>
      </c>
      <c r="K44" s="32">
        <v>0.1113</v>
      </c>
      <c r="L44" s="1721" t="s">
        <v>677</v>
      </c>
      <c r="M44" s="211">
        <v>1.66</v>
      </c>
    </row>
    <row r="45" spans="1:13" x14ac:dyDescent="0.25">
      <c r="A45" s="837" t="s">
        <v>315</v>
      </c>
      <c r="B45" s="345">
        <v>1300</v>
      </c>
      <c r="C45" s="336">
        <v>0.29139999999999999</v>
      </c>
      <c r="D45" s="336">
        <v>0.27872000000000008</v>
      </c>
      <c r="E45" s="336">
        <v>0.25346999999999992</v>
      </c>
      <c r="F45" s="336">
        <v>0.23686000000000018</v>
      </c>
      <c r="G45" s="336">
        <v>0.2147300000000002</v>
      </c>
      <c r="H45" s="336">
        <v>0.18703999999999993</v>
      </c>
      <c r="I45" s="32">
        <v>0.15748000000000001</v>
      </c>
      <c r="J45" s="32">
        <v>0.20415</v>
      </c>
      <c r="K45" s="32">
        <v>0.1113</v>
      </c>
      <c r="L45" s="1721" t="s">
        <v>677</v>
      </c>
      <c r="M45" s="211">
        <v>1.66</v>
      </c>
    </row>
    <row r="46" spans="1:13" x14ac:dyDescent="0.25">
      <c r="A46" s="837">
        <v>43405</v>
      </c>
      <c r="B46" s="345"/>
      <c r="C46" s="336"/>
      <c r="D46" s="336"/>
      <c r="E46" s="336"/>
      <c r="F46" s="336"/>
      <c r="G46" s="336"/>
      <c r="H46" s="336"/>
      <c r="I46" s="32"/>
      <c r="J46" s="32"/>
      <c r="K46" s="32"/>
      <c r="L46" s="1721"/>
      <c r="M46" s="211"/>
    </row>
    <row r="47" spans="1:13" x14ac:dyDescent="0.25">
      <c r="A47" s="837" t="s">
        <v>47</v>
      </c>
      <c r="B47" s="345">
        <v>1300</v>
      </c>
      <c r="C47" s="336">
        <v>0.36596999999999991</v>
      </c>
      <c r="D47" s="336">
        <v>0.3517599999999998</v>
      </c>
      <c r="E47" s="336">
        <v>0.32346999999999992</v>
      </c>
      <c r="F47" s="336">
        <v>0.30485000000000018</v>
      </c>
      <c r="G47" s="336">
        <v>0.28002999999999995</v>
      </c>
      <c r="H47" s="336">
        <v>0.24900000000000005</v>
      </c>
      <c r="I47" s="32">
        <v>0.15748000000000001</v>
      </c>
      <c r="J47" s="32">
        <v>0.20415</v>
      </c>
      <c r="K47" s="32">
        <v>0.12157999999999999</v>
      </c>
      <c r="L47" s="1645" t="s">
        <v>677</v>
      </c>
      <c r="M47" s="211">
        <v>1.82</v>
      </c>
    </row>
    <row r="48" spans="1:13" x14ac:dyDescent="0.25">
      <c r="A48" s="837" t="s">
        <v>315</v>
      </c>
      <c r="B48" s="345">
        <v>1300</v>
      </c>
      <c r="C48" s="336">
        <v>0.35160999999999998</v>
      </c>
      <c r="D48" s="336">
        <v>0.33889000000000008</v>
      </c>
      <c r="E48" s="336">
        <v>0.31359999999999988</v>
      </c>
      <c r="F48" s="336">
        <v>0.29696000000000011</v>
      </c>
      <c r="G48" s="336">
        <v>0.27478000000000019</v>
      </c>
      <c r="H48" s="336">
        <v>0.24702999999999992</v>
      </c>
      <c r="I48" s="32">
        <v>0.15748000000000001</v>
      </c>
      <c r="J48" s="32">
        <v>0.20415</v>
      </c>
      <c r="K48" s="32">
        <v>0.12157999999999999</v>
      </c>
      <c r="L48" s="1645" t="s">
        <v>677</v>
      </c>
      <c r="M48" s="211">
        <v>1.82</v>
      </c>
    </row>
    <row r="49" spans="1:13" x14ac:dyDescent="0.25">
      <c r="A49" s="395">
        <f>+EFFDATE</f>
        <v>43770</v>
      </c>
    </row>
    <row r="50" spans="1:13" x14ac:dyDescent="0.25">
      <c r="A50" s="837" t="s">
        <v>47</v>
      </c>
      <c r="B50" s="345">
        <v>1300</v>
      </c>
      <c r="C50" s="336">
        <f>'Rates in detail'!$V$29</f>
        <v>0.34572999999999998</v>
      </c>
      <c r="D50" s="336">
        <f>'Rates in detail'!$V$30</f>
        <v>0.33143999999999979</v>
      </c>
      <c r="E50" s="336">
        <f>'Rates in detail'!$V$31</f>
        <v>0.30296999999999991</v>
      </c>
      <c r="F50" s="336">
        <f>'Rates in detail'!$V$32</f>
        <v>0.28424000000000021</v>
      </c>
      <c r="G50" s="336">
        <f>'Rates in detail'!$V$33</f>
        <v>0.25923999999999991</v>
      </c>
      <c r="H50" s="336">
        <f>'Rates in detail'!$V$34</f>
        <v>0.22801000000000007</v>
      </c>
      <c r="I50" s="32">
        <f>Inputs!$B$24</f>
        <v>0.15748000000000001</v>
      </c>
      <c r="J50" s="32">
        <f>Inputs!$B$26</f>
        <v>0.20415</v>
      </c>
      <c r="K50" s="32">
        <f>Inputs!$B$18</f>
        <v>0.1109</v>
      </c>
      <c r="L50" s="1479" t="s">
        <v>677</v>
      </c>
      <c r="M50" s="211">
        <f>Inputs!$B$22</f>
        <v>1.66</v>
      </c>
    </row>
    <row r="51" spans="1:13" x14ac:dyDescent="0.25">
      <c r="A51" s="837" t="s">
        <v>315</v>
      </c>
      <c r="B51" s="345">
        <v>1300</v>
      </c>
      <c r="C51" s="336">
        <f>'Rates in detail'!$V$35</f>
        <v>0.32991000000000004</v>
      </c>
      <c r="D51" s="336">
        <f>'Rates in detail'!$V$36</f>
        <v>0.31727000000000005</v>
      </c>
      <c r="E51" s="336">
        <f>'Rates in detail'!$V$37</f>
        <v>0.29208999999999991</v>
      </c>
      <c r="F51" s="336">
        <f>'Rates in detail'!$V$38</f>
        <v>0.27553000000000016</v>
      </c>
      <c r="G51" s="336">
        <f>'Rates in detail'!$V$39</f>
        <v>0.25346000000000019</v>
      </c>
      <c r="H51" s="336">
        <f>'Rates in detail'!$V$40</f>
        <v>0.22583999999999993</v>
      </c>
      <c r="I51" s="32">
        <f>Inputs!$B$24</f>
        <v>0.15748000000000001</v>
      </c>
      <c r="J51" s="32">
        <f>Inputs!$B$26</f>
        <v>0.20415</v>
      </c>
      <c r="K51" s="32">
        <f>Inputs!$B$18</f>
        <v>0.1109</v>
      </c>
      <c r="L51" s="1479" t="s">
        <v>677</v>
      </c>
      <c r="M51" s="211">
        <f>Inputs!$B$22</f>
        <v>1.66</v>
      </c>
    </row>
    <row r="57" spans="1:13" x14ac:dyDescent="0.25">
      <c r="A57" s="364"/>
    </row>
  </sheetData>
  <mergeCells count="2">
    <mergeCell ref="A4:H4"/>
    <mergeCell ref="I5:M5"/>
  </mergeCells>
  <phoneticPr fontId="12" type="noConversion"/>
  <pageMargins left="0.73" right="0.45" top="0.69" bottom="0.75" header="0.5" footer="0.5"/>
  <pageSetup scale="73"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topLeftCell="A27" zoomScaleNormal="100" workbookViewId="0">
      <selection activeCell="A10" sqref="A10"/>
    </sheetView>
  </sheetViews>
  <sheetFormatPr defaultColWidth="10.6640625" defaultRowHeight="13.2" x14ac:dyDescent="0.25"/>
  <cols>
    <col min="1" max="1" width="16.6640625" style="1" customWidth="1"/>
    <col min="2" max="2" width="12.33203125" style="1" customWidth="1"/>
    <col min="3" max="3" width="11" style="1" customWidth="1"/>
    <col min="4" max="4" width="10.6640625" style="1" customWidth="1"/>
    <col min="5" max="5" width="10.44140625" style="1" customWidth="1"/>
    <col min="6" max="6" width="12" style="1" customWidth="1"/>
    <col min="7" max="7" width="11.109375" style="1" customWidth="1"/>
    <col min="8" max="8" width="10.44140625" style="1" customWidth="1"/>
    <col min="9" max="9" width="3.6640625" style="1" customWidth="1"/>
    <col min="10" max="10" width="15.33203125" style="1" customWidth="1"/>
    <col min="11" max="11" width="10.33203125" style="1" customWidth="1"/>
    <col min="12" max="16384" width="10.6640625" style="1"/>
  </cols>
  <sheetData>
    <row r="1" spans="1:12" ht="51.75" customHeight="1" x14ac:dyDescent="0.25">
      <c r="A1" s="321"/>
      <c r="B1" s="321"/>
      <c r="C1" s="271"/>
      <c r="D1" s="271"/>
      <c r="E1" s="368" t="s">
        <v>231</v>
      </c>
      <c r="G1" s="271"/>
      <c r="H1" s="271"/>
    </row>
    <row r="2" spans="1:12" ht="22.5" customHeight="1" x14ac:dyDescent="0.25">
      <c r="A2" s="321"/>
      <c r="B2" s="321"/>
      <c r="C2" s="271"/>
      <c r="D2" s="271"/>
      <c r="E2" s="271"/>
      <c r="F2" s="271"/>
      <c r="G2" s="271"/>
      <c r="H2" s="271"/>
    </row>
    <row r="3" spans="1:12" ht="15.6" x14ac:dyDescent="0.25">
      <c r="A3" s="351" t="s">
        <v>606</v>
      </c>
      <c r="B3" s="351"/>
      <c r="C3" s="351"/>
      <c r="D3" s="351"/>
      <c r="E3" s="351"/>
      <c r="F3" s="351"/>
      <c r="G3" s="351"/>
    </row>
    <row r="4" spans="1:12" ht="20.25" customHeight="1" x14ac:dyDescent="0.25">
      <c r="A4" s="1857" t="s">
        <v>635</v>
      </c>
      <c r="B4" s="1857"/>
      <c r="C4" s="1857"/>
      <c r="D4" s="1857"/>
      <c r="E4" s="1857"/>
      <c r="F4" s="1857"/>
      <c r="G4" s="1857"/>
      <c r="H4" s="1857"/>
    </row>
    <row r="5" spans="1:12" ht="21" x14ac:dyDescent="0.4">
      <c r="A5" s="369"/>
      <c r="B5" s="369"/>
      <c r="C5" s="271"/>
      <c r="D5" s="370"/>
      <c r="E5" s="370"/>
      <c r="F5" s="370"/>
      <c r="G5" s="370"/>
      <c r="H5" s="370"/>
      <c r="I5" s="7"/>
      <c r="J5" s="1829" t="s">
        <v>607</v>
      </c>
      <c r="K5" s="1830"/>
    </row>
    <row r="6" spans="1:12" ht="53.4" thickBot="1" x14ac:dyDescent="0.3">
      <c r="A6" s="371" t="s">
        <v>571</v>
      </c>
      <c r="B6" s="371" t="s">
        <v>280</v>
      </c>
      <c r="C6" s="371" t="s">
        <v>608</v>
      </c>
      <c r="D6" s="371" t="s">
        <v>609</v>
      </c>
      <c r="E6" s="371" t="s">
        <v>610</v>
      </c>
      <c r="F6" s="371" t="s">
        <v>611</v>
      </c>
      <c r="G6" s="371" t="s">
        <v>612</v>
      </c>
      <c r="H6" s="371" t="s">
        <v>603</v>
      </c>
      <c r="I6" s="357"/>
      <c r="J6" s="375" t="s">
        <v>614</v>
      </c>
      <c r="K6" s="356" t="s">
        <v>336</v>
      </c>
    </row>
    <row r="7" spans="1:12" x14ac:dyDescent="0.25">
      <c r="A7" s="8"/>
      <c r="B7" s="8"/>
      <c r="C7" s="8"/>
      <c r="D7" s="8"/>
      <c r="E7" s="8"/>
      <c r="F7" s="8"/>
      <c r="G7" s="8"/>
      <c r="H7" s="8"/>
      <c r="I7" s="357"/>
      <c r="J7" s="363"/>
      <c r="K7" s="363"/>
      <c r="L7" s="8"/>
    </row>
    <row r="8" spans="1:12" x14ac:dyDescent="0.25">
      <c r="A8" s="364">
        <v>38169</v>
      </c>
      <c r="B8" s="335">
        <v>1300</v>
      </c>
      <c r="C8" s="336">
        <v>0.48886471320521813</v>
      </c>
      <c r="D8" s="336">
        <v>0.46886471320521811</v>
      </c>
      <c r="E8" s="336">
        <v>0.46886471320521811</v>
      </c>
      <c r="F8" s="336">
        <v>0.43886471320521808</v>
      </c>
      <c r="G8" s="336">
        <v>0.41886471320521806</v>
      </c>
      <c r="H8" s="336">
        <v>0.3938647132052181</v>
      </c>
      <c r="I8" s="138"/>
      <c r="J8" s="247">
        <v>0.10208</v>
      </c>
      <c r="K8" s="376">
        <v>4.521E-2</v>
      </c>
    </row>
    <row r="9" spans="1:12" x14ac:dyDescent="0.25">
      <c r="A9" s="364">
        <v>38292</v>
      </c>
      <c r="B9" s="335">
        <v>1300</v>
      </c>
      <c r="C9" s="336">
        <v>0.67698999999999998</v>
      </c>
      <c r="D9" s="336">
        <v>0.65644999999999998</v>
      </c>
      <c r="E9" s="336">
        <v>0.65644999999999998</v>
      </c>
      <c r="F9" s="336">
        <v>0.62563000000000002</v>
      </c>
      <c r="G9" s="336">
        <v>0.60509000000000002</v>
      </c>
      <c r="H9" s="336">
        <v>0.57940969395762487</v>
      </c>
      <c r="I9" s="138"/>
      <c r="J9" s="247">
        <v>0.10208</v>
      </c>
      <c r="K9" s="376">
        <v>4.2950562385561081E-2</v>
      </c>
    </row>
    <row r="10" spans="1:12" x14ac:dyDescent="0.25">
      <c r="A10" s="364">
        <v>38626</v>
      </c>
      <c r="B10" s="335">
        <v>1300</v>
      </c>
      <c r="C10" s="336">
        <v>0.85517053712074076</v>
      </c>
      <c r="D10" s="336">
        <v>0.83458053712074076</v>
      </c>
      <c r="E10" s="336">
        <v>0.83458053712074076</v>
      </c>
      <c r="F10" s="336">
        <v>0.80369053712074079</v>
      </c>
      <c r="G10" s="336">
        <v>0.78310053712074068</v>
      </c>
      <c r="H10" s="336">
        <v>0.75734053712074068</v>
      </c>
      <c r="I10" s="138"/>
      <c r="J10" s="247">
        <v>0.10208</v>
      </c>
      <c r="K10" s="376">
        <v>2.9739919093150199E-2</v>
      </c>
    </row>
    <row r="11" spans="1:12" x14ac:dyDescent="0.25">
      <c r="A11" s="328">
        <v>39022</v>
      </c>
      <c r="B11" s="335">
        <v>1300</v>
      </c>
      <c r="C11" s="336">
        <v>0.87556999999999996</v>
      </c>
      <c r="D11" s="336">
        <v>0.85497000000000001</v>
      </c>
      <c r="E11" s="336">
        <v>0.85497000000000001</v>
      </c>
      <c r="F11" s="336">
        <v>0.82406999999999997</v>
      </c>
      <c r="G11" s="336">
        <v>0.80347000000000002</v>
      </c>
      <c r="H11" s="336">
        <v>0.77771000000000001</v>
      </c>
      <c r="J11" s="336">
        <v>0.10208</v>
      </c>
      <c r="K11" s="336">
        <v>3.8550000000000001E-2</v>
      </c>
    </row>
    <row r="12" spans="1:12" x14ac:dyDescent="0.25">
      <c r="A12" s="328">
        <v>39387</v>
      </c>
      <c r="B12" s="335">
        <v>1300</v>
      </c>
      <c r="C12" s="336">
        <v>0.74995999999999996</v>
      </c>
      <c r="D12" s="336">
        <v>0.72936000000000001</v>
      </c>
      <c r="E12" s="336">
        <v>0.72936000000000001</v>
      </c>
      <c r="F12" s="336">
        <v>0.69845999999999997</v>
      </c>
      <c r="G12" s="336">
        <v>0.67786000000000002</v>
      </c>
      <c r="H12" s="336">
        <v>0.65210000000000001</v>
      </c>
      <c r="J12" s="336">
        <v>0.10208</v>
      </c>
      <c r="K12" s="336">
        <v>4.1520000000000001E-2</v>
      </c>
    </row>
    <row r="13" spans="1:12" x14ac:dyDescent="0.25">
      <c r="A13" s="328">
        <v>39753</v>
      </c>
      <c r="B13" s="345">
        <v>1300</v>
      </c>
      <c r="C13" s="336">
        <v>0.99253000000000002</v>
      </c>
      <c r="D13" s="336">
        <v>0.9719199999999999</v>
      </c>
      <c r="E13" s="336">
        <v>0.9719199999999999</v>
      </c>
      <c r="F13" s="336">
        <v>0.94101000000000001</v>
      </c>
      <c r="G13" s="336">
        <v>0.9204</v>
      </c>
      <c r="H13" s="336">
        <v>0.89463999999999999</v>
      </c>
      <c r="J13" s="336">
        <v>0.10208</v>
      </c>
      <c r="K13" s="336">
        <v>4.0489999999999998E-2</v>
      </c>
    </row>
    <row r="14" spans="1:12" x14ac:dyDescent="0.25">
      <c r="A14" s="328">
        <v>39814</v>
      </c>
      <c r="B14" s="345">
        <v>1300</v>
      </c>
      <c r="C14" s="336">
        <v>0.99651000000000001</v>
      </c>
      <c r="D14" s="336">
        <v>0.98419999999999996</v>
      </c>
      <c r="E14" s="336">
        <v>0.95972000000000002</v>
      </c>
      <c r="F14" s="336">
        <v>0.94360999999999995</v>
      </c>
      <c r="G14" s="336">
        <v>0.92213000000000001</v>
      </c>
      <c r="H14" s="336">
        <v>0.89529000000000003</v>
      </c>
      <c r="J14" s="336">
        <v>0.10208</v>
      </c>
      <c r="K14" s="336">
        <v>4.0489999999999998E-2</v>
      </c>
    </row>
    <row r="15" spans="1:12" x14ac:dyDescent="0.25">
      <c r="A15" s="328">
        <v>40118</v>
      </c>
      <c r="B15" s="345">
        <v>1300</v>
      </c>
      <c r="C15" s="336">
        <v>0.65634000000000003</v>
      </c>
      <c r="D15" s="336">
        <v>0.64383000000000001</v>
      </c>
      <c r="E15" s="336">
        <v>0.61897000000000002</v>
      </c>
      <c r="F15" s="336">
        <v>0.60260000000000002</v>
      </c>
      <c r="G15" s="336">
        <v>0.58077999999999996</v>
      </c>
      <c r="H15" s="336">
        <v>0.55352000000000001</v>
      </c>
      <c r="J15" s="336">
        <v>0.10208</v>
      </c>
      <c r="K15" s="336">
        <v>4.2750000000000003E-2</v>
      </c>
    </row>
    <row r="16" spans="1:12" x14ac:dyDescent="0.25">
      <c r="A16" s="1297">
        <v>40483</v>
      </c>
      <c r="B16" s="1291"/>
      <c r="C16" s="1291"/>
      <c r="D16" s="1291"/>
      <c r="E16" s="1291"/>
      <c r="F16" s="1291"/>
      <c r="G16" s="1291"/>
      <c r="H16" s="1291"/>
      <c r="I16" s="1291"/>
      <c r="J16" s="1291"/>
      <c r="K16" s="1291"/>
    </row>
    <row r="17" spans="1:11" x14ac:dyDescent="0.25">
      <c r="A17" s="1292" t="s">
        <v>740</v>
      </c>
      <c r="B17" s="1298">
        <v>1300</v>
      </c>
      <c r="C17" s="1294">
        <v>0.61234999999999995</v>
      </c>
      <c r="D17" s="1294">
        <v>0.59900999999999982</v>
      </c>
      <c r="E17" s="1294">
        <v>0.57245999999999997</v>
      </c>
      <c r="F17" s="1294">
        <v>0.55499999999999994</v>
      </c>
      <c r="G17" s="1294">
        <v>0.53171999999999997</v>
      </c>
      <c r="H17" s="1294">
        <v>0.50262999999999991</v>
      </c>
      <c r="I17" s="1291"/>
      <c r="J17" s="1294">
        <v>0.10208</v>
      </c>
      <c r="K17" s="1294">
        <v>4.4979999999999999E-2</v>
      </c>
    </row>
    <row r="18" spans="1:11" x14ac:dyDescent="0.25">
      <c r="A18" s="1292" t="s">
        <v>741</v>
      </c>
      <c r="B18" s="1298">
        <v>1300</v>
      </c>
      <c r="C18" s="1294">
        <v>0.60659999999999992</v>
      </c>
      <c r="D18" s="1294">
        <v>0.59385999999999983</v>
      </c>
      <c r="E18" s="1294">
        <v>0.56852999999999998</v>
      </c>
      <c r="F18" s="1294">
        <v>0.55184999999999995</v>
      </c>
      <c r="G18" s="1294">
        <v>0.52961999999999998</v>
      </c>
      <c r="H18" s="1294">
        <v>0.50183999999999984</v>
      </c>
      <c r="I18" s="1291"/>
      <c r="J18" s="1294">
        <v>0.10208</v>
      </c>
      <c r="K18" s="1294">
        <v>4.4979999999999999E-2</v>
      </c>
    </row>
    <row r="19" spans="1:11" x14ac:dyDescent="0.25">
      <c r="A19" s="328">
        <v>40848</v>
      </c>
      <c r="B19" s="1298"/>
      <c r="C19" s="1294"/>
      <c r="D19" s="1294"/>
      <c r="E19" s="1294"/>
      <c r="F19" s="1294"/>
      <c r="G19" s="1294"/>
      <c r="H19" s="1294"/>
      <c r="I19" s="1291"/>
      <c r="J19" s="1294"/>
      <c r="K19" s="1294"/>
    </row>
    <row r="20" spans="1:11" x14ac:dyDescent="0.25">
      <c r="A20" s="1292" t="s">
        <v>740</v>
      </c>
      <c r="B20" s="1298">
        <v>1300</v>
      </c>
      <c r="C20" s="1294">
        <v>0.58510999999999991</v>
      </c>
      <c r="D20" s="1294">
        <v>0.57219999999999993</v>
      </c>
      <c r="E20" s="1294">
        <v>0.54653000000000007</v>
      </c>
      <c r="F20" s="1294">
        <v>0.52963999999999989</v>
      </c>
      <c r="G20" s="1294">
        <v>0.50711000000000006</v>
      </c>
      <c r="H20" s="1294">
        <v>0.47896999999999995</v>
      </c>
      <c r="I20" s="1291"/>
      <c r="J20" s="1294">
        <v>0.10208</v>
      </c>
      <c r="K20" s="1294">
        <v>4.7570000000000001E-2</v>
      </c>
    </row>
    <row r="21" spans="1:11" x14ac:dyDescent="0.25">
      <c r="A21" s="1292" t="s">
        <v>741</v>
      </c>
      <c r="B21" s="1298">
        <v>1300</v>
      </c>
      <c r="C21" s="1294">
        <v>0.58249999999999991</v>
      </c>
      <c r="D21" s="1294">
        <v>0.56985999999999992</v>
      </c>
      <c r="E21" s="1294">
        <v>0.54474</v>
      </c>
      <c r="F21" s="1294">
        <v>0.52819999999999989</v>
      </c>
      <c r="G21" s="1294">
        <v>0.50616000000000005</v>
      </c>
      <c r="H21" s="1294">
        <v>0.47861999999999993</v>
      </c>
      <c r="I21" s="1291"/>
      <c r="J21" s="1294">
        <v>0.10208</v>
      </c>
      <c r="K21" s="1294">
        <v>4.7570000000000001E-2</v>
      </c>
    </row>
    <row r="22" spans="1:11" x14ac:dyDescent="0.25">
      <c r="A22" s="328">
        <v>41214</v>
      </c>
      <c r="B22" s="1298"/>
      <c r="C22" s="1294"/>
      <c r="D22" s="1294"/>
      <c r="E22" s="1294"/>
      <c r="F22" s="1294"/>
      <c r="G22" s="1294"/>
      <c r="H22" s="1294"/>
      <c r="I22" s="1291"/>
      <c r="J22" s="1294"/>
      <c r="K22" s="1294"/>
    </row>
    <row r="23" spans="1:11" x14ac:dyDescent="0.25">
      <c r="A23" s="1292" t="s">
        <v>740</v>
      </c>
      <c r="B23" s="1298">
        <v>1300</v>
      </c>
      <c r="C23" s="1294">
        <v>0.4879099999999999</v>
      </c>
      <c r="D23" s="1294">
        <v>0.47484999999999994</v>
      </c>
      <c r="E23" s="1294">
        <v>0.44889000000000007</v>
      </c>
      <c r="F23" s="1294">
        <v>0.43180999999999986</v>
      </c>
      <c r="G23" s="1294">
        <v>0.40904000000000007</v>
      </c>
      <c r="H23" s="1294">
        <v>0.38057999999999992</v>
      </c>
      <c r="I23" s="1291"/>
      <c r="J23" s="1294">
        <v>0.10208</v>
      </c>
      <c r="K23" s="1294">
        <v>4.9029999999999997E-2</v>
      </c>
    </row>
    <row r="24" spans="1:11" x14ac:dyDescent="0.25">
      <c r="A24" s="1292" t="s">
        <v>741</v>
      </c>
      <c r="B24" s="1298">
        <v>1300</v>
      </c>
      <c r="C24" s="1294">
        <v>0.4847999999999999</v>
      </c>
      <c r="D24" s="1294">
        <v>0.47206999999999993</v>
      </c>
      <c r="E24" s="1294">
        <v>0.44675999999999999</v>
      </c>
      <c r="F24" s="1294">
        <v>0.43011999999999984</v>
      </c>
      <c r="G24" s="1294">
        <v>0.40791000000000005</v>
      </c>
      <c r="H24" s="1294">
        <v>0.38015999999999994</v>
      </c>
      <c r="I24" s="1291"/>
      <c r="J24" s="1294">
        <v>0.10208</v>
      </c>
      <c r="K24" s="1294">
        <v>4.9029999999999997E-2</v>
      </c>
    </row>
    <row r="25" spans="1:11" x14ac:dyDescent="0.25">
      <c r="A25" s="1290">
        <v>41579</v>
      </c>
      <c r="B25" s="1298"/>
      <c r="C25" s="1294"/>
      <c r="D25" s="1294"/>
      <c r="E25" s="1294"/>
      <c r="F25" s="1294"/>
      <c r="G25" s="1294"/>
      <c r="H25" s="1294"/>
      <c r="I25" s="1291"/>
      <c r="J25" s="1294"/>
      <c r="K25" s="1294"/>
    </row>
    <row r="26" spans="1:11" x14ac:dyDescent="0.25">
      <c r="A26" s="1202" t="s">
        <v>740</v>
      </c>
      <c r="B26" s="345">
        <v>1300</v>
      </c>
      <c r="C26" s="1294">
        <v>0.50361</v>
      </c>
      <c r="D26" s="1294">
        <v>0.49051</v>
      </c>
      <c r="E26" s="1294">
        <v>0.46446999999999999</v>
      </c>
      <c r="F26" s="1294">
        <v>0.44733000000000001</v>
      </c>
      <c r="G26" s="1294">
        <v>0.42449999999999999</v>
      </c>
      <c r="H26" s="1294">
        <v>0.39595999999999998</v>
      </c>
      <c r="I26" s="1291"/>
      <c r="J26" s="1294">
        <v>0.10208</v>
      </c>
      <c r="K26" s="1294">
        <v>4.8919999999999998E-2</v>
      </c>
    </row>
    <row r="27" spans="1:11" x14ac:dyDescent="0.25">
      <c r="A27" s="1202" t="s">
        <v>741</v>
      </c>
      <c r="B27" s="345">
        <v>1300</v>
      </c>
      <c r="C27" s="1294">
        <v>0.49817</v>
      </c>
      <c r="D27" s="1294">
        <v>0.48565000000000003</v>
      </c>
      <c r="E27" s="1294">
        <v>0.46076</v>
      </c>
      <c r="F27" s="1294">
        <v>0.44436999999999999</v>
      </c>
      <c r="G27" s="1294">
        <v>0.42251</v>
      </c>
      <c r="H27" s="1294">
        <v>0.39521000000000001</v>
      </c>
      <c r="I27" s="1291"/>
      <c r="J27" s="1294">
        <v>0.10208</v>
      </c>
      <c r="K27" s="1294">
        <v>4.8919999999999998E-2</v>
      </c>
    </row>
    <row r="28" spans="1:11" x14ac:dyDescent="0.25">
      <c r="A28" s="328">
        <v>41944</v>
      </c>
    </row>
    <row r="29" spans="1:11" x14ac:dyDescent="0.25">
      <c r="A29" s="1202" t="s">
        <v>740</v>
      </c>
      <c r="B29" s="345">
        <v>1300</v>
      </c>
      <c r="C29" s="336">
        <v>0.58868999999999994</v>
      </c>
      <c r="D29" s="336">
        <v>0.57538999999999985</v>
      </c>
      <c r="E29" s="336">
        <v>0.54896000000000011</v>
      </c>
      <c r="F29" s="336">
        <v>0.53155999999999992</v>
      </c>
      <c r="G29" s="336">
        <v>0.50838000000000005</v>
      </c>
      <c r="H29" s="336">
        <v>0.47940999999999989</v>
      </c>
      <c r="J29" s="336">
        <v>0.10208</v>
      </c>
      <c r="K29" s="336">
        <v>4.3720000000000002E-2</v>
      </c>
    </row>
    <row r="30" spans="1:11" x14ac:dyDescent="0.25">
      <c r="A30" s="1202" t="s">
        <v>741</v>
      </c>
      <c r="B30" s="345">
        <v>1300</v>
      </c>
      <c r="C30" s="336">
        <v>0.58344999999999991</v>
      </c>
      <c r="D30" s="336">
        <v>0.57070999999999994</v>
      </c>
      <c r="E30" s="336">
        <v>0.54537000000000002</v>
      </c>
      <c r="F30" s="336">
        <v>0.52869999999999984</v>
      </c>
      <c r="G30" s="336">
        <v>0.50646000000000002</v>
      </c>
      <c r="H30" s="336">
        <v>0.47867999999999994</v>
      </c>
      <c r="J30" s="336">
        <v>0.10208</v>
      </c>
      <c r="K30" s="336">
        <v>4.3720000000000002E-2</v>
      </c>
    </row>
    <row r="31" spans="1:11" x14ac:dyDescent="0.25">
      <c r="A31" s="328">
        <v>42309</v>
      </c>
    </row>
    <row r="32" spans="1:11" x14ac:dyDescent="0.25">
      <c r="A32" s="1202" t="s">
        <v>740</v>
      </c>
      <c r="B32" s="345">
        <v>1300</v>
      </c>
      <c r="C32" s="336">
        <v>0.41021999999999992</v>
      </c>
      <c r="D32" s="336">
        <v>0.39689999999999986</v>
      </c>
      <c r="E32" s="336">
        <v>0.37040000000000012</v>
      </c>
      <c r="F32" s="336">
        <v>0.35296999999999995</v>
      </c>
      <c r="G32" s="336">
        <v>0.32974000000000003</v>
      </c>
      <c r="H32" s="336">
        <v>0.3006899999999999</v>
      </c>
      <c r="J32" s="336">
        <v>0.10208</v>
      </c>
      <c r="K32" s="336">
        <v>4.231E-2</v>
      </c>
    </row>
    <row r="33" spans="1:11" x14ac:dyDescent="0.25">
      <c r="A33" s="1202" t="s">
        <v>741</v>
      </c>
      <c r="B33" s="345">
        <v>1300</v>
      </c>
      <c r="C33" s="336">
        <v>0.40618999999999988</v>
      </c>
      <c r="D33" s="336">
        <v>0.39328999999999992</v>
      </c>
      <c r="E33" s="336">
        <v>0.36764000000000008</v>
      </c>
      <c r="F33" s="336">
        <v>0.35075999999999979</v>
      </c>
      <c r="G33" s="336">
        <v>0.32826</v>
      </c>
      <c r="H33" s="336">
        <v>0.30013999999999991</v>
      </c>
      <c r="J33" s="336">
        <v>0.10208</v>
      </c>
      <c r="K33" s="336">
        <v>4.231E-2</v>
      </c>
    </row>
    <row r="34" spans="1:11" x14ac:dyDescent="0.25">
      <c r="A34" s="328">
        <v>42675</v>
      </c>
    </row>
    <row r="35" spans="1:11" x14ac:dyDescent="0.25">
      <c r="A35" s="1202" t="s">
        <v>740</v>
      </c>
      <c r="B35" s="345">
        <v>1300</v>
      </c>
      <c r="C35" s="336">
        <v>0.39613999999999994</v>
      </c>
      <c r="D35" s="336">
        <v>0.38260999999999989</v>
      </c>
      <c r="E35" s="336">
        <v>0.35571000000000014</v>
      </c>
      <c r="F35" s="336">
        <v>0.33800999999999992</v>
      </c>
      <c r="G35" s="336">
        <v>0.31441000000000002</v>
      </c>
      <c r="H35" s="336">
        <v>0.2849199999999999</v>
      </c>
      <c r="J35" s="336">
        <v>0.10208</v>
      </c>
      <c r="K35" s="336">
        <v>4.3249999999999997E-2</v>
      </c>
    </row>
    <row r="36" spans="1:11" x14ac:dyDescent="0.25">
      <c r="A36" s="1202" t="s">
        <v>741</v>
      </c>
      <c r="B36" s="345">
        <v>1300</v>
      </c>
      <c r="C36" s="336">
        <v>0.39023999999999992</v>
      </c>
      <c r="D36" s="336">
        <v>0.3773399999999999</v>
      </c>
      <c r="E36" s="336">
        <v>0.35166000000000008</v>
      </c>
      <c r="F36" s="336">
        <v>0.33476999999999979</v>
      </c>
      <c r="G36" s="336">
        <v>0.31224999999999997</v>
      </c>
      <c r="H36" s="336">
        <v>0.28410999999999992</v>
      </c>
      <c r="J36" s="336">
        <v>0.10208</v>
      </c>
      <c r="K36" s="336">
        <v>4.3249999999999997E-2</v>
      </c>
    </row>
    <row r="37" spans="1:11" x14ac:dyDescent="0.25">
      <c r="A37" s="328">
        <v>43040</v>
      </c>
      <c r="B37" s="345"/>
      <c r="C37" s="336"/>
      <c r="D37" s="336"/>
      <c r="E37" s="336"/>
      <c r="F37" s="336"/>
      <c r="G37" s="336"/>
      <c r="H37" s="336"/>
      <c r="J37" s="336"/>
      <c r="K37" s="336"/>
    </row>
    <row r="38" spans="1:11" x14ac:dyDescent="0.25">
      <c r="A38" s="1202" t="s">
        <v>740</v>
      </c>
      <c r="B38" s="345">
        <v>1300</v>
      </c>
      <c r="C38" s="336">
        <v>0.38132999999999995</v>
      </c>
      <c r="D38" s="336">
        <v>0.3679599999999999</v>
      </c>
      <c r="E38" s="336">
        <v>0.34134000000000014</v>
      </c>
      <c r="F38" s="336">
        <v>0.32383999999999996</v>
      </c>
      <c r="G38" s="336">
        <v>0.30050000000000004</v>
      </c>
      <c r="H38" s="336">
        <v>0.27133999999999991</v>
      </c>
      <c r="J38" s="336">
        <v>0.10208</v>
      </c>
      <c r="K38" s="336">
        <v>4.2479999999999997E-2</v>
      </c>
    </row>
    <row r="39" spans="1:11" x14ac:dyDescent="0.25">
      <c r="A39" s="1202" t="s">
        <v>741</v>
      </c>
      <c r="B39" s="345">
        <v>1300</v>
      </c>
      <c r="C39" s="336">
        <v>0.37669999999999992</v>
      </c>
      <c r="D39" s="336">
        <v>0.36380999999999991</v>
      </c>
      <c r="E39" s="336">
        <v>0.33817000000000014</v>
      </c>
      <c r="F39" s="336">
        <v>0.32129999999999981</v>
      </c>
      <c r="G39" s="336">
        <v>0.29879</v>
      </c>
      <c r="H39" s="336">
        <v>0.27068999999999993</v>
      </c>
      <c r="J39" s="336">
        <v>0.10208</v>
      </c>
      <c r="K39" s="336">
        <v>4.2479999999999997E-2</v>
      </c>
    </row>
    <row r="40" spans="1:11" x14ac:dyDescent="0.25">
      <c r="A40" s="328">
        <v>43405</v>
      </c>
      <c r="B40" s="345"/>
      <c r="C40" s="336"/>
      <c r="D40" s="336"/>
      <c r="E40" s="336"/>
      <c r="F40" s="336"/>
      <c r="G40" s="336"/>
      <c r="H40" s="336"/>
      <c r="J40" s="336"/>
      <c r="K40" s="336"/>
    </row>
    <row r="41" spans="1:11" x14ac:dyDescent="0.25">
      <c r="A41" s="1202" t="s">
        <v>740</v>
      </c>
      <c r="B41" s="345">
        <v>1300</v>
      </c>
      <c r="C41" s="336">
        <v>0.31897999999999999</v>
      </c>
      <c r="D41" s="336">
        <v>0.30522999999999989</v>
      </c>
      <c r="E41" s="336">
        <v>0.27787000000000012</v>
      </c>
      <c r="F41" s="336">
        <v>0.25987999999999994</v>
      </c>
      <c r="G41" s="336">
        <v>0.23588000000000003</v>
      </c>
      <c r="H41" s="336">
        <v>0.20589999999999992</v>
      </c>
      <c r="J41" s="336">
        <v>0.10208</v>
      </c>
      <c r="K41" s="336">
        <v>3.8879999999999998E-2</v>
      </c>
    </row>
    <row r="42" spans="1:11" x14ac:dyDescent="0.25">
      <c r="A42" s="1202" t="s">
        <v>741</v>
      </c>
      <c r="B42" s="345">
        <v>1300</v>
      </c>
      <c r="C42" s="336">
        <v>0.30886999999999998</v>
      </c>
      <c r="D42" s="336">
        <v>0.29617999999999989</v>
      </c>
      <c r="E42" s="336">
        <v>0.27094000000000007</v>
      </c>
      <c r="F42" s="336">
        <v>0.25432999999999983</v>
      </c>
      <c r="G42" s="336">
        <v>0.23218000000000003</v>
      </c>
      <c r="H42" s="336">
        <v>0.20451999999999992</v>
      </c>
      <c r="J42" s="336">
        <v>0.10208</v>
      </c>
      <c r="K42" s="336">
        <v>3.8879999999999998E-2</v>
      </c>
    </row>
    <row r="43" spans="1:11" x14ac:dyDescent="0.25">
      <c r="A43" s="328">
        <f>+EFFDATE</f>
        <v>43770</v>
      </c>
    </row>
    <row r="44" spans="1:11" x14ac:dyDescent="0.25">
      <c r="A44" s="1202" t="s">
        <v>740</v>
      </c>
      <c r="B44" s="345">
        <v>1300</v>
      </c>
      <c r="C44" s="336">
        <f>'Rates in detail'!$V$47</f>
        <v>0.36033999999999999</v>
      </c>
      <c r="D44" s="336">
        <f>'Rates in detail'!$V$48</f>
        <v>0.3464799999999999</v>
      </c>
      <c r="E44" s="336">
        <f>'Rates in detail'!$V$49</f>
        <v>0.31891000000000008</v>
      </c>
      <c r="F44" s="336">
        <f>'Rates in detail'!$V$50</f>
        <v>0.30076999999999993</v>
      </c>
      <c r="G44" s="336">
        <f>'Rates in detail'!$V$51</f>
        <v>0.27660000000000001</v>
      </c>
      <c r="H44" s="336">
        <f>'Rates in detail'!$V$52</f>
        <v>0.2463799999999999</v>
      </c>
      <c r="J44" s="336">
        <f>Inputs!$B$28</f>
        <v>0.10208</v>
      </c>
      <c r="K44" s="336">
        <f>Inputs!$B$20</f>
        <v>3.8739999999999997E-2</v>
      </c>
    </row>
    <row r="45" spans="1:11" x14ac:dyDescent="0.25">
      <c r="A45" s="1202" t="s">
        <v>741</v>
      </c>
      <c r="B45" s="345">
        <v>1300</v>
      </c>
      <c r="C45" s="336">
        <f>'Rates in detail'!$V$53</f>
        <v>0.34927999999999992</v>
      </c>
      <c r="D45" s="336">
        <f>'Rates in detail'!$V$54</f>
        <v>0.33658999999999989</v>
      </c>
      <c r="E45" s="336">
        <f>'Rates in detail'!$V$55</f>
        <v>0.31133000000000016</v>
      </c>
      <c r="F45" s="336">
        <f>'Rates in detail'!$V$56</f>
        <v>0.29469999999999985</v>
      </c>
      <c r="G45" s="336">
        <f>'Rates in detail'!$V$57</f>
        <v>0.27254</v>
      </c>
      <c r="H45" s="336">
        <f>'Rates in detail'!$V$58</f>
        <v>0.24485999999999991</v>
      </c>
      <c r="J45" s="336">
        <f>Inputs!$B$28</f>
        <v>0.10208</v>
      </c>
      <c r="K45" s="336">
        <f>Inputs!$B$20</f>
        <v>3.8739999999999997E-2</v>
      </c>
    </row>
    <row r="46" spans="1:11" x14ac:dyDescent="0.25">
      <c r="A46" s="364"/>
    </row>
    <row r="56" spans="1:1" x14ac:dyDescent="0.25">
      <c r="A56" s="364"/>
    </row>
  </sheetData>
  <mergeCells count="2">
    <mergeCell ref="J5:K5"/>
    <mergeCell ref="A4:H4"/>
  </mergeCells>
  <phoneticPr fontId="12" type="noConversion"/>
  <pageMargins left="0.75" right="0.75" top="1" bottom="1" header="0.5" footer="0.5"/>
  <pageSetup scale="82"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topLeftCell="A2" zoomScaleNormal="100" workbookViewId="0">
      <selection activeCell="A10" sqref="A10"/>
    </sheetView>
  </sheetViews>
  <sheetFormatPr defaultColWidth="10.6640625" defaultRowHeight="13.2" x14ac:dyDescent="0.25"/>
  <cols>
    <col min="1" max="1" width="20.44140625" style="1" customWidth="1"/>
    <col min="2" max="2" width="15.88671875" style="1" customWidth="1"/>
    <col min="3" max="3" width="15.33203125" style="1" customWidth="1"/>
    <col min="4" max="4" width="15.44140625" style="1" customWidth="1"/>
    <col min="5" max="5" width="16.6640625" style="1" customWidth="1"/>
    <col min="6" max="6" width="14.109375" style="1" customWidth="1"/>
    <col min="7" max="8" width="10.6640625" style="1" customWidth="1"/>
    <col min="9" max="9" width="12.33203125" style="1" customWidth="1"/>
    <col min="10" max="16384" width="10.6640625" style="1"/>
  </cols>
  <sheetData>
    <row r="1" spans="1:9" ht="61.5" customHeight="1" x14ac:dyDescent="0.25">
      <c r="A1" s="321"/>
      <c r="B1" s="270"/>
      <c r="C1" s="270"/>
      <c r="D1" s="377" t="s">
        <v>231</v>
      </c>
      <c r="E1" s="270"/>
      <c r="F1" s="270"/>
    </row>
    <row r="2" spans="1:9" ht="17.25" customHeight="1" x14ac:dyDescent="0.25">
      <c r="A2" s="1858" t="s">
        <v>893</v>
      </c>
      <c r="B2" s="1858"/>
      <c r="C2" s="1858"/>
      <c r="D2" s="1858"/>
      <c r="E2" s="1858"/>
      <c r="F2" s="1858"/>
      <c r="G2" s="350"/>
    </row>
    <row r="3" spans="1:9" ht="17.25" customHeight="1" x14ac:dyDescent="0.25">
      <c r="A3" s="214" t="s">
        <v>619</v>
      </c>
      <c r="F3" s="322"/>
      <c r="G3" s="322"/>
    </row>
    <row r="4" spans="1:9" ht="20.399999999999999" x14ac:dyDescent="0.25">
      <c r="E4" s="322"/>
      <c r="F4" s="322"/>
      <c r="G4" s="322"/>
    </row>
    <row r="5" spans="1:9" ht="27" thickBot="1" x14ac:dyDescent="0.3">
      <c r="A5" s="352" t="s">
        <v>571</v>
      </c>
      <c r="B5" s="353" t="s">
        <v>280</v>
      </c>
      <c r="C5" s="353" t="s">
        <v>283</v>
      </c>
      <c r="D5" s="353" t="s">
        <v>297</v>
      </c>
      <c r="E5" s="353" t="s">
        <v>603</v>
      </c>
      <c r="G5" s="337"/>
      <c r="H5" s="379"/>
      <c r="I5" s="380"/>
    </row>
    <row r="6" spans="1:9" ht="15" customHeight="1" x14ac:dyDescent="0.25">
      <c r="A6" s="358"/>
      <c r="B6" s="301"/>
      <c r="C6" s="301"/>
      <c r="D6" s="358"/>
      <c r="E6" s="358"/>
      <c r="G6" s="381"/>
    </row>
    <row r="7" spans="1:9" ht="15" customHeight="1" x14ac:dyDescent="0.25">
      <c r="A7" s="334"/>
      <c r="B7" s="382"/>
      <c r="C7" s="382"/>
      <c r="D7" s="358"/>
      <c r="E7" s="358"/>
      <c r="G7" s="381"/>
    </row>
    <row r="8" spans="1:9" ht="12.75" customHeight="1" x14ac:dyDescent="0.25">
      <c r="A8" s="364">
        <v>38169</v>
      </c>
      <c r="B8" s="137">
        <v>195.16</v>
      </c>
      <c r="C8" s="382">
        <v>250</v>
      </c>
      <c r="D8" s="224">
        <v>0.35852000000000001</v>
      </c>
      <c r="E8" s="224">
        <v>0.33829999999999999</v>
      </c>
    </row>
    <row r="9" spans="1:9" ht="12.75" customHeight="1" x14ac:dyDescent="0.25">
      <c r="A9" s="364">
        <v>38292</v>
      </c>
      <c r="B9" s="137">
        <v>195.16</v>
      </c>
      <c r="C9" s="382">
        <v>250</v>
      </c>
      <c r="D9" s="224">
        <v>0.36793000000000003</v>
      </c>
      <c r="E9" s="224">
        <v>0.34779000000000004</v>
      </c>
    </row>
    <row r="10" spans="1:9" ht="12" customHeight="1" x14ac:dyDescent="0.25">
      <c r="A10" s="364">
        <v>38626</v>
      </c>
      <c r="B10" s="137">
        <v>195.16</v>
      </c>
      <c r="C10" s="382">
        <v>250</v>
      </c>
      <c r="D10" s="224">
        <v>0.36887999999999999</v>
      </c>
      <c r="E10" s="224">
        <v>0.34868999999999994</v>
      </c>
      <c r="F10" s="247"/>
      <c r="G10" s="335"/>
    </row>
    <row r="11" spans="1:9" ht="12" customHeight="1" x14ac:dyDescent="0.25">
      <c r="A11" s="364">
        <v>39022</v>
      </c>
      <c r="B11" s="137">
        <v>195.16</v>
      </c>
      <c r="C11" s="382">
        <v>250</v>
      </c>
      <c r="D11" s="330">
        <v>0.36902000000000001</v>
      </c>
      <c r="E11" s="330">
        <v>0.34882000000000002</v>
      </c>
      <c r="F11" s="330"/>
      <c r="G11" s="330"/>
    </row>
    <row r="12" spans="1:9" ht="12" customHeight="1" x14ac:dyDescent="0.25">
      <c r="A12" s="364">
        <v>39387</v>
      </c>
      <c r="B12" s="137">
        <v>195.16</v>
      </c>
      <c r="C12" s="382">
        <v>250</v>
      </c>
      <c r="D12" s="330">
        <v>0.36902000000000001</v>
      </c>
      <c r="E12" s="330">
        <v>0.34882000000000002</v>
      </c>
      <c r="F12" s="330"/>
      <c r="G12" s="330"/>
    </row>
    <row r="13" spans="1:9" x14ac:dyDescent="0.25">
      <c r="A13" s="364">
        <v>39753</v>
      </c>
      <c r="B13" s="329">
        <v>250</v>
      </c>
      <c r="C13" s="382">
        <v>250</v>
      </c>
      <c r="D13" s="330">
        <v>0.36901999999999996</v>
      </c>
      <c r="E13" s="330">
        <v>0.34882000000000002</v>
      </c>
    </row>
    <row r="14" spans="1:9" x14ac:dyDescent="0.25">
      <c r="A14" s="364">
        <f>+'Index &amp; Documentation'!D1</f>
        <v>39814</v>
      </c>
      <c r="B14" s="329">
        <v>250</v>
      </c>
      <c r="C14" s="382">
        <v>250</v>
      </c>
      <c r="D14" s="330">
        <v>0.29909999999999998</v>
      </c>
      <c r="E14" s="330">
        <v>0.26352999999999999</v>
      </c>
    </row>
    <row r="15" spans="1:9" x14ac:dyDescent="0.25">
      <c r="A15" s="1149">
        <v>40118</v>
      </c>
      <c r="B15" s="345">
        <v>250</v>
      </c>
      <c r="C15" s="29">
        <v>250</v>
      </c>
      <c r="D15" s="630">
        <v>0.30076999999999998</v>
      </c>
      <c r="E15" s="630">
        <v>0.26500000000000001</v>
      </c>
    </row>
    <row r="16" spans="1:9" x14ac:dyDescent="0.25">
      <c r="A16" s="1290">
        <v>40483</v>
      </c>
      <c r="B16" s="1298">
        <v>250</v>
      </c>
      <c r="C16" s="1293">
        <v>250</v>
      </c>
      <c r="D16" s="1299">
        <v>0.30076999999999998</v>
      </c>
      <c r="E16" s="1299">
        <v>0.26500000000000001</v>
      </c>
    </row>
    <row r="17" spans="1:5" x14ac:dyDescent="0.25">
      <c r="A17" s="1290">
        <v>40848</v>
      </c>
      <c r="B17" s="1298">
        <v>250</v>
      </c>
      <c r="C17" s="1293">
        <v>250</v>
      </c>
      <c r="D17" s="1299">
        <v>0.30076999999999998</v>
      </c>
      <c r="E17" s="1299">
        <v>0.26500000000000001</v>
      </c>
    </row>
    <row r="18" spans="1:5" x14ac:dyDescent="0.25">
      <c r="A18" s="1290">
        <v>41214</v>
      </c>
      <c r="B18" s="1298">
        <v>250</v>
      </c>
      <c r="C18" s="1293">
        <v>250</v>
      </c>
      <c r="D18" s="1299">
        <v>0.30076999999999998</v>
      </c>
      <c r="E18" s="1299">
        <v>0.26500000000000001</v>
      </c>
    </row>
    <row r="19" spans="1:5" x14ac:dyDescent="0.25">
      <c r="A19" s="1290">
        <v>41579</v>
      </c>
      <c r="B19" s="345">
        <v>250</v>
      </c>
      <c r="C19" s="29">
        <v>250</v>
      </c>
      <c r="D19" s="1299">
        <v>0.29804999999999998</v>
      </c>
      <c r="E19" s="1299">
        <v>0.2626</v>
      </c>
    </row>
    <row r="20" spans="1:5" x14ac:dyDescent="0.25">
      <c r="A20" s="1149">
        <v>41944</v>
      </c>
      <c r="B20" s="345">
        <v>250</v>
      </c>
      <c r="C20" s="29">
        <v>250</v>
      </c>
      <c r="D20" s="630">
        <v>0.30076999999999998</v>
      </c>
      <c r="E20" s="630">
        <v>0.26500000000000001</v>
      </c>
    </row>
    <row r="21" spans="1:5" x14ac:dyDescent="0.25">
      <c r="A21" s="1149">
        <v>42309</v>
      </c>
      <c r="B21" s="345">
        <v>250</v>
      </c>
      <c r="C21" s="29">
        <v>250</v>
      </c>
      <c r="D21" s="630">
        <v>0.30076999999999998</v>
      </c>
      <c r="E21" s="630">
        <v>0.26500000000000001</v>
      </c>
    </row>
    <row r="22" spans="1:5" x14ac:dyDescent="0.25">
      <c r="A22" s="1149">
        <v>42675</v>
      </c>
      <c r="B22" s="345">
        <v>250</v>
      </c>
      <c r="C22" s="29">
        <v>250</v>
      </c>
      <c r="D22" s="630">
        <v>0.30076999999999998</v>
      </c>
      <c r="E22" s="630">
        <v>0.26500000000000001</v>
      </c>
    </row>
    <row r="23" spans="1:5" x14ac:dyDescent="0.25">
      <c r="A23" s="1149">
        <v>43040</v>
      </c>
      <c r="B23" s="345">
        <v>250</v>
      </c>
      <c r="C23" s="29">
        <v>250</v>
      </c>
      <c r="D23" s="630">
        <v>0.30076999999999998</v>
      </c>
      <c r="E23" s="630">
        <v>0.26500000000000001</v>
      </c>
    </row>
    <row r="24" spans="1:5" x14ac:dyDescent="0.25">
      <c r="A24" s="1149">
        <v>43405</v>
      </c>
      <c r="B24" s="345">
        <v>250</v>
      </c>
      <c r="C24" s="29">
        <v>250</v>
      </c>
      <c r="D24" s="630">
        <v>0.30018999999999996</v>
      </c>
      <c r="E24" s="630">
        <v>0.26449</v>
      </c>
    </row>
    <row r="25" spans="1:5" x14ac:dyDescent="0.25">
      <c r="A25" s="1149">
        <f>+EFFDATE</f>
        <v>43770</v>
      </c>
      <c r="B25" s="345">
        <v>250</v>
      </c>
      <c r="C25" s="29">
        <v>250</v>
      </c>
      <c r="D25" s="630">
        <f>'Rates in detail'!$V$23</f>
        <v>0.30027999999999999</v>
      </c>
      <c r="E25" s="630">
        <f>'Rates in detail'!$V$24</f>
        <v>0.26457000000000003</v>
      </c>
    </row>
    <row r="26" spans="1:5" x14ac:dyDescent="0.25">
      <c r="A26" s="1104"/>
      <c r="B26" s="29"/>
      <c r="C26" s="29"/>
      <c r="D26" s="1105"/>
      <c r="E26" s="1105"/>
    </row>
    <row r="27" spans="1:5" x14ac:dyDescent="0.25">
      <c r="A27" s="1104"/>
      <c r="B27" s="29"/>
      <c r="C27" s="29"/>
      <c r="D27" s="1105"/>
      <c r="E27" s="1105"/>
    </row>
    <row r="28" spans="1:5" x14ac:dyDescent="0.25">
      <c r="A28" s="1104"/>
      <c r="B28" s="29"/>
      <c r="C28" s="29"/>
      <c r="D28" s="1105"/>
      <c r="E28" s="1105"/>
    </row>
    <row r="29" spans="1:5" x14ac:dyDescent="0.25">
      <c r="A29" s="1104"/>
      <c r="B29" s="29"/>
      <c r="C29" s="29"/>
      <c r="D29" s="1105"/>
      <c r="E29" s="1105"/>
    </row>
    <row r="30" spans="1:5" x14ac:dyDescent="0.25">
      <c r="A30" s="1104"/>
      <c r="B30" s="29"/>
      <c r="C30" s="29"/>
      <c r="D30" s="1105"/>
      <c r="E30" s="1105"/>
    </row>
    <row r="31" spans="1:5" x14ac:dyDescent="0.25">
      <c r="A31" s="1104"/>
      <c r="B31" s="29"/>
      <c r="C31" s="29"/>
      <c r="D31" s="1105"/>
      <c r="E31" s="1105"/>
    </row>
    <row r="32" spans="1:5" x14ac:dyDescent="0.25">
      <c r="A32" s="1104"/>
      <c r="B32" s="29"/>
      <c r="C32" s="29"/>
      <c r="D32" s="1105"/>
      <c r="E32" s="1105"/>
    </row>
    <row r="33" spans="1:5" x14ac:dyDescent="0.25">
      <c r="A33" s="1104"/>
      <c r="B33" s="29"/>
      <c r="C33" s="29"/>
      <c r="D33" s="1105"/>
      <c r="E33" s="1105"/>
    </row>
    <row r="34" spans="1:5" x14ac:dyDescent="0.25">
      <c r="A34" s="1104"/>
      <c r="B34" s="29"/>
      <c r="C34" s="29"/>
      <c r="D34" s="1105"/>
      <c r="E34" s="1105"/>
    </row>
    <row r="35" spans="1:5" x14ac:dyDescent="0.25">
      <c r="A35" s="1104"/>
      <c r="B35" s="29"/>
      <c r="C35" s="29"/>
      <c r="D35" s="1105"/>
      <c r="E35" s="1105"/>
    </row>
    <row r="36" spans="1:5" x14ac:dyDescent="0.25">
      <c r="A36" s="1104"/>
      <c r="B36" s="29"/>
      <c r="C36" s="29"/>
      <c r="D36" s="1105"/>
      <c r="E36" s="1105"/>
    </row>
    <row r="37" spans="1:5" x14ac:dyDescent="0.25">
      <c r="A37" s="1104"/>
      <c r="B37" s="29"/>
      <c r="C37" s="29"/>
      <c r="D37" s="1105"/>
      <c r="E37" s="1105"/>
    </row>
    <row r="38" spans="1:5" x14ac:dyDescent="0.25">
      <c r="A38" s="1104"/>
      <c r="B38" s="29"/>
      <c r="C38" s="29"/>
      <c r="D38" s="1105"/>
      <c r="E38" s="1105"/>
    </row>
    <row r="39" spans="1:5" x14ac:dyDescent="0.25">
      <c r="A39" s="1104"/>
      <c r="B39" s="29"/>
      <c r="C39" s="29"/>
      <c r="D39" s="1105"/>
      <c r="E39" s="1105"/>
    </row>
    <row r="40" spans="1:5" x14ac:dyDescent="0.25">
      <c r="A40" s="1104"/>
      <c r="B40" s="29"/>
      <c r="C40" s="29"/>
      <c r="D40" s="1105"/>
      <c r="E40" s="1105"/>
    </row>
    <row r="41" spans="1:5" x14ac:dyDescent="0.25">
      <c r="A41" s="1104"/>
      <c r="B41" s="29"/>
      <c r="C41" s="29"/>
      <c r="D41" s="1105"/>
      <c r="E41" s="1105"/>
    </row>
    <row r="42" spans="1:5" x14ac:dyDescent="0.25">
      <c r="A42" s="1104"/>
      <c r="B42" s="29"/>
      <c r="C42" s="29"/>
      <c r="D42" s="1105"/>
      <c r="E42" s="1105"/>
    </row>
    <row r="43" spans="1:5" x14ac:dyDescent="0.25">
      <c r="A43" s="1104"/>
      <c r="B43" s="29"/>
      <c r="C43" s="29"/>
      <c r="D43" s="1105"/>
      <c r="E43" s="1105"/>
    </row>
    <row r="44" spans="1:5" ht="13.8" x14ac:dyDescent="0.25">
      <c r="A44" s="1103"/>
      <c r="B44" s="29"/>
      <c r="C44" s="29"/>
      <c r="D44" s="1105"/>
      <c r="E44" s="1105"/>
    </row>
    <row r="45" spans="1:5" ht="13.8" x14ac:dyDescent="0.25">
      <c r="A45" s="1103"/>
      <c r="B45" s="29"/>
      <c r="C45" s="29"/>
      <c r="D45" s="1105"/>
      <c r="E45" s="1105"/>
    </row>
    <row r="46" spans="1:5" x14ac:dyDescent="0.25">
      <c r="B46" s="29"/>
      <c r="C46" s="29"/>
      <c r="D46" s="1105"/>
      <c r="E46" s="1105"/>
    </row>
    <row r="47" spans="1:5" x14ac:dyDescent="0.25">
      <c r="B47" s="29"/>
      <c r="C47" s="29"/>
      <c r="D47" s="1106"/>
      <c r="E47" s="1106"/>
    </row>
    <row r="48" spans="1:5" x14ac:dyDescent="0.25">
      <c r="B48" s="29"/>
      <c r="C48" s="29"/>
    </row>
    <row r="49" spans="2:3" x14ac:dyDescent="0.25">
      <c r="B49" s="29"/>
      <c r="C49" s="29"/>
    </row>
    <row r="50" spans="2:3" x14ac:dyDescent="0.25">
      <c r="B50" s="29"/>
      <c r="C50" s="29"/>
    </row>
  </sheetData>
  <mergeCells count="1">
    <mergeCell ref="A2:F2"/>
  </mergeCells>
  <phoneticPr fontId="12" type="noConversion"/>
  <pageMargins left="0.75" right="0.75" top="1" bottom="1" header="0.5" footer="0.5"/>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topLeftCell="A54" zoomScaleNormal="100" workbookViewId="0">
      <selection activeCell="A10" sqref="A10"/>
    </sheetView>
  </sheetViews>
  <sheetFormatPr defaultColWidth="10.6640625" defaultRowHeight="13.2" x14ac:dyDescent="0.25"/>
  <cols>
    <col min="1" max="1" width="12.6640625" style="1" customWidth="1"/>
    <col min="2" max="2" width="14.44140625" style="1" customWidth="1"/>
    <col min="3" max="3" width="12.33203125" style="1" customWidth="1"/>
    <col min="4" max="4" width="12.109375" style="1" customWidth="1"/>
    <col min="5" max="5" width="11.6640625" style="1" customWidth="1"/>
    <col min="6" max="6" width="12.33203125" style="1" customWidth="1"/>
    <col min="7" max="7" width="12.6640625" style="1" bestFit="1" customWidth="1"/>
    <col min="8" max="8" width="12" style="1" customWidth="1"/>
    <col min="9" max="9" width="12.6640625" style="1" customWidth="1"/>
    <col min="10" max="10" width="3.6640625" style="1" customWidth="1"/>
    <col min="11" max="11" width="15" style="1" customWidth="1"/>
    <col min="12" max="16384" width="10.6640625" style="1"/>
  </cols>
  <sheetData>
    <row r="1" spans="1:11" ht="57.75" customHeight="1" x14ac:dyDescent="0.25">
      <c r="A1" s="321"/>
      <c r="B1" s="321"/>
      <c r="C1" s="321"/>
      <c r="D1" s="271"/>
      <c r="E1" s="271"/>
      <c r="F1" s="368" t="s">
        <v>231</v>
      </c>
      <c r="G1" s="271"/>
      <c r="H1" s="271"/>
      <c r="I1" s="271"/>
      <c r="J1" s="271"/>
      <c r="K1" s="271"/>
    </row>
    <row r="2" spans="1:11" ht="27" customHeight="1" x14ac:dyDescent="0.25">
      <c r="A2" s="321"/>
      <c r="B2" s="321"/>
      <c r="C2" s="321"/>
      <c r="D2" s="271"/>
      <c r="E2" s="271"/>
      <c r="F2" s="368"/>
      <c r="G2" s="271"/>
      <c r="H2" s="271"/>
      <c r="I2" s="271"/>
      <c r="J2" s="271"/>
      <c r="K2" s="271"/>
    </row>
    <row r="3" spans="1:11" ht="17.25" customHeight="1" x14ac:dyDescent="0.25">
      <c r="A3" s="1858" t="s">
        <v>620</v>
      </c>
      <c r="B3" s="1858"/>
      <c r="C3" s="1858"/>
      <c r="D3" s="1858"/>
      <c r="E3" s="1858"/>
      <c r="F3" s="1858"/>
      <c r="G3" s="1858"/>
      <c r="H3" s="1858"/>
      <c r="I3" s="1858"/>
      <c r="J3" s="1858"/>
      <c r="K3" s="1858"/>
    </row>
    <row r="4" spans="1:11" ht="15" x14ac:dyDescent="0.25">
      <c r="A4" s="214" t="s">
        <v>636</v>
      </c>
      <c r="B4" s="18"/>
      <c r="D4" s="383"/>
      <c r="E4" s="18"/>
      <c r="F4" s="214"/>
      <c r="G4" s="214"/>
      <c r="H4" s="214"/>
      <c r="I4" s="214"/>
      <c r="J4" s="214"/>
      <c r="K4" s="214"/>
    </row>
    <row r="5" spans="1:11" ht="21" x14ac:dyDescent="0.4">
      <c r="A5" s="369"/>
      <c r="B5" s="369"/>
      <c r="C5" s="369"/>
      <c r="D5" s="271"/>
      <c r="E5" s="370"/>
      <c r="F5" s="370"/>
      <c r="G5" s="370"/>
      <c r="H5" s="370"/>
      <c r="I5" s="370"/>
      <c r="J5" s="370"/>
      <c r="K5" s="370"/>
    </row>
    <row r="6" spans="1:11" ht="26.4" x14ac:dyDescent="0.25">
      <c r="A6" s="274"/>
      <c r="B6" s="274"/>
      <c r="C6" s="274"/>
      <c r="D6" s="274"/>
      <c r="E6" s="274"/>
      <c r="F6" s="274"/>
      <c r="G6" s="274"/>
      <c r="H6" s="274"/>
      <c r="I6" s="274"/>
      <c r="J6" s="274"/>
      <c r="K6" s="384" t="s">
        <v>621</v>
      </c>
    </row>
    <row r="7" spans="1:11" ht="53.4" thickBot="1" x14ac:dyDescent="0.3">
      <c r="A7" s="371" t="s">
        <v>571</v>
      </c>
      <c r="B7" s="371" t="s">
        <v>283</v>
      </c>
      <c r="C7" s="371" t="s">
        <v>280</v>
      </c>
      <c r="D7" s="371" t="s">
        <v>622</v>
      </c>
      <c r="E7" s="371" t="s">
        <v>610</v>
      </c>
      <c r="F7" s="371" t="s">
        <v>609</v>
      </c>
      <c r="G7" s="371" t="s">
        <v>623</v>
      </c>
      <c r="H7" s="371" t="s">
        <v>624</v>
      </c>
      <c r="I7" s="371" t="s">
        <v>625</v>
      </c>
      <c r="J7" s="371"/>
      <c r="K7" s="912" t="s">
        <v>626</v>
      </c>
    </row>
    <row r="8" spans="1:11" x14ac:dyDescent="0.25">
      <c r="A8" s="385"/>
      <c r="B8" s="385"/>
      <c r="C8" s="385"/>
      <c r="D8" s="233"/>
      <c r="E8" s="233"/>
      <c r="F8" s="233"/>
      <c r="G8" s="233"/>
      <c r="H8" s="233"/>
      <c r="I8" s="233"/>
      <c r="J8" s="233"/>
      <c r="K8" s="232"/>
    </row>
    <row r="9" spans="1:11" x14ac:dyDescent="0.25">
      <c r="A9" s="153"/>
      <c r="B9" s="153"/>
      <c r="C9" s="153"/>
      <c r="D9" s="386"/>
      <c r="E9" s="386"/>
      <c r="F9" s="386"/>
      <c r="G9" s="386"/>
      <c r="H9" s="386"/>
      <c r="I9" s="386"/>
      <c r="J9" s="386"/>
      <c r="K9" s="232"/>
    </row>
    <row r="10" spans="1:11" x14ac:dyDescent="0.25">
      <c r="A10" s="364">
        <v>38169</v>
      </c>
      <c r="B10" s="382">
        <v>250</v>
      </c>
      <c r="C10" s="29">
        <v>1300</v>
      </c>
      <c r="D10" s="387">
        <v>0.11</v>
      </c>
      <c r="E10" s="336">
        <v>0.09</v>
      </c>
      <c r="F10" s="336">
        <v>0.09</v>
      </c>
      <c r="G10" s="336">
        <v>0.06</v>
      </c>
      <c r="H10" s="336">
        <v>0.04</v>
      </c>
      <c r="I10" s="336">
        <v>1.4999999999999999E-2</v>
      </c>
      <c r="J10" s="336"/>
      <c r="K10" s="239">
        <v>0.15748000000000001</v>
      </c>
    </row>
    <row r="11" spans="1:11" x14ac:dyDescent="0.25">
      <c r="A11" s="364">
        <v>38292</v>
      </c>
      <c r="B11" s="382">
        <v>250</v>
      </c>
      <c r="C11" s="29">
        <v>1300</v>
      </c>
      <c r="D11" s="387">
        <v>0.10956</v>
      </c>
      <c r="E11" s="336">
        <v>8.9639999999999997E-2</v>
      </c>
      <c r="F11" s="336">
        <v>8.9639999999999997E-2</v>
      </c>
      <c r="G11" s="336">
        <v>5.9760000000000001E-2</v>
      </c>
      <c r="H11" s="336">
        <v>3.984E-2</v>
      </c>
      <c r="I11" s="336">
        <v>1.494E-2</v>
      </c>
      <c r="J11" s="336"/>
      <c r="K11" s="239">
        <v>0.15748000000000001</v>
      </c>
    </row>
    <row r="12" spans="1:11" x14ac:dyDescent="0.25">
      <c r="A12" s="364">
        <v>38626</v>
      </c>
      <c r="B12" s="382">
        <v>250</v>
      </c>
      <c r="C12" s="29">
        <v>1300</v>
      </c>
      <c r="D12" s="387">
        <v>0.10984000000000001</v>
      </c>
      <c r="E12" s="336">
        <v>8.9869999999999992E-2</v>
      </c>
      <c r="F12" s="336">
        <v>8.9869999999999992E-2</v>
      </c>
      <c r="G12" s="336">
        <v>5.9920000000000001E-2</v>
      </c>
      <c r="H12" s="336">
        <v>3.9949999999999999E-2</v>
      </c>
      <c r="I12" s="336">
        <v>1.4970000000000001E-2</v>
      </c>
      <c r="J12" s="336"/>
      <c r="K12" s="239">
        <v>0.15748000000000001</v>
      </c>
    </row>
    <row r="13" spans="1:11" x14ac:dyDescent="0.25">
      <c r="A13" s="364">
        <v>39022</v>
      </c>
      <c r="B13" s="382">
        <v>250</v>
      </c>
      <c r="C13" s="29">
        <v>1300</v>
      </c>
      <c r="D13" s="387">
        <v>0.10988000000000001</v>
      </c>
      <c r="E13" s="387">
        <v>8.9899999999999994E-2</v>
      </c>
      <c r="F13" s="387">
        <v>8.9899999999999994E-2</v>
      </c>
      <c r="G13" s="387">
        <v>5.994E-2</v>
      </c>
      <c r="H13" s="387">
        <v>3.9960000000000002E-2</v>
      </c>
      <c r="I13" s="387">
        <v>1.498E-2</v>
      </c>
      <c r="K13" s="239">
        <v>0.15748000000000001</v>
      </c>
    </row>
    <row r="14" spans="1:11" x14ac:dyDescent="0.25">
      <c r="A14" s="364">
        <v>39387</v>
      </c>
      <c r="B14" s="382">
        <v>250</v>
      </c>
      <c r="C14" s="29">
        <v>1300</v>
      </c>
      <c r="D14" s="387">
        <v>0.10988000000000001</v>
      </c>
      <c r="E14" s="387">
        <v>8.9899999999999994E-2</v>
      </c>
      <c r="F14" s="387">
        <v>8.9899999999999994E-2</v>
      </c>
      <c r="G14" s="387">
        <v>5.994E-2</v>
      </c>
      <c r="H14" s="387">
        <v>3.9960000000000002E-2</v>
      </c>
      <c r="I14" s="387">
        <v>1.498E-2</v>
      </c>
      <c r="K14" s="239">
        <v>0.15748000000000001</v>
      </c>
    </row>
    <row r="15" spans="1:11" x14ac:dyDescent="0.25">
      <c r="A15" s="364">
        <v>39753</v>
      </c>
      <c r="B15" s="911" t="s">
        <v>769</v>
      </c>
      <c r="K15" s="22"/>
    </row>
    <row r="16" spans="1:11" x14ac:dyDescent="0.25">
      <c r="A16" s="364"/>
      <c r="B16" s="29">
        <v>250</v>
      </c>
      <c r="C16" s="29">
        <v>1300</v>
      </c>
      <c r="D16" s="387">
        <v>0.10987999999999999</v>
      </c>
      <c r="E16" s="387">
        <v>8.9900000000000008E-2</v>
      </c>
      <c r="F16" s="387">
        <v>8.9900000000000008E-2</v>
      </c>
      <c r="G16" s="387">
        <v>5.994E-2</v>
      </c>
      <c r="H16" s="387">
        <v>3.9960000000000002E-2</v>
      </c>
      <c r="I16" s="387">
        <v>1.498E-2</v>
      </c>
      <c r="K16" s="239">
        <v>0.15748000000000001</v>
      </c>
    </row>
    <row r="17" spans="1:11" x14ac:dyDescent="0.25">
      <c r="A17" s="364"/>
      <c r="B17" s="911" t="s">
        <v>770</v>
      </c>
      <c r="C17" s="29"/>
      <c r="D17" s="387"/>
      <c r="E17" s="387"/>
      <c r="F17" s="387"/>
      <c r="G17" s="387"/>
      <c r="H17" s="387"/>
      <c r="I17" s="387"/>
      <c r="K17" s="239"/>
    </row>
    <row r="18" spans="1:11" x14ac:dyDescent="0.25">
      <c r="A18" s="364"/>
      <c r="B18" s="29">
        <v>250</v>
      </c>
      <c r="C18" s="29">
        <v>1300</v>
      </c>
      <c r="D18" s="387">
        <v>0.10987999999999999</v>
      </c>
      <c r="E18" s="387">
        <v>8.9900000000000008E-2</v>
      </c>
      <c r="F18" s="387">
        <v>8.9900000000000008E-2</v>
      </c>
      <c r="G18" s="387">
        <v>5.994E-2</v>
      </c>
      <c r="H18" s="387">
        <v>3.9960000000000002E-2</v>
      </c>
      <c r="I18" s="387">
        <v>1.498E-2</v>
      </c>
      <c r="K18" s="239" t="s">
        <v>70</v>
      </c>
    </row>
    <row r="19" spans="1:11" x14ac:dyDescent="0.25">
      <c r="A19" s="364"/>
      <c r="B19" s="29"/>
      <c r="C19" s="29"/>
      <c r="D19" s="387"/>
      <c r="E19" s="387"/>
      <c r="F19" s="387"/>
      <c r="G19" s="387"/>
      <c r="H19" s="387"/>
      <c r="I19" s="387"/>
      <c r="K19" s="239"/>
    </row>
    <row r="20" spans="1:11" x14ac:dyDescent="0.25">
      <c r="A20" s="364">
        <f>+'Index &amp; Documentation'!D1</f>
        <v>39814</v>
      </c>
      <c r="B20" s="911" t="s">
        <v>769</v>
      </c>
      <c r="K20" s="22"/>
    </row>
    <row r="21" spans="1:11" x14ac:dyDescent="0.25">
      <c r="B21" s="29">
        <v>250</v>
      </c>
      <c r="C21" s="29">
        <v>1300</v>
      </c>
      <c r="D21" s="387">
        <v>0.11748</v>
      </c>
      <c r="E21" s="387">
        <v>0.10516</v>
      </c>
      <c r="F21" s="387">
        <v>8.0640000000000003E-2</v>
      </c>
      <c r="G21" s="387">
        <v>6.4519999999999994E-2</v>
      </c>
      <c r="H21" s="387">
        <v>4.301E-2</v>
      </c>
      <c r="I21" s="387">
        <v>1.6119999999999999E-2</v>
      </c>
      <c r="K21" s="239">
        <v>0.15748000000000001</v>
      </c>
    </row>
    <row r="22" spans="1:11" x14ac:dyDescent="0.25">
      <c r="B22" s="911" t="s">
        <v>770</v>
      </c>
      <c r="K22" s="22"/>
    </row>
    <row r="23" spans="1:11" x14ac:dyDescent="0.25">
      <c r="B23" s="29">
        <v>250</v>
      </c>
      <c r="C23" s="29">
        <v>1300</v>
      </c>
      <c r="D23" s="387">
        <v>0.11753</v>
      </c>
      <c r="E23" s="387">
        <v>0.1052</v>
      </c>
      <c r="F23" s="387">
        <v>8.0670000000000006E-2</v>
      </c>
      <c r="G23" s="387">
        <v>6.454E-2</v>
      </c>
      <c r="H23" s="387">
        <v>4.3029999999999999E-2</v>
      </c>
      <c r="I23" s="387">
        <v>1.6129999999999999E-2</v>
      </c>
      <c r="K23" s="1107" t="s">
        <v>70</v>
      </c>
    </row>
    <row r="24" spans="1:11" x14ac:dyDescent="0.25">
      <c r="K24" s="22"/>
    </row>
    <row r="25" spans="1:11" x14ac:dyDescent="0.25">
      <c r="A25" s="364">
        <v>40118</v>
      </c>
      <c r="B25" s="911" t="s">
        <v>769</v>
      </c>
      <c r="K25" s="22"/>
    </row>
    <row r="26" spans="1:11" x14ac:dyDescent="0.25">
      <c r="B26" s="29">
        <v>250</v>
      </c>
      <c r="C26" s="29">
        <v>1300</v>
      </c>
      <c r="D26" s="387">
        <v>0.11808</v>
      </c>
      <c r="E26" s="387">
        <v>0.1057</v>
      </c>
      <c r="F26" s="387">
        <v>8.1049999999999997E-2</v>
      </c>
      <c r="G26" s="387">
        <v>6.4839999999999995E-2</v>
      </c>
      <c r="H26" s="387">
        <v>4.3229999999999998E-2</v>
      </c>
      <c r="I26" s="387">
        <v>1.6209999999999999E-2</v>
      </c>
      <c r="K26" s="239">
        <v>0.15748000000000001</v>
      </c>
    </row>
    <row r="27" spans="1:11" x14ac:dyDescent="0.25">
      <c r="B27" s="911" t="s">
        <v>770</v>
      </c>
      <c r="K27" s="22"/>
    </row>
    <row r="28" spans="1:11" x14ac:dyDescent="0.25">
      <c r="B28" s="29">
        <v>250</v>
      </c>
      <c r="C28" s="29">
        <v>1300</v>
      </c>
      <c r="D28" s="387">
        <v>0.1181</v>
      </c>
      <c r="E28" s="387">
        <v>0.10571999999999999</v>
      </c>
      <c r="F28" s="387">
        <v>8.1070000000000003E-2</v>
      </c>
      <c r="G28" s="387">
        <v>6.4860000000000001E-2</v>
      </c>
      <c r="H28" s="387">
        <v>4.3240000000000001E-2</v>
      </c>
      <c r="I28" s="387">
        <v>1.6209999999999999E-2</v>
      </c>
      <c r="K28" s="1107" t="s">
        <v>70</v>
      </c>
    </row>
    <row r="29" spans="1:11" x14ac:dyDescent="0.25">
      <c r="B29" s="29"/>
      <c r="C29" s="29"/>
      <c r="D29" s="387"/>
      <c r="E29" s="387"/>
      <c r="F29" s="387"/>
      <c r="G29" s="387"/>
      <c r="H29" s="387"/>
      <c r="I29" s="387"/>
      <c r="K29" s="1107"/>
    </row>
    <row r="30" spans="1:11" x14ac:dyDescent="0.25">
      <c r="A30" s="1297">
        <v>40483</v>
      </c>
      <c r="B30" s="1300" t="s">
        <v>769</v>
      </c>
      <c r="C30" s="1291"/>
      <c r="D30" s="1291"/>
      <c r="E30" s="1291"/>
      <c r="F30" s="1291"/>
      <c r="G30" s="1291"/>
      <c r="H30" s="1291"/>
      <c r="I30" s="1291"/>
      <c r="J30" s="1291"/>
      <c r="K30" s="1301"/>
    </row>
    <row r="31" spans="1:11" x14ac:dyDescent="0.25">
      <c r="A31" s="1291"/>
      <c r="B31" s="1293">
        <v>250</v>
      </c>
      <c r="C31" s="1293">
        <v>1300</v>
      </c>
      <c r="D31" s="1302">
        <v>0.11817999999999999</v>
      </c>
      <c r="E31" s="1302">
        <v>0.10579</v>
      </c>
      <c r="F31" s="1302">
        <v>8.1119999999999998E-2</v>
      </c>
      <c r="G31" s="1302">
        <v>6.4899999999999999E-2</v>
      </c>
      <c r="H31" s="1302">
        <v>4.3270000000000003E-2</v>
      </c>
      <c r="I31" s="1302">
        <v>1.6219999999999998E-2</v>
      </c>
      <c r="J31" s="1291"/>
      <c r="K31" s="1303">
        <v>0.15748000000000001</v>
      </c>
    </row>
    <row r="32" spans="1:11" x14ac:dyDescent="0.25">
      <c r="A32" s="1291"/>
      <c r="B32" s="1300" t="s">
        <v>770</v>
      </c>
      <c r="C32" s="1291"/>
      <c r="D32" s="1291"/>
      <c r="E32" s="1291"/>
      <c r="F32" s="1291"/>
      <c r="G32" s="1291"/>
      <c r="H32" s="1291"/>
      <c r="I32" s="1291"/>
      <c r="J32" s="1291"/>
      <c r="K32" s="1301"/>
    </row>
    <row r="33" spans="1:11" x14ac:dyDescent="0.25">
      <c r="A33" s="1291"/>
      <c r="B33" s="1293">
        <v>250</v>
      </c>
      <c r="C33" s="1293">
        <v>1300</v>
      </c>
      <c r="D33" s="1302">
        <v>0.11817999999999999</v>
      </c>
      <c r="E33" s="1302">
        <v>0.10579</v>
      </c>
      <c r="F33" s="1302">
        <v>8.1119999999999998E-2</v>
      </c>
      <c r="G33" s="1302">
        <v>6.4899999999999999E-2</v>
      </c>
      <c r="H33" s="1302">
        <v>4.3270000000000003E-2</v>
      </c>
      <c r="I33" s="1302">
        <v>1.6219999999999998E-2</v>
      </c>
      <c r="J33" s="1291"/>
      <c r="K33" s="1304" t="s">
        <v>70</v>
      </c>
    </row>
    <row r="34" spans="1:11" x14ac:dyDescent="0.25">
      <c r="A34" s="1291"/>
      <c r="B34" s="1293"/>
      <c r="C34" s="1293"/>
      <c r="D34" s="1302"/>
      <c r="E34" s="1302"/>
      <c r="F34" s="1302"/>
      <c r="G34" s="1302"/>
      <c r="H34" s="1302"/>
      <c r="I34" s="1302"/>
      <c r="J34" s="1291"/>
      <c r="K34" s="1321"/>
    </row>
    <row r="35" spans="1:11" x14ac:dyDescent="0.25">
      <c r="A35" s="1297">
        <v>40848</v>
      </c>
      <c r="B35" s="1300" t="s">
        <v>769</v>
      </c>
      <c r="C35" s="1291"/>
      <c r="D35" s="1291"/>
      <c r="E35" s="1291"/>
      <c r="F35" s="1291"/>
      <c r="G35" s="1291"/>
      <c r="H35" s="1291"/>
      <c r="I35" s="1291"/>
      <c r="J35" s="1291"/>
      <c r="K35" s="1301"/>
    </row>
    <row r="36" spans="1:11" x14ac:dyDescent="0.25">
      <c r="A36" s="1291"/>
      <c r="B36" s="1293">
        <v>250</v>
      </c>
      <c r="C36" s="1293">
        <v>1300</v>
      </c>
      <c r="D36" s="1302">
        <v>0.11817999999999999</v>
      </c>
      <c r="E36" s="1302">
        <v>0.10579</v>
      </c>
      <c r="F36" s="1302">
        <v>8.1119999999999998E-2</v>
      </c>
      <c r="G36" s="1302">
        <v>6.4899999999999999E-2</v>
      </c>
      <c r="H36" s="1302">
        <v>4.3270000000000003E-2</v>
      </c>
      <c r="I36" s="1302">
        <v>1.6219999999999998E-2</v>
      </c>
      <c r="J36" s="1291"/>
      <c r="K36" s="1303">
        <v>0.15748000000000001</v>
      </c>
    </row>
    <row r="37" spans="1:11" x14ac:dyDescent="0.25">
      <c r="A37" s="1291"/>
      <c r="B37" s="1300" t="s">
        <v>770</v>
      </c>
      <c r="C37" s="1291"/>
      <c r="D37" s="1291"/>
      <c r="E37" s="1291"/>
      <c r="F37" s="1291"/>
      <c r="G37" s="1291"/>
      <c r="H37" s="1291"/>
      <c r="I37" s="1291"/>
      <c r="J37" s="1291"/>
      <c r="K37" s="1301"/>
    </row>
    <row r="38" spans="1:11" x14ac:dyDescent="0.25">
      <c r="A38" s="1291"/>
      <c r="B38" s="1293">
        <v>250</v>
      </c>
      <c r="C38" s="1293">
        <v>1300</v>
      </c>
      <c r="D38" s="1302">
        <v>0.11817999999999999</v>
      </c>
      <c r="E38" s="1302">
        <v>0.10579</v>
      </c>
      <c r="F38" s="1302">
        <v>8.1119999999999998E-2</v>
      </c>
      <c r="G38" s="1302">
        <v>6.4899999999999999E-2</v>
      </c>
      <c r="H38" s="1302">
        <v>4.3270000000000003E-2</v>
      </c>
      <c r="I38" s="1302">
        <v>1.6219999999999998E-2</v>
      </c>
      <c r="J38" s="1291"/>
      <c r="K38" s="1304" t="s">
        <v>70</v>
      </c>
    </row>
    <row r="39" spans="1:11" x14ac:dyDescent="0.25">
      <c r="A39" s="1291"/>
      <c r="B39" s="1293"/>
      <c r="C39" s="1293"/>
      <c r="D39" s="1302"/>
      <c r="E39" s="1302"/>
      <c r="F39" s="1302"/>
      <c r="G39" s="1302"/>
      <c r="H39" s="1302"/>
      <c r="I39" s="1302"/>
      <c r="J39" s="1291"/>
      <c r="K39" s="1321"/>
    </row>
    <row r="40" spans="1:11" x14ac:dyDescent="0.25">
      <c r="A40" s="1297">
        <v>41214</v>
      </c>
      <c r="B40" s="1293" t="s">
        <v>769</v>
      </c>
      <c r="C40" s="1293"/>
      <c r="D40" s="1302"/>
      <c r="E40" s="1302"/>
      <c r="F40" s="1302"/>
      <c r="G40" s="1302"/>
      <c r="H40" s="1302"/>
      <c r="I40" s="1302"/>
      <c r="J40" s="1291"/>
      <c r="K40" s="1321"/>
    </row>
    <row r="41" spans="1:11" x14ac:dyDescent="0.25">
      <c r="A41" s="1291"/>
      <c r="B41" s="1293">
        <v>250</v>
      </c>
      <c r="C41" s="1293">
        <v>1300</v>
      </c>
      <c r="D41" s="1302">
        <v>0.11817999999999999</v>
      </c>
      <c r="E41" s="1302">
        <v>0.10579</v>
      </c>
      <c r="F41" s="1302">
        <v>8.1119999999999998E-2</v>
      </c>
      <c r="G41" s="1302">
        <v>6.4899999999999999E-2</v>
      </c>
      <c r="H41" s="1302">
        <v>4.3270000000000003E-2</v>
      </c>
      <c r="I41" s="1302">
        <v>1.6219999999999998E-2</v>
      </c>
      <c r="J41" s="1291"/>
      <c r="K41" s="1303">
        <v>0.15748000000000001</v>
      </c>
    </row>
    <row r="42" spans="1:11" x14ac:dyDescent="0.25">
      <c r="A42" s="1291"/>
      <c r="B42" s="1293" t="s">
        <v>770</v>
      </c>
      <c r="C42" s="1293"/>
      <c r="D42" s="1302"/>
      <c r="E42" s="1302"/>
      <c r="F42" s="1302"/>
      <c r="G42" s="1302"/>
      <c r="H42" s="1302"/>
      <c r="I42" s="1302"/>
      <c r="J42" s="1291"/>
      <c r="K42" s="1321"/>
    </row>
    <row r="43" spans="1:11" x14ac:dyDescent="0.25">
      <c r="A43" s="1291"/>
      <c r="B43" s="1293">
        <v>250</v>
      </c>
      <c r="C43" s="1293">
        <v>1300</v>
      </c>
      <c r="D43" s="1302">
        <v>0.11817999999999999</v>
      </c>
      <c r="E43" s="1302">
        <v>0.10579</v>
      </c>
      <c r="F43" s="1302">
        <v>8.1119999999999998E-2</v>
      </c>
      <c r="G43" s="1302">
        <v>6.4899999999999999E-2</v>
      </c>
      <c r="H43" s="1302">
        <v>4.3270000000000003E-2</v>
      </c>
      <c r="I43" s="1302">
        <v>1.6219999999999998E-2</v>
      </c>
      <c r="J43" s="1291"/>
      <c r="K43" s="1321" t="s">
        <v>70</v>
      </c>
    </row>
    <row r="44" spans="1:11" x14ac:dyDescent="0.25">
      <c r="A44" s="1291"/>
      <c r="B44" s="1293"/>
      <c r="C44" s="1293"/>
      <c r="D44" s="1302"/>
      <c r="E44" s="1302"/>
      <c r="F44" s="1302"/>
      <c r="G44" s="1302"/>
      <c r="H44" s="1302"/>
      <c r="I44" s="1302"/>
      <c r="J44" s="1291"/>
      <c r="K44" s="1321"/>
    </row>
    <row r="45" spans="1:11" x14ac:dyDescent="0.25">
      <c r="A45" s="1290">
        <v>41579</v>
      </c>
      <c r="B45" s="911" t="s">
        <v>769</v>
      </c>
      <c r="D45" s="1302"/>
      <c r="E45" s="1302"/>
      <c r="F45" s="1302"/>
      <c r="G45" s="1302"/>
      <c r="H45" s="1302"/>
      <c r="I45" s="1302"/>
      <c r="J45" s="1291"/>
      <c r="K45" s="1321"/>
    </row>
    <row r="46" spans="1:11" x14ac:dyDescent="0.25">
      <c r="A46" s="1291"/>
      <c r="B46" s="29">
        <v>250</v>
      </c>
      <c r="C46" s="29">
        <v>1300</v>
      </c>
      <c r="D46" s="1302">
        <v>0.11703</v>
      </c>
      <c r="E46" s="1302">
        <v>0.10476000000000001</v>
      </c>
      <c r="F46" s="1302">
        <v>8.0329999999999999E-2</v>
      </c>
      <c r="G46" s="1302">
        <v>6.4269999999999994E-2</v>
      </c>
      <c r="H46" s="1302">
        <v>4.2849999999999999E-2</v>
      </c>
      <c r="I46" s="1302">
        <v>1.6060000000000001E-2</v>
      </c>
      <c r="J46" s="1291"/>
      <c r="K46" s="1303">
        <v>0.15748000000000001</v>
      </c>
    </row>
    <row r="47" spans="1:11" ht="12" customHeight="1" x14ac:dyDescent="0.25">
      <c r="A47" s="1291"/>
      <c r="B47" s="911" t="s">
        <v>770</v>
      </c>
      <c r="C47" s="29"/>
      <c r="D47" s="1302"/>
      <c r="E47" s="1302"/>
      <c r="F47" s="1302"/>
      <c r="G47" s="1302"/>
      <c r="H47" s="1302"/>
      <c r="I47" s="1302"/>
      <c r="J47" s="1291"/>
      <c r="K47" s="1321"/>
    </row>
    <row r="48" spans="1:11" x14ac:dyDescent="0.25">
      <c r="B48" s="29">
        <v>250</v>
      </c>
      <c r="C48" s="29">
        <v>1300</v>
      </c>
      <c r="D48" s="331">
        <v>0.11713</v>
      </c>
      <c r="E48" s="331">
        <v>0.10485</v>
      </c>
      <c r="F48" s="331">
        <v>8.0399999999999999E-2</v>
      </c>
      <c r="G48" s="331">
        <v>6.4320000000000002E-2</v>
      </c>
      <c r="H48" s="331">
        <v>4.2889999999999998E-2</v>
      </c>
      <c r="I48" s="331">
        <v>1.6080000000000001E-2</v>
      </c>
      <c r="J48" s="28"/>
      <c r="K48" s="1472" t="s">
        <v>70</v>
      </c>
    </row>
    <row r="49" spans="1:11" x14ac:dyDescent="0.25">
      <c r="A49" s="364">
        <v>41944</v>
      </c>
      <c r="B49" s="911" t="s">
        <v>769</v>
      </c>
      <c r="C49" s="29"/>
      <c r="D49" s="29"/>
      <c r="E49" s="29"/>
      <c r="F49" s="29"/>
      <c r="G49" s="29"/>
      <c r="H49" s="29"/>
      <c r="I49" s="29"/>
      <c r="K49" s="22"/>
    </row>
    <row r="50" spans="1:11" x14ac:dyDescent="0.25">
      <c r="B50" s="29">
        <v>250</v>
      </c>
      <c r="C50" s="29">
        <v>1300</v>
      </c>
      <c r="D50" s="387">
        <v>0.11817999999999999</v>
      </c>
      <c r="E50" s="387">
        <v>0.10579</v>
      </c>
      <c r="F50" s="387">
        <v>8.1119999999999998E-2</v>
      </c>
      <c r="G50" s="387">
        <v>6.4899999999999999E-2</v>
      </c>
      <c r="H50" s="387">
        <v>4.3270000000000003E-2</v>
      </c>
      <c r="I50" s="387">
        <v>1.6219999999999998E-2</v>
      </c>
      <c r="K50" s="239">
        <v>0.15748000000000001</v>
      </c>
    </row>
    <row r="51" spans="1:11" x14ac:dyDescent="0.25">
      <c r="B51" s="911" t="s">
        <v>770</v>
      </c>
      <c r="C51" s="29"/>
      <c r="D51" s="29"/>
      <c r="E51" s="29"/>
      <c r="F51" s="29"/>
      <c r="G51" s="29"/>
      <c r="H51" s="29"/>
      <c r="I51" s="29"/>
      <c r="K51" s="22"/>
    </row>
    <row r="52" spans="1:11" x14ac:dyDescent="0.25">
      <c r="B52" s="29">
        <v>250</v>
      </c>
      <c r="C52" s="29">
        <v>1300</v>
      </c>
      <c r="D52" s="387">
        <v>0.11817999999999999</v>
      </c>
      <c r="E52" s="387">
        <v>0.10579</v>
      </c>
      <c r="F52" s="387">
        <v>8.1119999999999998E-2</v>
      </c>
      <c r="G52" s="387">
        <v>6.4899999999999999E-2</v>
      </c>
      <c r="H52" s="387">
        <v>4.3270000000000003E-2</v>
      </c>
      <c r="I52" s="387">
        <v>1.6219999999999998E-2</v>
      </c>
      <c r="K52" s="913" t="s">
        <v>70</v>
      </c>
    </row>
    <row r="53" spans="1:11" x14ac:dyDescent="0.25">
      <c r="B53" s="29"/>
      <c r="C53" s="29"/>
      <c r="D53" s="387"/>
      <c r="E53" s="387"/>
      <c r="F53" s="387"/>
      <c r="G53" s="387"/>
      <c r="H53" s="387"/>
      <c r="I53" s="387"/>
      <c r="K53" s="1107"/>
    </row>
    <row r="54" spans="1:11" x14ac:dyDescent="0.25">
      <c r="A54" s="364">
        <v>42309</v>
      </c>
      <c r="B54" s="911" t="s">
        <v>769</v>
      </c>
      <c r="C54" s="29"/>
      <c r="D54" s="29"/>
      <c r="E54" s="29"/>
      <c r="F54" s="29"/>
      <c r="G54" s="29"/>
      <c r="H54" s="29"/>
      <c r="I54" s="29"/>
      <c r="K54" s="22"/>
    </row>
    <row r="55" spans="1:11" x14ac:dyDescent="0.25">
      <c r="B55" s="29">
        <v>250</v>
      </c>
      <c r="C55" s="29">
        <v>1300</v>
      </c>
      <c r="D55" s="387">
        <v>0.11817999999999999</v>
      </c>
      <c r="E55" s="387">
        <v>0.10579</v>
      </c>
      <c r="F55" s="387">
        <v>8.1119999999999998E-2</v>
      </c>
      <c r="G55" s="387">
        <v>6.4899999999999999E-2</v>
      </c>
      <c r="H55" s="387">
        <v>4.3270000000000003E-2</v>
      </c>
      <c r="I55" s="387">
        <v>1.6219999999999998E-2</v>
      </c>
      <c r="K55" s="239">
        <v>0.15748000000000001</v>
      </c>
    </row>
    <row r="56" spans="1:11" x14ac:dyDescent="0.25">
      <c r="B56" s="911" t="s">
        <v>770</v>
      </c>
      <c r="C56" s="29"/>
      <c r="D56" s="29"/>
      <c r="E56" s="29"/>
      <c r="F56" s="29"/>
      <c r="G56" s="29"/>
      <c r="H56" s="29"/>
      <c r="I56" s="29"/>
      <c r="K56" s="22"/>
    </row>
    <row r="57" spans="1:11" x14ac:dyDescent="0.25">
      <c r="B57" s="29">
        <v>250</v>
      </c>
      <c r="C57" s="29">
        <v>1300</v>
      </c>
      <c r="D57" s="387">
        <v>0.11817999999999999</v>
      </c>
      <c r="E57" s="387">
        <v>0.10579</v>
      </c>
      <c r="F57" s="387">
        <v>8.1119999999999998E-2</v>
      </c>
      <c r="G57" s="387">
        <v>6.4899999999999999E-2</v>
      </c>
      <c r="H57" s="387">
        <v>4.3270000000000003E-2</v>
      </c>
      <c r="I57" s="387">
        <v>1.6219999999999998E-2</v>
      </c>
      <c r="K57" s="913" t="s">
        <v>70</v>
      </c>
    </row>
    <row r="58" spans="1:11" x14ac:dyDescent="0.25">
      <c r="K58" s="21"/>
    </row>
    <row r="59" spans="1:11" x14ac:dyDescent="0.25">
      <c r="A59" s="364">
        <v>42675</v>
      </c>
      <c r="B59" s="911" t="s">
        <v>769</v>
      </c>
      <c r="C59" s="29"/>
      <c r="D59" s="29"/>
      <c r="E59" s="29"/>
      <c r="F59" s="29"/>
      <c r="G59" s="29"/>
      <c r="H59" s="29"/>
      <c r="I59" s="29"/>
      <c r="K59" s="22"/>
    </row>
    <row r="60" spans="1:11" x14ac:dyDescent="0.25">
      <c r="B60" s="29">
        <v>250</v>
      </c>
      <c r="C60" s="29">
        <v>1300</v>
      </c>
      <c r="D60" s="387">
        <v>0.11817999999999999</v>
      </c>
      <c r="E60" s="387">
        <v>0.10579</v>
      </c>
      <c r="F60" s="387">
        <v>8.1119999999999998E-2</v>
      </c>
      <c r="G60" s="387">
        <v>6.4899999999999999E-2</v>
      </c>
      <c r="H60" s="387">
        <v>4.3270000000000003E-2</v>
      </c>
      <c r="I60" s="387">
        <v>1.6219999999999998E-2</v>
      </c>
      <c r="K60" s="239">
        <v>0.15748000000000001</v>
      </c>
    </row>
    <row r="61" spans="1:11" x14ac:dyDescent="0.25">
      <c r="B61" s="911" t="s">
        <v>770</v>
      </c>
      <c r="C61" s="29"/>
      <c r="D61" s="29"/>
      <c r="E61" s="29"/>
      <c r="F61" s="29"/>
      <c r="G61" s="29"/>
      <c r="H61" s="29"/>
      <c r="I61" s="29"/>
      <c r="K61" s="22"/>
    </row>
    <row r="62" spans="1:11" x14ac:dyDescent="0.25">
      <c r="B62" s="29">
        <v>250</v>
      </c>
      <c r="C62" s="29">
        <v>1300</v>
      </c>
      <c r="D62" s="387">
        <v>0.11817999999999999</v>
      </c>
      <c r="E62" s="387">
        <v>0.10579</v>
      </c>
      <c r="F62" s="387">
        <v>8.1119999999999998E-2</v>
      </c>
      <c r="G62" s="387">
        <v>6.4899999999999999E-2</v>
      </c>
      <c r="H62" s="387">
        <v>4.3270000000000003E-2</v>
      </c>
      <c r="I62" s="387">
        <v>1.6219999999999998E-2</v>
      </c>
      <c r="K62" s="913" t="s">
        <v>70</v>
      </c>
    </row>
    <row r="63" spans="1:11" x14ac:dyDescent="0.25">
      <c r="B63" s="29"/>
      <c r="C63" s="29"/>
      <c r="D63" s="387"/>
      <c r="E63" s="387"/>
      <c r="F63" s="387"/>
      <c r="G63" s="387"/>
      <c r="H63" s="387"/>
      <c r="I63" s="387"/>
      <c r="K63" s="1107"/>
    </row>
    <row r="64" spans="1:11" x14ac:dyDescent="0.25">
      <c r="A64" s="364">
        <v>43040</v>
      </c>
      <c r="B64" s="29" t="s">
        <v>769</v>
      </c>
      <c r="C64" s="29"/>
      <c r="D64" s="387"/>
      <c r="E64" s="387"/>
      <c r="F64" s="387"/>
      <c r="G64" s="387"/>
      <c r="H64" s="387"/>
      <c r="I64" s="387"/>
      <c r="K64" s="1107"/>
    </row>
    <row r="65" spans="1:11" x14ac:dyDescent="0.25">
      <c r="B65" s="29">
        <v>250</v>
      </c>
      <c r="C65" s="29">
        <v>1300</v>
      </c>
      <c r="D65" s="387">
        <v>0.11817999999999999</v>
      </c>
      <c r="E65" s="387">
        <v>0.10579</v>
      </c>
      <c r="F65" s="387">
        <v>8.1119999999999998E-2</v>
      </c>
      <c r="G65" s="387">
        <v>6.4899999999999999E-2</v>
      </c>
      <c r="H65" s="387">
        <v>4.3270000000000003E-2</v>
      </c>
      <c r="I65" s="387">
        <v>1.6219999999999998E-2</v>
      </c>
      <c r="K65" s="1666">
        <v>0.15748000000000001</v>
      </c>
    </row>
    <row r="66" spans="1:11" x14ac:dyDescent="0.25">
      <c r="B66" s="29" t="s">
        <v>770</v>
      </c>
      <c r="C66" s="29"/>
      <c r="D66" s="387"/>
      <c r="E66" s="387"/>
      <c r="F66" s="387"/>
      <c r="G66" s="387"/>
      <c r="H66" s="387"/>
      <c r="I66" s="387"/>
      <c r="K66" s="1107"/>
    </row>
    <row r="67" spans="1:11" x14ac:dyDescent="0.25">
      <c r="B67" s="29">
        <v>250</v>
      </c>
      <c r="C67" s="29">
        <v>1300</v>
      </c>
      <c r="D67" s="387">
        <v>0.11817999999999999</v>
      </c>
      <c r="E67" s="387">
        <v>0.10579</v>
      </c>
      <c r="F67" s="387">
        <v>8.1119999999999998E-2</v>
      </c>
      <c r="G67" s="387">
        <v>6.4899999999999999E-2</v>
      </c>
      <c r="H67" s="387">
        <v>4.3270000000000003E-2</v>
      </c>
      <c r="I67" s="387">
        <v>1.6219999999999998E-2</v>
      </c>
      <c r="K67" s="1107" t="s">
        <v>70</v>
      </c>
    </row>
    <row r="68" spans="1:11" x14ac:dyDescent="0.25">
      <c r="B68" s="29"/>
      <c r="C68" s="29"/>
      <c r="D68" s="387"/>
      <c r="E68" s="387"/>
      <c r="F68" s="387"/>
      <c r="G68" s="387"/>
      <c r="H68" s="387"/>
      <c r="I68" s="387"/>
      <c r="K68" s="1107"/>
    </row>
    <row r="69" spans="1:11" x14ac:dyDescent="0.25">
      <c r="A69" s="364">
        <v>43405</v>
      </c>
      <c r="B69" s="29" t="s">
        <v>769</v>
      </c>
      <c r="C69" s="29"/>
      <c r="D69" s="387"/>
      <c r="E69" s="387"/>
      <c r="F69" s="387"/>
      <c r="G69" s="387"/>
      <c r="H69" s="387"/>
      <c r="I69" s="387"/>
      <c r="K69" s="1107"/>
    </row>
    <row r="70" spans="1:11" x14ac:dyDescent="0.25">
      <c r="B70" s="29">
        <v>250</v>
      </c>
      <c r="C70" s="29">
        <v>1300</v>
      </c>
      <c r="D70" s="387">
        <v>0.11795</v>
      </c>
      <c r="E70" s="387">
        <v>0.10557999999999999</v>
      </c>
      <c r="F70" s="387">
        <v>8.0960000000000004E-2</v>
      </c>
      <c r="G70" s="387">
        <v>6.4769999999999994E-2</v>
      </c>
      <c r="H70" s="387">
        <v>4.3180000000000003E-2</v>
      </c>
      <c r="I70" s="387">
        <v>1.619E-2</v>
      </c>
      <c r="K70" s="1666">
        <v>0.15748000000000001</v>
      </c>
    </row>
    <row r="71" spans="1:11" x14ac:dyDescent="0.25">
      <c r="B71" s="29" t="s">
        <v>770</v>
      </c>
      <c r="C71" s="29"/>
      <c r="D71" s="387"/>
      <c r="E71" s="387"/>
      <c r="F71" s="387"/>
      <c r="G71" s="387"/>
      <c r="H71" s="387"/>
      <c r="I71" s="387"/>
      <c r="K71" s="1107"/>
    </row>
    <row r="72" spans="1:11" x14ac:dyDescent="0.25">
      <c r="B72" s="29">
        <v>250</v>
      </c>
      <c r="C72" s="29">
        <v>1300</v>
      </c>
      <c r="D72" s="387">
        <v>0.11796999999999999</v>
      </c>
      <c r="E72" s="387">
        <v>0.1056</v>
      </c>
      <c r="F72" s="387">
        <v>8.0979999999999996E-2</v>
      </c>
      <c r="G72" s="387">
        <v>6.479E-2</v>
      </c>
      <c r="H72" s="387">
        <v>4.3190000000000006E-2</v>
      </c>
      <c r="I72" s="387">
        <v>1.619E-2</v>
      </c>
      <c r="K72" s="1107" t="s">
        <v>70</v>
      </c>
    </row>
    <row r="73" spans="1:11" x14ac:dyDescent="0.25">
      <c r="B73" s="29"/>
      <c r="C73" s="29"/>
      <c r="D73" s="387"/>
      <c r="E73" s="387"/>
      <c r="F73" s="387"/>
      <c r="G73" s="387"/>
      <c r="H73" s="387"/>
      <c r="I73" s="387"/>
      <c r="K73" s="1107"/>
    </row>
    <row r="74" spans="1:11" x14ac:dyDescent="0.25">
      <c r="A74" s="364">
        <f>+EFFDATE</f>
        <v>43770</v>
      </c>
      <c r="B74" s="911" t="s">
        <v>769</v>
      </c>
      <c r="C74" s="29"/>
      <c r="D74" s="29"/>
      <c r="E74" s="29"/>
      <c r="F74" s="29"/>
      <c r="G74" s="29"/>
      <c r="H74" s="29"/>
      <c r="I74" s="29"/>
      <c r="K74" s="22"/>
    </row>
    <row r="75" spans="1:11" x14ac:dyDescent="0.25">
      <c r="B75" s="29">
        <v>250</v>
      </c>
      <c r="C75" s="29">
        <v>1300</v>
      </c>
      <c r="D75" s="387">
        <f>'Rates in detail'!$V$41</f>
        <v>0.11796</v>
      </c>
      <c r="E75" s="387">
        <f>'Rates in detail'!$V$42</f>
        <v>0.10558999999999999</v>
      </c>
      <c r="F75" s="387">
        <f>'Rates in detail'!$V$43</f>
        <v>8.097E-2</v>
      </c>
      <c r="G75" s="387">
        <f>'Rates in detail'!$V$44</f>
        <v>6.4780000000000004E-2</v>
      </c>
      <c r="H75" s="387">
        <f>'Rates in detail'!$V$45</f>
        <v>4.3190000000000006E-2</v>
      </c>
      <c r="I75" s="387">
        <f>'Rates in detail'!$V$46</f>
        <v>1.619E-2</v>
      </c>
      <c r="K75" s="239">
        <f>Inputs!$B$24</f>
        <v>0.15748000000000001</v>
      </c>
    </row>
    <row r="76" spans="1:11" x14ac:dyDescent="0.25">
      <c r="B76" s="911" t="s">
        <v>770</v>
      </c>
      <c r="C76" s="29"/>
      <c r="D76" s="29"/>
      <c r="E76" s="29"/>
      <c r="F76" s="29"/>
      <c r="G76" s="29"/>
      <c r="H76" s="29"/>
      <c r="I76" s="29"/>
      <c r="K76" s="22"/>
    </row>
    <row r="77" spans="1:11" x14ac:dyDescent="0.25">
      <c r="B77" s="29">
        <v>250</v>
      </c>
      <c r="C77" s="29">
        <v>1300</v>
      </c>
      <c r="D77" s="387">
        <f>'Rates in detail'!$V$59</f>
        <v>0.11797999999999999</v>
      </c>
      <c r="E77" s="387">
        <f>'Rates in detail'!$V$60</f>
        <v>0.10561</v>
      </c>
      <c r="F77" s="387">
        <f>'Rates in detail'!$V$61</f>
        <v>8.0979999999999996E-2</v>
      </c>
      <c r="G77" s="387">
        <f>'Rates in detail'!$V$62</f>
        <v>6.479E-2</v>
      </c>
      <c r="H77" s="387">
        <f>'Rates in detail'!$V$63</f>
        <v>4.3200000000000002E-2</v>
      </c>
      <c r="I77" s="387">
        <f>'Rates in detail'!$V$64</f>
        <v>1.619E-2</v>
      </c>
      <c r="K77" s="913" t="s">
        <v>70</v>
      </c>
    </row>
  </sheetData>
  <mergeCells count="1">
    <mergeCell ref="A3:K3"/>
  </mergeCells>
  <phoneticPr fontId="12" type="noConversion"/>
  <pageMargins left="0.45" right="0.31" top="0.63" bottom="0.82" header="0.5" footer="0.5"/>
  <pageSetup scale="80" orientation="portrait" r:id="rId1"/>
  <headerFooter alignWithMargins="0"/>
  <rowBreaks count="1" manualBreakCount="1">
    <brk id="7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view="pageBreakPreview" topLeftCell="A11" zoomScale="115" zoomScaleNormal="100" zoomScaleSheetLayoutView="115" workbookViewId="0">
      <selection activeCell="A10" sqref="A10"/>
    </sheetView>
  </sheetViews>
  <sheetFormatPr defaultColWidth="10.6640625" defaultRowHeight="13.2" x14ac:dyDescent="0.25"/>
  <cols>
    <col min="1" max="1" width="20.44140625" style="1" customWidth="1"/>
    <col min="2" max="2" width="17.88671875" style="1" customWidth="1"/>
    <col min="3" max="3" width="15.6640625" style="1" customWidth="1"/>
    <col min="4" max="4" width="17" style="1" customWidth="1"/>
    <col min="5" max="5" width="18.109375" style="1" customWidth="1"/>
    <col min="6" max="16384" width="10.6640625" style="1"/>
  </cols>
  <sheetData>
    <row r="1" spans="1:6" ht="53.25" customHeight="1" x14ac:dyDescent="0.3">
      <c r="A1" s="321"/>
      <c r="B1" s="321"/>
      <c r="C1" s="321"/>
      <c r="D1" s="388" t="s">
        <v>231</v>
      </c>
      <c r="E1" s="271"/>
    </row>
    <row r="2" spans="1:6" ht="27.75" customHeight="1" x14ac:dyDescent="0.3">
      <c r="A2" s="321"/>
      <c r="B2" s="321"/>
      <c r="C2" s="321"/>
      <c r="D2" s="388"/>
      <c r="E2" s="271"/>
    </row>
    <row r="3" spans="1:6" ht="30.75" customHeight="1" x14ac:dyDescent="0.25">
      <c r="A3" s="1858" t="s">
        <v>627</v>
      </c>
      <c r="B3" s="1858"/>
      <c r="C3" s="1858"/>
      <c r="D3" s="1858"/>
      <c r="E3" s="1858"/>
      <c r="F3" s="1858"/>
    </row>
    <row r="4" spans="1:6" ht="30.75" customHeight="1" x14ac:dyDescent="0.25">
      <c r="A4" s="378"/>
      <c r="B4" s="378"/>
      <c r="C4" s="378"/>
      <c r="D4" s="378"/>
      <c r="E4" s="378"/>
      <c r="F4" s="378"/>
    </row>
    <row r="5" spans="1:6" ht="15" x14ac:dyDescent="0.25">
      <c r="A5" s="214" t="s">
        <v>636</v>
      </c>
      <c r="D5" s="271"/>
    </row>
    <row r="6" spans="1:6" ht="15" x14ac:dyDescent="0.25">
      <c r="A6" s="214"/>
      <c r="D6" s="271"/>
    </row>
    <row r="7" spans="1:6" ht="13.8" thickBot="1" x14ac:dyDescent="0.3"/>
    <row r="8" spans="1:6" ht="27" thickBot="1" x14ac:dyDescent="0.3">
      <c r="E8" s="1524" t="s">
        <v>621</v>
      </c>
    </row>
    <row r="9" spans="1:6" ht="39.75" customHeight="1" thickBot="1" x14ac:dyDescent="0.3">
      <c r="A9" s="1526" t="s">
        <v>571</v>
      </c>
      <c r="B9" s="1527" t="s">
        <v>283</v>
      </c>
      <c r="C9" s="1527" t="s">
        <v>280</v>
      </c>
      <c r="D9" s="1527" t="s">
        <v>281</v>
      </c>
      <c r="E9" s="1525" t="s">
        <v>628</v>
      </c>
    </row>
    <row r="10" spans="1:6" x14ac:dyDescent="0.25">
      <c r="A10" s="1507"/>
      <c r="B10" s="1508"/>
      <c r="C10" s="1508"/>
      <c r="D10" s="1509"/>
      <c r="E10" s="1510"/>
    </row>
    <row r="11" spans="1:6" x14ac:dyDescent="0.25">
      <c r="A11" s="1511"/>
      <c r="B11" s="153"/>
      <c r="C11" s="153"/>
      <c r="D11" s="386"/>
      <c r="E11" s="1512"/>
    </row>
    <row r="12" spans="1:6" x14ac:dyDescent="0.25">
      <c r="A12" s="1513">
        <v>38169</v>
      </c>
      <c r="B12" s="1514">
        <v>250</v>
      </c>
      <c r="C12" s="211">
        <v>38000</v>
      </c>
      <c r="D12" s="1515">
        <v>5.0000000000000001E-3</v>
      </c>
      <c r="E12" s="1516">
        <v>0.15748000000000001</v>
      </c>
    </row>
    <row r="13" spans="1:6" x14ac:dyDescent="0.25">
      <c r="A13" s="1513">
        <v>38292</v>
      </c>
      <c r="B13" s="1514">
        <v>250</v>
      </c>
      <c r="C13" s="211">
        <v>38000</v>
      </c>
      <c r="D13" s="1515">
        <v>4.9800000000000009E-3</v>
      </c>
      <c r="E13" s="1516">
        <v>0.15748000000000001</v>
      </c>
    </row>
    <row r="14" spans="1:6" x14ac:dyDescent="0.25">
      <c r="A14" s="1513">
        <v>38626</v>
      </c>
      <c r="B14" s="1514">
        <v>250</v>
      </c>
      <c r="C14" s="211">
        <v>38000</v>
      </c>
      <c r="D14" s="1515">
        <v>4.9899999999999996E-3</v>
      </c>
      <c r="E14" s="1516">
        <v>0.15748000000000001</v>
      </c>
    </row>
    <row r="15" spans="1:6" x14ac:dyDescent="0.25">
      <c r="A15" s="1517">
        <v>39022</v>
      </c>
      <c r="B15" s="1514">
        <v>250</v>
      </c>
      <c r="C15" s="211">
        <v>38000</v>
      </c>
      <c r="D15" s="1515">
        <v>4.9899999999999996E-3</v>
      </c>
      <c r="E15" s="1516">
        <v>0.15748000000000001</v>
      </c>
    </row>
    <row r="16" spans="1:6" x14ac:dyDescent="0.25">
      <c r="A16" s="1517">
        <v>39387</v>
      </c>
      <c r="B16" s="1514">
        <v>250</v>
      </c>
      <c r="C16" s="211">
        <v>38000</v>
      </c>
      <c r="D16" s="1515">
        <v>4.9899999999999996E-3</v>
      </c>
      <c r="E16" s="1516">
        <v>0.15748000000000001</v>
      </c>
    </row>
    <row r="17" spans="1:5" x14ac:dyDescent="0.25">
      <c r="A17" s="1517">
        <v>39753</v>
      </c>
      <c r="B17" s="211">
        <v>250</v>
      </c>
      <c r="C17" s="211">
        <v>38000</v>
      </c>
      <c r="D17" s="1515">
        <v>4.9899999999999996E-3</v>
      </c>
      <c r="E17" s="1516">
        <v>0.15748000000000001</v>
      </c>
    </row>
    <row r="18" spans="1:5" x14ac:dyDescent="0.25">
      <c r="A18" s="1517">
        <v>39814</v>
      </c>
      <c r="B18" s="211">
        <v>250</v>
      </c>
      <c r="C18" s="211">
        <v>38000</v>
      </c>
      <c r="D18" s="1515">
        <v>4.96E-3</v>
      </c>
      <c r="E18" s="1516">
        <v>0.15748000000000001</v>
      </c>
    </row>
    <row r="19" spans="1:5" x14ac:dyDescent="0.25">
      <c r="A19" s="1517">
        <v>40118</v>
      </c>
      <c r="B19" s="211">
        <v>250</v>
      </c>
      <c r="C19" s="211">
        <v>38000</v>
      </c>
      <c r="D19" s="1505">
        <v>4.9899999999999996E-3</v>
      </c>
      <c r="E19" s="1516">
        <v>0.15748000000000001</v>
      </c>
    </row>
    <row r="20" spans="1:5" x14ac:dyDescent="0.25">
      <c r="A20" s="1518">
        <v>40483</v>
      </c>
      <c r="B20" s="1293">
        <v>250</v>
      </c>
      <c r="C20" s="1293">
        <v>38000</v>
      </c>
      <c r="D20" s="1294">
        <v>4.9899999999999996E-3</v>
      </c>
      <c r="E20" s="1519">
        <v>0.15748000000000001</v>
      </c>
    </row>
    <row r="21" spans="1:5" x14ac:dyDescent="0.25">
      <c r="A21" s="1518">
        <v>40848</v>
      </c>
      <c r="B21" s="1293">
        <v>250</v>
      </c>
      <c r="C21" s="1293">
        <v>38000</v>
      </c>
      <c r="D21" s="1294">
        <v>4.9899999999999996E-3</v>
      </c>
      <c r="E21" s="1519">
        <v>0.15748000000000001</v>
      </c>
    </row>
    <row r="22" spans="1:5" x14ac:dyDescent="0.25">
      <c r="A22" s="1518">
        <v>41214</v>
      </c>
      <c r="B22" s="1293">
        <v>250</v>
      </c>
      <c r="C22" s="1293">
        <v>38000</v>
      </c>
      <c r="D22" s="1294">
        <v>4.9899999999999996E-3</v>
      </c>
      <c r="E22" s="1519">
        <v>0.15748000000000001</v>
      </c>
    </row>
    <row r="23" spans="1:5" x14ac:dyDescent="0.25">
      <c r="A23" s="1518">
        <v>41579</v>
      </c>
      <c r="B23" s="1293">
        <v>250</v>
      </c>
      <c r="C23" s="1293">
        <v>38000</v>
      </c>
      <c r="D23" s="1294">
        <v>4.9500000000000004E-3</v>
      </c>
      <c r="E23" s="1519">
        <v>0.15748000000000001</v>
      </c>
    </row>
    <row r="24" spans="1:5" x14ac:dyDescent="0.25">
      <c r="A24" s="1517">
        <v>41944</v>
      </c>
      <c r="B24" s="211">
        <v>250</v>
      </c>
      <c r="C24" s="211">
        <v>38000</v>
      </c>
      <c r="D24" s="1505">
        <v>4.9899999999999996E-3</v>
      </c>
      <c r="E24" s="1516">
        <v>0.15748000000000001</v>
      </c>
    </row>
    <row r="25" spans="1:5" x14ac:dyDescent="0.25">
      <c r="A25" s="1517">
        <v>42309</v>
      </c>
      <c r="B25" s="211">
        <v>250</v>
      </c>
      <c r="C25" s="211">
        <v>38000</v>
      </c>
      <c r="D25" s="1584">
        <v>4.9899999999999996E-3</v>
      </c>
      <c r="E25" s="1516">
        <v>0.15748000000000001</v>
      </c>
    </row>
    <row r="26" spans="1:5" x14ac:dyDescent="0.25">
      <c r="A26" s="1517">
        <v>42675</v>
      </c>
      <c r="B26" s="211">
        <v>250</v>
      </c>
      <c r="C26" s="211">
        <v>38000</v>
      </c>
      <c r="D26" s="1630">
        <v>4.9899999999999996E-3</v>
      </c>
      <c r="E26" s="1516">
        <v>0.15748000000000001</v>
      </c>
    </row>
    <row r="27" spans="1:5" x14ac:dyDescent="0.25">
      <c r="A27" s="1517">
        <v>43040</v>
      </c>
      <c r="B27" s="211">
        <v>250</v>
      </c>
      <c r="C27" s="211">
        <v>38000</v>
      </c>
      <c r="D27" s="1646">
        <v>4.9899999999999996E-3</v>
      </c>
      <c r="E27" s="1516">
        <v>0.15748000000000001</v>
      </c>
    </row>
    <row r="28" spans="1:5" x14ac:dyDescent="0.25">
      <c r="A28" s="1517">
        <v>43405</v>
      </c>
      <c r="B28" s="211">
        <v>250</v>
      </c>
      <c r="C28" s="211">
        <v>38000</v>
      </c>
      <c r="D28" s="1722">
        <v>4.9800000000000001E-3</v>
      </c>
      <c r="E28" s="1516">
        <v>0.15748000000000001</v>
      </c>
    </row>
    <row r="29" spans="1:5" ht="13.8" thickBot="1" x14ac:dyDescent="0.3">
      <c r="A29" s="1520">
        <f>+EFFDATE</f>
        <v>43770</v>
      </c>
      <c r="B29" s="1521">
        <v>250</v>
      </c>
      <c r="C29" s="1521">
        <v>38000</v>
      </c>
      <c r="D29" s="1522">
        <f>'Rates in detail'!$V$65</f>
        <v>4.9800000000000001E-3</v>
      </c>
      <c r="E29" s="1523">
        <f>Inputs!$B$24</f>
        <v>0.15748000000000001</v>
      </c>
    </row>
  </sheetData>
  <mergeCells count="1">
    <mergeCell ref="A3:F3"/>
  </mergeCells>
  <phoneticPr fontId="12" type="noConversion"/>
  <pageMargins left="0.55000000000000004" right="0.56000000000000005" top="1" bottom="1" header="0.5" footer="0.5"/>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7" workbookViewId="0">
      <selection activeCell="A10" sqref="A10"/>
    </sheetView>
  </sheetViews>
  <sheetFormatPr defaultRowHeight="13.2" x14ac:dyDescent="0.25"/>
  <sheetData/>
  <phoneticPr fontId="2" type="noConversion"/>
  <pageMargins left="0.75" right="0.75" top="1" bottom="1"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opLeftCell="A23" zoomScaleNormal="100" workbookViewId="0">
      <selection activeCell="E52" sqref="E52"/>
    </sheetView>
  </sheetViews>
  <sheetFormatPr defaultColWidth="10.6640625" defaultRowHeight="15" x14ac:dyDescent="0.25"/>
  <cols>
    <col min="1" max="1" width="16.88671875" style="399" customWidth="1"/>
    <col min="2" max="2" width="10.6640625" style="399" customWidth="1"/>
    <col min="3" max="3" width="16.88671875" style="399" customWidth="1"/>
    <col min="4" max="4" width="12.6640625" style="399" bestFit="1" customWidth="1"/>
    <col min="5" max="5" width="16.88671875" style="399" customWidth="1"/>
    <col min="6" max="6" width="10.6640625" style="399" customWidth="1"/>
    <col min="7" max="7" width="16.88671875" style="399" customWidth="1"/>
    <col min="8" max="16384" width="10.6640625" style="399"/>
  </cols>
  <sheetData>
    <row r="1" spans="1:8" x14ac:dyDescent="0.25">
      <c r="A1" s="398"/>
      <c r="B1" s="398"/>
      <c r="C1" s="398"/>
      <c r="D1" s="398"/>
      <c r="E1" s="398"/>
      <c r="F1" s="398"/>
      <c r="G1" s="398"/>
      <c r="H1" s="398"/>
    </row>
    <row r="2" spans="1:8" ht="69.75" customHeight="1" x14ac:dyDescent="0.4">
      <c r="A2" s="400"/>
      <c r="B2" s="401"/>
      <c r="C2" s="398"/>
      <c r="D2" s="402" t="s">
        <v>359</v>
      </c>
      <c r="E2" s="403"/>
      <c r="F2" s="403"/>
      <c r="G2" s="403"/>
      <c r="H2" s="398"/>
    </row>
    <row r="3" spans="1:8" ht="21" x14ac:dyDescent="0.4">
      <c r="A3" s="404" t="s">
        <v>231</v>
      </c>
      <c r="B3" s="401"/>
      <c r="C3" s="398"/>
      <c r="D3" s="405" t="s">
        <v>647</v>
      </c>
      <c r="E3" s="403"/>
      <c r="F3" s="403"/>
      <c r="G3" s="403"/>
      <c r="H3" s="398"/>
    </row>
    <row r="4" spans="1:8" ht="20.399999999999999" x14ac:dyDescent="0.35">
      <c r="A4" s="406" t="s">
        <v>355</v>
      </c>
      <c r="B4" s="401"/>
      <c r="C4" s="398"/>
      <c r="D4" s="405"/>
      <c r="E4" s="403"/>
      <c r="F4" s="403"/>
      <c r="G4" s="403"/>
      <c r="H4" s="398"/>
    </row>
    <row r="5" spans="1:8" x14ac:dyDescent="0.25">
      <c r="A5" s="407" t="s">
        <v>600</v>
      </c>
      <c r="B5" s="407"/>
      <c r="C5" s="407"/>
      <c r="D5" s="407"/>
      <c r="E5" s="407"/>
      <c r="F5" s="407"/>
      <c r="G5" s="407"/>
      <c r="H5" s="398"/>
    </row>
    <row r="6" spans="1:8" x14ac:dyDescent="0.25">
      <c r="A6" s="408" t="s">
        <v>313</v>
      </c>
      <c r="B6" s="408"/>
      <c r="C6" s="408" t="s">
        <v>577</v>
      </c>
      <c r="D6" s="408"/>
      <c r="E6" s="408" t="s">
        <v>578</v>
      </c>
      <c r="F6" s="408"/>
      <c r="G6" s="408" t="s">
        <v>289</v>
      </c>
      <c r="H6" s="398"/>
    </row>
    <row r="7" spans="1:8" x14ac:dyDescent="0.25">
      <c r="A7" s="409" t="s">
        <v>579</v>
      </c>
      <c r="B7" s="408"/>
      <c r="C7" s="409" t="s">
        <v>580</v>
      </c>
      <c r="D7" s="408"/>
      <c r="E7" s="409" t="s">
        <v>580</v>
      </c>
      <c r="F7" s="408"/>
      <c r="G7" s="409" t="s">
        <v>580</v>
      </c>
      <c r="H7" s="398"/>
    </row>
    <row r="8" spans="1:8" x14ac:dyDescent="0.25">
      <c r="A8" s="398"/>
      <c r="B8" s="398"/>
      <c r="C8" s="398"/>
      <c r="D8" s="398"/>
      <c r="E8" s="398"/>
      <c r="F8" s="398"/>
      <c r="G8" s="398"/>
      <c r="H8" s="398"/>
    </row>
    <row r="9" spans="1:8" x14ac:dyDescent="0.25">
      <c r="A9" s="410">
        <v>34669</v>
      </c>
      <c r="C9" s="411">
        <v>3.07</v>
      </c>
      <c r="E9" s="411">
        <v>0.69521999999999995</v>
      </c>
      <c r="G9" s="411">
        <v>0.66608000000000001</v>
      </c>
    </row>
    <row r="10" spans="1:8" x14ac:dyDescent="0.25">
      <c r="A10" s="410">
        <v>35034</v>
      </c>
      <c r="C10" s="411">
        <v>3.04</v>
      </c>
      <c r="E10" s="411">
        <v>0.67354999999999998</v>
      </c>
      <c r="G10" s="411">
        <v>0.64441000000000004</v>
      </c>
    </row>
    <row r="11" spans="1:8" x14ac:dyDescent="0.25">
      <c r="A11" s="410">
        <v>35096</v>
      </c>
      <c r="C11" s="411">
        <v>3.04</v>
      </c>
      <c r="E11" s="411">
        <v>0.67549999999999999</v>
      </c>
      <c r="G11" s="411">
        <v>0.64636000000000005</v>
      </c>
    </row>
    <row r="12" spans="1:8" x14ac:dyDescent="0.25">
      <c r="A12" s="410">
        <v>35400</v>
      </c>
      <c r="C12" s="411">
        <v>3.01</v>
      </c>
      <c r="E12" s="411">
        <v>0.65568000000000004</v>
      </c>
      <c r="G12" s="411">
        <v>0.62653999999999999</v>
      </c>
    </row>
    <row r="13" spans="1:8" x14ac:dyDescent="0.25">
      <c r="A13" s="410">
        <v>35731</v>
      </c>
      <c r="C13" s="411">
        <v>3.15</v>
      </c>
      <c r="E13" s="411">
        <v>0.67867</v>
      </c>
      <c r="G13" s="411">
        <v>0.64798999999999995</v>
      </c>
    </row>
    <row r="14" spans="1:8" x14ac:dyDescent="0.25">
      <c r="A14" s="410">
        <v>35765</v>
      </c>
      <c r="C14" s="411">
        <v>3.21</v>
      </c>
      <c r="E14" s="411">
        <v>0.72487000000000001</v>
      </c>
      <c r="G14" s="411">
        <v>0.69418999999999997</v>
      </c>
    </row>
    <row r="15" spans="1:8" x14ac:dyDescent="0.25">
      <c r="A15" s="410">
        <v>36130</v>
      </c>
      <c r="C15" s="411">
        <v>3.22</v>
      </c>
      <c r="E15" s="411">
        <v>0.73148000000000002</v>
      </c>
      <c r="G15" s="411">
        <v>0.70079999999999998</v>
      </c>
    </row>
    <row r="16" spans="1:8" x14ac:dyDescent="0.25">
      <c r="A16" s="410">
        <v>36495</v>
      </c>
      <c r="C16" s="411">
        <v>3.28</v>
      </c>
      <c r="E16" s="411">
        <v>0.77298</v>
      </c>
      <c r="G16" s="411">
        <v>0.74229999999999996</v>
      </c>
    </row>
    <row r="17" spans="1:8" x14ac:dyDescent="0.25">
      <c r="A17" s="410">
        <v>36739</v>
      </c>
      <c r="C17" s="411">
        <v>3.49</v>
      </c>
      <c r="E17" s="411">
        <v>0.91317999999999999</v>
      </c>
      <c r="G17" s="411">
        <v>0.88249999999999995</v>
      </c>
    </row>
    <row r="18" spans="1:8" x14ac:dyDescent="0.25">
      <c r="A18" s="410">
        <v>36831</v>
      </c>
      <c r="C18" s="411">
        <v>3.59</v>
      </c>
      <c r="E18" s="411">
        <v>0.98179000000000005</v>
      </c>
      <c r="G18" s="411">
        <v>0.95109999999999995</v>
      </c>
    </row>
    <row r="19" spans="1:8" x14ac:dyDescent="0.25">
      <c r="A19" s="410">
        <v>37165</v>
      </c>
      <c r="C19" s="411">
        <v>3.94</v>
      </c>
      <c r="E19" s="411">
        <v>1.2136400000000001</v>
      </c>
      <c r="G19" s="411">
        <v>1.18113</v>
      </c>
    </row>
    <row r="20" spans="1:8" x14ac:dyDescent="0.25">
      <c r="A20" s="410">
        <v>37530</v>
      </c>
      <c r="C20" s="411">
        <v>3.74</v>
      </c>
      <c r="E20" s="411">
        <v>1.07718</v>
      </c>
      <c r="G20" s="411">
        <v>0.14466999999999999</v>
      </c>
    </row>
    <row r="21" spans="1:8" x14ac:dyDescent="0.25">
      <c r="A21" s="410">
        <v>37895</v>
      </c>
      <c r="C21" s="411">
        <v>3.78</v>
      </c>
      <c r="E21" s="411">
        <v>1.1185099999999999</v>
      </c>
      <c r="G21" s="411">
        <v>1.0860000000000001</v>
      </c>
    </row>
    <row r="22" spans="1:8" x14ac:dyDescent="0.25">
      <c r="G22" s="412"/>
    </row>
    <row r="23" spans="1:8" s="1" customFormat="1" ht="13.8" x14ac:dyDescent="0.25">
      <c r="A23" s="1108" t="s">
        <v>571</v>
      </c>
      <c r="B23" s="1109"/>
      <c r="C23" s="1110" t="s">
        <v>280</v>
      </c>
      <c r="D23" s="1111"/>
      <c r="E23" s="1108" t="s">
        <v>281</v>
      </c>
      <c r="F23" s="1111"/>
      <c r="G23" s="1109"/>
      <c r="H23" s="1109"/>
    </row>
    <row r="24" spans="1:8" s="1" customFormat="1" ht="13.8" x14ac:dyDescent="0.25">
      <c r="A24" s="1109"/>
      <c r="B24" s="1109"/>
      <c r="C24" s="272"/>
      <c r="D24" s="1111"/>
      <c r="E24" s="272"/>
      <c r="F24" s="1111"/>
      <c r="G24" s="1109"/>
      <c r="H24" s="1109"/>
    </row>
    <row r="25" spans="1:8" s="1" customFormat="1" ht="13.8" x14ac:dyDescent="0.25">
      <c r="A25" s="1112">
        <v>38169</v>
      </c>
      <c r="B25" s="1109"/>
      <c r="C25" s="1113">
        <v>2</v>
      </c>
      <c r="D25" s="1111"/>
      <c r="E25" s="1114">
        <v>1.21208</v>
      </c>
      <c r="F25" s="1111"/>
      <c r="G25" s="1109"/>
      <c r="H25" s="1109"/>
    </row>
    <row r="26" spans="1:8" s="1" customFormat="1" ht="13.8" x14ac:dyDescent="0.25">
      <c r="A26" s="1112">
        <v>38292</v>
      </c>
      <c r="B26" s="1109"/>
      <c r="C26" s="1113">
        <v>2</v>
      </c>
      <c r="D26" s="1111"/>
      <c r="E26" s="1114">
        <v>1.3484401337103837</v>
      </c>
      <c r="F26" s="1111"/>
      <c r="G26" s="1109"/>
      <c r="H26" s="1109"/>
    </row>
    <row r="27" spans="1:8" x14ac:dyDescent="0.25">
      <c r="A27" s="1112">
        <v>38626</v>
      </c>
      <c r="B27" s="1109"/>
      <c r="C27" s="1113">
        <v>2</v>
      </c>
      <c r="D27" s="1111"/>
      <c r="E27" s="1114">
        <v>1.4439133456128603</v>
      </c>
      <c r="F27" s="1111"/>
      <c r="G27" s="1111"/>
      <c r="H27" s="1111"/>
    </row>
    <row r="28" spans="1:8" x14ac:dyDescent="0.25">
      <c r="A28" s="1112">
        <v>39022</v>
      </c>
      <c r="B28" s="1111"/>
      <c r="C28" s="1113">
        <v>2</v>
      </c>
      <c r="D28" s="1111"/>
      <c r="E28" s="1114">
        <v>1.55863</v>
      </c>
      <c r="F28" s="1111"/>
      <c r="G28" s="1111"/>
      <c r="H28" s="1111"/>
    </row>
    <row r="29" spans="1:8" x14ac:dyDescent="0.25">
      <c r="A29" s="1112">
        <v>39387</v>
      </c>
      <c r="B29" s="1111"/>
      <c r="C29" s="1113">
        <v>2</v>
      </c>
      <c r="D29" s="1111"/>
      <c r="E29" s="1114">
        <v>1.5157099999999999</v>
      </c>
      <c r="F29" s="1111"/>
      <c r="G29" s="1111"/>
      <c r="H29" s="1111"/>
    </row>
    <row r="30" spans="1:8" x14ac:dyDescent="0.25">
      <c r="A30" s="1112">
        <v>39753</v>
      </c>
      <c r="B30" s="1111"/>
      <c r="C30" s="1113">
        <v>2</v>
      </c>
      <c r="D30" s="1111"/>
      <c r="E30" s="1114">
        <v>1.6584499999999998</v>
      </c>
      <c r="F30" s="1111"/>
      <c r="G30" s="1111"/>
      <c r="H30" s="1111"/>
    </row>
    <row r="31" spans="1:8" x14ac:dyDescent="0.25">
      <c r="A31" s="1112">
        <f>+'Index &amp; Documentation'!D1</f>
        <v>39814</v>
      </c>
      <c r="B31" s="1111"/>
      <c r="C31" s="1113">
        <v>3.47</v>
      </c>
      <c r="D31" s="1111"/>
      <c r="E31" s="1114">
        <v>1.4133899999999999</v>
      </c>
      <c r="F31" s="1111"/>
      <c r="G31" s="1111"/>
      <c r="H31" s="1111"/>
    </row>
    <row r="32" spans="1:8" x14ac:dyDescent="0.25">
      <c r="A32" s="1115">
        <v>40118</v>
      </c>
      <c r="B32" s="1111"/>
      <c r="C32" s="1116">
        <v>3.47</v>
      </c>
      <c r="D32" s="1111"/>
      <c r="E32" s="1117">
        <v>1.4018200000000001</v>
      </c>
      <c r="F32" s="1111"/>
      <c r="G32" s="1111"/>
      <c r="H32" s="1111"/>
    </row>
    <row r="33" spans="1:8" x14ac:dyDescent="0.25">
      <c r="A33" s="1305">
        <v>40483</v>
      </c>
      <c r="B33" s="1306"/>
      <c r="C33" s="1307">
        <v>3.47</v>
      </c>
      <c r="D33" s="1306"/>
      <c r="E33" s="1308">
        <v>1.3453200000000001</v>
      </c>
      <c r="F33" s="1111"/>
      <c r="G33" s="1111"/>
      <c r="H33" s="1111"/>
    </row>
    <row r="34" spans="1:8" x14ac:dyDescent="0.25">
      <c r="A34" s="1305">
        <v>40848</v>
      </c>
      <c r="B34" s="1306"/>
      <c r="C34" s="1307">
        <v>3.47</v>
      </c>
      <c r="D34" s="1306"/>
      <c r="E34" s="1308">
        <v>1.3148</v>
      </c>
      <c r="F34" s="1111"/>
      <c r="G34" s="1111"/>
      <c r="H34" s="1111"/>
    </row>
    <row r="35" spans="1:8" x14ac:dyDescent="0.25">
      <c r="A35" s="1305">
        <v>41214</v>
      </c>
      <c r="B35" s="1306"/>
      <c r="C35" s="1307">
        <v>3.47</v>
      </c>
      <c r="D35" s="1306"/>
      <c r="E35" s="1308">
        <v>1.21068</v>
      </c>
      <c r="F35" s="1111"/>
      <c r="G35" s="1111"/>
      <c r="H35" s="1111"/>
    </row>
    <row r="36" spans="1:8" x14ac:dyDescent="0.25">
      <c r="A36" s="1115">
        <v>41579</v>
      </c>
      <c r="B36" s="1111"/>
      <c r="C36" s="1116">
        <v>3.47</v>
      </c>
      <c r="D36" s="1111"/>
      <c r="E36" s="1117">
        <v>1.2328699999999999</v>
      </c>
      <c r="F36" s="1111"/>
      <c r="G36" s="1111"/>
      <c r="H36" s="1111"/>
    </row>
    <row r="37" spans="1:8" x14ac:dyDescent="0.25">
      <c r="A37" s="1115">
        <v>41944</v>
      </c>
      <c r="B37" s="1111"/>
      <c r="C37" s="1116">
        <v>3.47</v>
      </c>
      <c r="D37" s="1111"/>
      <c r="E37" s="1117">
        <v>1.2376</v>
      </c>
      <c r="F37" s="1111"/>
      <c r="G37" s="1111"/>
      <c r="H37" s="1111"/>
    </row>
    <row r="38" spans="1:8" x14ac:dyDescent="0.25">
      <c r="A38" s="1115">
        <v>42309</v>
      </c>
      <c r="B38" s="1111"/>
      <c r="C38" s="1116">
        <v>3.47</v>
      </c>
      <c r="D38" s="1111"/>
      <c r="E38" s="1117">
        <v>1.1272</v>
      </c>
      <c r="F38" s="1111"/>
      <c r="G38" s="1111"/>
      <c r="H38" s="1111"/>
    </row>
    <row r="39" spans="1:8" x14ac:dyDescent="0.25">
      <c r="A39" s="1115">
        <v>42675</v>
      </c>
      <c r="B39" s="1111"/>
      <c r="C39" s="1116">
        <v>3.47</v>
      </c>
      <c r="D39" s="1111"/>
      <c r="E39" s="1117">
        <v>1.1020699999999999</v>
      </c>
      <c r="F39" s="1111"/>
      <c r="G39" s="1111"/>
      <c r="H39" s="1111"/>
    </row>
    <row r="40" spans="1:8" x14ac:dyDescent="0.25">
      <c r="A40" s="1115">
        <v>43040</v>
      </c>
      <c r="B40" s="1111"/>
      <c r="C40" s="1116">
        <v>3.47</v>
      </c>
      <c r="D40" s="1111"/>
      <c r="E40" s="1117">
        <v>1.0764399999999998</v>
      </c>
      <c r="F40" s="1111"/>
      <c r="G40" s="1111"/>
      <c r="H40" s="1111"/>
    </row>
    <row r="41" spans="1:8" x14ac:dyDescent="0.25">
      <c r="A41" s="1115">
        <v>43405</v>
      </c>
      <c r="B41" s="1111"/>
      <c r="C41" s="1116">
        <v>3.47</v>
      </c>
      <c r="D41" s="1111"/>
      <c r="E41" s="1117">
        <v>1.0193399999999999</v>
      </c>
      <c r="F41" s="1111"/>
      <c r="G41" s="1111"/>
      <c r="H41" s="1111"/>
    </row>
    <row r="42" spans="1:8" x14ac:dyDescent="0.25">
      <c r="A42" s="1115">
        <f>+EFFDATE</f>
        <v>43770</v>
      </c>
      <c r="B42" s="1111"/>
      <c r="C42" s="1116">
        <v>3.47</v>
      </c>
      <c r="D42" s="1111"/>
      <c r="E42" s="1117">
        <f>'Rates in detail'!$AI$13</f>
        <v>0.99828999999999957</v>
      </c>
      <c r="F42" s="1111"/>
      <c r="G42" s="1111"/>
      <c r="H42" s="1111"/>
    </row>
    <row r="43" spans="1:8" x14ac:dyDescent="0.25">
      <c r="A43" s="1111"/>
      <c r="B43" s="1111"/>
      <c r="C43" s="1111"/>
      <c r="D43" s="1111"/>
      <c r="E43" s="1111"/>
      <c r="F43" s="1111"/>
      <c r="G43" s="1111"/>
      <c r="H43" s="1111"/>
    </row>
    <row r="44" spans="1:8" x14ac:dyDescent="0.25">
      <c r="A44" s="1111"/>
      <c r="B44" s="1111"/>
      <c r="C44" s="1111"/>
      <c r="D44" s="1111"/>
      <c r="E44" s="1111"/>
      <c r="F44" s="1111"/>
      <c r="G44" s="1111"/>
      <c r="H44" s="1111"/>
    </row>
    <row r="45" spans="1:8" x14ac:dyDescent="0.25">
      <c r="A45" s="1111"/>
      <c r="B45" s="1111"/>
      <c r="C45" s="1111"/>
      <c r="D45" s="1111"/>
      <c r="E45" s="1111"/>
      <c r="F45" s="1111"/>
      <c r="G45" s="1111"/>
      <c r="H45" s="1111"/>
    </row>
    <row r="46" spans="1:8" x14ac:dyDescent="0.25">
      <c r="A46" s="1111"/>
      <c r="B46" s="1111"/>
      <c r="C46" s="1111"/>
      <c r="D46" s="1111"/>
      <c r="E46" s="1111"/>
      <c r="F46" s="1111"/>
      <c r="G46" s="1111"/>
      <c r="H46" s="1111"/>
    </row>
    <row r="47" spans="1:8" x14ac:dyDescent="0.25">
      <c r="A47" s="1111"/>
      <c r="B47" s="1111"/>
      <c r="C47" s="1111"/>
      <c r="D47" s="1111"/>
      <c r="E47" s="1111"/>
      <c r="F47" s="1111"/>
      <c r="G47" s="1111"/>
      <c r="H47" s="1111"/>
    </row>
  </sheetData>
  <phoneticPr fontId="10" type="noConversion"/>
  <pageMargins left="0.75" right="0.75" top="1" bottom="1" header="0.5" footer="0.5"/>
  <pageSetup scale="74"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5"/>
  <sheetViews>
    <sheetView showGridLines="0" topLeftCell="A10" workbookViewId="0">
      <selection activeCell="E52" sqref="E52"/>
    </sheetView>
  </sheetViews>
  <sheetFormatPr defaultColWidth="10.6640625" defaultRowHeight="13.2" x14ac:dyDescent="0.25"/>
  <cols>
    <col min="1" max="1" width="16.88671875" style="398" customWidth="1"/>
    <col min="2" max="2" width="10.6640625" style="398" customWidth="1"/>
    <col min="3" max="3" width="16.88671875" style="398" customWidth="1"/>
    <col min="4" max="4" width="12.6640625" style="398" bestFit="1" customWidth="1"/>
    <col min="5" max="5" width="16.88671875" style="398" customWidth="1"/>
    <col min="6" max="6" width="10.6640625" style="398" customWidth="1"/>
    <col min="7" max="7" width="13.88671875" style="398" bestFit="1" customWidth="1"/>
    <col min="8" max="16384" width="10.6640625" style="398"/>
  </cols>
  <sheetData>
    <row r="2" spans="1:8" ht="63" customHeight="1" x14ac:dyDescent="0.4">
      <c r="A2" s="400"/>
      <c r="B2" s="401"/>
      <c r="D2" s="402" t="s">
        <v>360</v>
      </c>
      <c r="E2" s="403"/>
      <c r="F2" s="403"/>
      <c r="G2" s="403"/>
      <c r="H2" s="403"/>
    </row>
    <row r="3" spans="1:8" ht="21" x14ac:dyDescent="0.4">
      <c r="A3" s="404" t="s">
        <v>231</v>
      </c>
      <c r="B3" s="401"/>
      <c r="D3" s="405" t="s">
        <v>648</v>
      </c>
      <c r="E3" s="403"/>
      <c r="F3" s="403"/>
      <c r="G3" s="403"/>
      <c r="H3" s="403"/>
    </row>
    <row r="4" spans="1:8" ht="20.399999999999999" x14ac:dyDescent="0.35">
      <c r="A4" s="406" t="s">
        <v>356</v>
      </c>
      <c r="B4" s="401"/>
      <c r="D4" s="405"/>
      <c r="E4" s="403"/>
      <c r="F4" s="403"/>
      <c r="G4" s="403"/>
      <c r="H4" s="403"/>
    </row>
    <row r="5" spans="1:8" ht="20.399999999999999" x14ac:dyDescent="0.35">
      <c r="A5" s="407" t="s">
        <v>600</v>
      </c>
      <c r="B5" s="407"/>
      <c r="C5" s="407"/>
      <c r="D5" s="407"/>
      <c r="E5" s="407"/>
      <c r="F5" s="407"/>
      <c r="G5" s="407"/>
      <c r="H5" s="413"/>
    </row>
    <row r="6" spans="1:8" ht="15" customHeight="1" x14ac:dyDescent="0.35">
      <c r="A6" s="408" t="s">
        <v>313</v>
      </c>
      <c r="B6" s="408"/>
      <c r="C6" s="408" t="s">
        <v>649</v>
      </c>
      <c r="D6" s="408"/>
      <c r="E6" s="408" t="s">
        <v>650</v>
      </c>
      <c r="F6" s="408"/>
      <c r="G6" s="408" t="s">
        <v>298</v>
      </c>
      <c r="H6" s="413"/>
    </row>
    <row r="7" spans="1:8" ht="14.25" customHeight="1" x14ac:dyDescent="0.35">
      <c r="A7" s="409" t="s">
        <v>579</v>
      </c>
      <c r="B7" s="408"/>
      <c r="C7" s="409" t="s">
        <v>651</v>
      </c>
      <c r="D7" s="408"/>
      <c r="E7" s="409" t="s">
        <v>582</v>
      </c>
      <c r="F7" s="408"/>
      <c r="G7" s="409" t="s">
        <v>583</v>
      </c>
      <c r="H7" s="413"/>
    </row>
    <row r="8" spans="1:8" x14ac:dyDescent="0.25">
      <c r="A8" s="414"/>
      <c r="B8" s="414"/>
      <c r="C8" s="414"/>
      <c r="D8" s="414"/>
      <c r="E8" s="414"/>
      <c r="F8" s="414"/>
      <c r="G8" s="414"/>
    </row>
    <row r="9" spans="1:8" x14ac:dyDescent="0.25">
      <c r="A9" s="415">
        <v>34669</v>
      </c>
      <c r="B9" s="414"/>
      <c r="C9" s="416">
        <v>5.67</v>
      </c>
      <c r="D9" s="414"/>
      <c r="E9" s="417">
        <v>0.56755999999999995</v>
      </c>
      <c r="F9" s="414"/>
      <c r="G9" s="417">
        <v>0.51759999999999995</v>
      </c>
    </row>
    <row r="10" spans="1:8" x14ac:dyDescent="0.25">
      <c r="A10" s="415">
        <v>35034</v>
      </c>
      <c r="B10" s="414"/>
      <c r="C10" s="416">
        <v>5.55</v>
      </c>
      <c r="D10" s="414"/>
      <c r="E10" s="418">
        <v>0.54588999999999999</v>
      </c>
      <c r="F10" s="414"/>
      <c r="G10" s="418">
        <v>0.49592999999999998</v>
      </c>
    </row>
    <row r="11" spans="1:8" x14ac:dyDescent="0.25">
      <c r="A11" s="415">
        <v>35096</v>
      </c>
      <c r="B11" s="414"/>
      <c r="C11" s="416">
        <v>5.56</v>
      </c>
      <c r="D11" s="414"/>
      <c r="E11" s="418">
        <v>0.54783999999999999</v>
      </c>
      <c r="F11" s="414"/>
      <c r="G11" s="418">
        <v>0.49787999999999999</v>
      </c>
    </row>
    <row r="12" spans="1:8" x14ac:dyDescent="0.25">
      <c r="A12" s="415">
        <v>35400</v>
      </c>
      <c r="B12" s="414"/>
      <c r="C12" s="416">
        <v>5.45</v>
      </c>
      <c r="D12" s="414"/>
      <c r="E12" s="419">
        <v>0.52802000000000004</v>
      </c>
      <c r="F12" s="414"/>
      <c r="G12" s="419">
        <v>0.47805999999999998</v>
      </c>
    </row>
    <row r="13" spans="1:8" x14ac:dyDescent="0.25">
      <c r="A13" s="415"/>
      <c r="B13" s="414"/>
      <c r="C13" s="419"/>
      <c r="D13" s="419"/>
      <c r="E13" s="414"/>
      <c r="F13" s="414"/>
      <c r="G13" s="414"/>
    </row>
    <row r="14" spans="1:8" x14ac:dyDescent="0.25">
      <c r="A14" s="415"/>
      <c r="B14" s="414"/>
      <c r="C14" s="419" t="s">
        <v>293</v>
      </c>
      <c r="D14" s="419"/>
      <c r="E14" s="420" t="s">
        <v>652</v>
      </c>
      <c r="F14" s="420"/>
      <c r="G14" s="420" t="s">
        <v>298</v>
      </c>
    </row>
    <row r="15" spans="1:8" x14ac:dyDescent="0.25">
      <c r="A15" s="415"/>
      <c r="B15" s="414"/>
      <c r="C15" s="421" t="s">
        <v>198</v>
      </c>
      <c r="D15" s="419"/>
      <c r="E15" s="422" t="s">
        <v>194</v>
      </c>
      <c r="F15" s="420"/>
      <c r="G15" s="422" t="s">
        <v>194</v>
      </c>
    </row>
    <row r="16" spans="1:8" x14ac:dyDescent="0.25">
      <c r="A16" s="415"/>
      <c r="B16" s="414"/>
      <c r="C16" s="423"/>
      <c r="D16" s="419"/>
      <c r="E16" s="424"/>
      <c r="F16" s="420"/>
      <c r="G16" s="424"/>
    </row>
    <row r="17" spans="1:7" x14ac:dyDescent="0.25">
      <c r="A17" s="415">
        <v>35731</v>
      </c>
      <c r="B17" s="414"/>
      <c r="C17" s="416">
        <v>4</v>
      </c>
      <c r="D17" s="414"/>
      <c r="E17" s="419">
        <v>0.51485999999999998</v>
      </c>
      <c r="F17" s="414"/>
      <c r="G17" s="419">
        <v>0.46701999999999999</v>
      </c>
    </row>
    <row r="18" spans="1:7" x14ac:dyDescent="0.25">
      <c r="A18" s="415">
        <v>35765</v>
      </c>
      <c r="B18" s="414"/>
      <c r="C18" s="416">
        <v>4</v>
      </c>
      <c r="D18" s="414"/>
      <c r="E18" s="419">
        <v>0.56106</v>
      </c>
      <c r="F18" s="414"/>
      <c r="G18" s="419">
        <v>0.51322000000000001</v>
      </c>
    </row>
    <row r="19" spans="1:7" x14ac:dyDescent="0.25">
      <c r="A19" s="415">
        <v>36130</v>
      </c>
      <c r="B19" s="414"/>
      <c r="C19" s="416">
        <v>4</v>
      </c>
      <c r="D19" s="414"/>
      <c r="E19" s="418">
        <v>0.56767000000000001</v>
      </c>
      <c r="F19" s="414"/>
      <c r="G19" s="418">
        <v>0.51983000000000001</v>
      </c>
    </row>
    <row r="20" spans="1:7" x14ac:dyDescent="0.25">
      <c r="A20" s="415">
        <v>36495</v>
      </c>
      <c r="B20" s="414"/>
      <c r="C20" s="416">
        <v>4</v>
      </c>
      <c r="D20" s="414"/>
      <c r="E20" s="418">
        <v>0.60916999999999999</v>
      </c>
      <c r="F20" s="414"/>
      <c r="G20" s="418">
        <v>0.56133</v>
      </c>
    </row>
    <row r="21" spans="1:7" x14ac:dyDescent="0.25">
      <c r="A21" s="415">
        <v>36739</v>
      </c>
      <c r="B21" s="414"/>
      <c r="C21" s="416">
        <v>4</v>
      </c>
      <c r="D21" s="414"/>
      <c r="E21" s="419">
        <v>0.74936999999999998</v>
      </c>
      <c r="F21" s="414"/>
      <c r="G21" s="419">
        <v>0.70152999999999999</v>
      </c>
    </row>
    <row r="22" spans="1:7" x14ac:dyDescent="0.25">
      <c r="A22" s="415">
        <v>36831</v>
      </c>
      <c r="B22" s="414"/>
      <c r="C22" s="416">
        <v>4</v>
      </c>
      <c r="D22" s="414"/>
      <c r="E22" s="418">
        <v>0.80508000000000002</v>
      </c>
      <c r="F22" s="414"/>
      <c r="G22" s="418">
        <v>0.75724000000000002</v>
      </c>
    </row>
    <row r="23" spans="1:7" x14ac:dyDescent="0.25">
      <c r="A23" s="415">
        <v>37165</v>
      </c>
      <c r="B23" s="414"/>
      <c r="C23" s="416">
        <v>4.25</v>
      </c>
      <c r="D23" s="414"/>
      <c r="E23" s="418">
        <v>1.0204599999999999</v>
      </c>
      <c r="F23" s="414"/>
      <c r="G23" s="418">
        <v>0.97262000000000004</v>
      </c>
    </row>
    <row r="24" spans="1:7" x14ac:dyDescent="0.25">
      <c r="A24" s="415">
        <v>37530</v>
      </c>
      <c r="B24" s="414"/>
      <c r="C24" s="416">
        <v>4.25</v>
      </c>
      <c r="D24" s="414"/>
      <c r="E24" s="418">
        <v>0.88400000000000001</v>
      </c>
      <c r="F24" s="414"/>
      <c r="G24" s="418">
        <v>0.83616000000000001</v>
      </c>
    </row>
    <row r="25" spans="1:7" x14ac:dyDescent="0.25">
      <c r="A25" s="415">
        <v>37895</v>
      </c>
      <c r="B25" s="414"/>
      <c r="C25" s="416">
        <v>4.25</v>
      </c>
      <c r="D25" s="414"/>
      <c r="E25" s="418">
        <v>0.92532999999999999</v>
      </c>
      <c r="F25" s="414"/>
      <c r="G25" s="418">
        <v>0.87748999999999999</v>
      </c>
    </row>
    <row r="26" spans="1:7" x14ac:dyDescent="0.25">
      <c r="A26" s="414"/>
      <c r="B26" s="414"/>
      <c r="C26" s="414"/>
      <c r="D26" s="414"/>
      <c r="E26" s="414"/>
      <c r="F26" s="414"/>
      <c r="G26" s="414"/>
    </row>
    <row r="27" spans="1:7" x14ac:dyDescent="0.25">
      <c r="A27" s="414"/>
      <c r="B27" s="414"/>
      <c r="C27" s="414"/>
      <c r="D27" s="414"/>
      <c r="E27" s="414"/>
      <c r="F27" s="414"/>
      <c r="G27" s="414"/>
    </row>
    <row r="28" spans="1:7" s="1" customFormat="1" x14ac:dyDescent="0.25">
      <c r="A28" s="326" t="s">
        <v>571</v>
      </c>
      <c r="B28" s="45"/>
      <c r="C28" s="327" t="s">
        <v>280</v>
      </c>
      <c r="D28" s="414"/>
      <c r="E28" s="326" t="s">
        <v>281</v>
      </c>
      <c r="F28" s="414"/>
      <c r="G28" s="45"/>
    </row>
    <row r="29" spans="1:7" s="1" customFormat="1" x14ac:dyDescent="0.25">
      <c r="A29" s="45"/>
      <c r="B29" s="45"/>
      <c r="C29" s="44"/>
      <c r="D29" s="414"/>
      <c r="E29" s="44"/>
      <c r="F29" s="414"/>
      <c r="G29" s="45"/>
    </row>
    <row r="30" spans="1:7" s="1" customFormat="1" x14ac:dyDescent="0.25">
      <c r="A30" s="364">
        <v>38169</v>
      </c>
      <c r="B30" s="45"/>
      <c r="C30" s="329">
        <v>5</v>
      </c>
      <c r="D30" s="414"/>
      <c r="E30" s="330">
        <v>0.93669000000000002</v>
      </c>
      <c r="F30" s="414"/>
      <c r="G30" s="45"/>
    </row>
    <row r="31" spans="1:7" s="1" customFormat="1" x14ac:dyDescent="0.25">
      <c r="A31" s="364">
        <v>38292</v>
      </c>
      <c r="B31" s="45"/>
      <c r="C31" s="329">
        <v>5</v>
      </c>
      <c r="D31" s="414"/>
      <c r="E31" s="330">
        <v>1.0647501337103837</v>
      </c>
      <c r="F31" s="414"/>
      <c r="G31" s="45"/>
    </row>
    <row r="32" spans="1:7" x14ac:dyDescent="0.25">
      <c r="A32" s="364">
        <v>38626</v>
      </c>
      <c r="B32" s="45"/>
      <c r="C32" s="329">
        <v>5</v>
      </c>
      <c r="D32" s="414"/>
      <c r="E32" s="330">
        <v>1.1602233456128599</v>
      </c>
    </row>
    <row r="33" spans="1:5" x14ac:dyDescent="0.25">
      <c r="A33" s="364">
        <v>39022</v>
      </c>
      <c r="C33" s="329">
        <v>5</v>
      </c>
      <c r="E33" s="330">
        <v>1.27494</v>
      </c>
    </row>
    <row r="34" spans="1:5" x14ac:dyDescent="0.25">
      <c r="A34" s="364">
        <v>39387</v>
      </c>
      <c r="C34" s="329">
        <v>5</v>
      </c>
      <c r="E34" s="330">
        <v>1.2320199999999999</v>
      </c>
    </row>
    <row r="35" spans="1:5" x14ac:dyDescent="0.25">
      <c r="A35" s="364">
        <v>39753</v>
      </c>
      <c r="C35" s="329">
        <v>5</v>
      </c>
      <c r="E35" s="330">
        <v>1.3746799999999997</v>
      </c>
    </row>
    <row r="36" spans="1:5" x14ac:dyDescent="0.25">
      <c r="A36" s="364">
        <f>+'Index &amp; Documentation'!D1</f>
        <v>39814</v>
      </c>
      <c r="C36" s="329">
        <v>7</v>
      </c>
      <c r="E36" s="330">
        <v>1.14412</v>
      </c>
    </row>
    <row r="37" spans="1:5" x14ac:dyDescent="0.25">
      <c r="A37" s="1118">
        <v>40118</v>
      </c>
      <c r="C37" s="1119">
        <v>7</v>
      </c>
      <c r="E37" s="1120">
        <v>1.1325099999999999</v>
      </c>
    </row>
    <row r="38" spans="1:5" x14ac:dyDescent="0.25">
      <c r="A38" s="1309">
        <v>40483</v>
      </c>
      <c r="B38" s="1310"/>
      <c r="C38" s="1311">
        <v>7</v>
      </c>
      <c r="D38" s="1310"/>
      <c r="E38" s="423">
        <v>1.0760099999999997</v>
      </c>
    </row>
    <row r="39" spans="1:5" x14ac:dyDescent="0.25">
      <c r="A39" s="1309">
        <v>40848</v>
      </c>
      <c r="B39" s="1310"/>
      <c r="C39" s="1311">
        <v>7</v>
      </c>
      <c r="D39" s="1310"/>
      <c r="E39" s="423">
        <v>1.0453499999999996</v>
      </c>
    </row>
    <row r="40" spans="1:5" x14ac:dyDescent="0.25">
      <c r="A40" s="1309">
        <v>41214</v>
      </c>
      <c r="B40" s="1310"/>
      <c r="C40" s="1311">
        <v>7</v>
      </c>
      <c r="D40" s="1310"/>
      <c r="E40" s="423">
        <v>0.94102999999999959</v>
      </c>
    </row>
    <row r="41" spans="1:5" x14ac:dyDescent="0.25">
      <c r="A41" s="1118">
        <v>41579</v>
      </c>
      <c r="C41" s="1119">
        <v>7</v>
      </c>
      <c r="E41" s="1120">
        <v>0.94642999999999999</v>
      </c>
    </row>
    <row r="42" spans="1:5" x14ac:dyDescent="0.25">
      <c r="A42" s="1118">
        <v>41944</v>
      </c>
      <c r="C42" s="1119">
        <v>7</v>
      </c>
      <c r="E42" s="1120">
        <v>0.96794999999999976</v>
      </c>
    </row>
    <row r="43" spans="1:5" x14ac:dyDescent="0.25">
      <c r="A43" s="1118">
        <v>42309</v>
      </c>
      <c r="C43" s="1119">
        <v>7</v>
      </c>
      <c r="E43" s="1120">
        <v>0.85725999999999969</v>
      </c>
    </row>
    <row r="44" spans="1:5" x14ac:dyDescent="0.25">
      <c r="A44" s="1118">
        <v>42675</v>
      </c>
      <c r="C44" s="1119">
        <v>7</v>
      </c>
      <c r="E44" s="1120">
        <v>0.8321299999999997</v>
      </c>
    </row>
    <row r="45" spans="1:5" x14ac:dyDescent="0.25">
      <c r="A45" s="1118">
        <v>43040</v>
      </c>
      <c r="C45" s="1119">
        <v>7</v>
      </c>
      <c r="E45" s="1120">
        <v>0.80649999999999977</v>
      </c>
    </row>
    <row r="46" spans="1:5" x14ac:dyDescent="0.25">
      <c r="A46" s="1118">
        <v>43405</v>
      </c>
      <c r="C46" s="1119">
        <v>7</v>
      </c>
      <c r="E46" s="1120">
        <v>0.74939999999999973</v>
      </c>
    </row>
    <row r="47" spans="1:5" x14ac:dyDescent="0.25">
      <c r="A47" s="1118">
        <f>EFFDATE</f>
        <v>43770</v>
      </c>
      <c r="C47" s="1119">
        <v>7</v>
      </c>
      <c r="E47" s="1120">
        <f>'Rates in detail'!$AI$15</f>
        <v>0.72834999999999972</v>
      </c>
    </row>
    <row r="48" spans="1:5" x14ac:dyDescent="0.25">
      <c r="A48" s="1118"/>
      <c r="C48" s="1119"/>
      <c r="E48" s="1120"/>
    </row>
    <row r="49" spans="1:5" x14ac:dyDescent="0.25">
      <c r="A49" s="1118"/>
      <c r="C49" s="1119"/>
      <c r="E49" s="1120"/>
    </row>
    <row r="50" spans="1:5" x14ac:dyDescent="0.25">
      <c r="A50" s="1118"/>
      <c r="C50" s="1119"/>
      <c r="E50" s="1120"/>
    </row>
    <row r="51" spans="1:5" x14ac:dyDescent="0.25">
      <c r="A51" s="1118"/>
      <c r="C51" s="1119"/>
      <c r="E51" s="1120"/>
    </row>
    <row r="52" spans="1:5" x14ac:dyDescent="0.25">
      <c r="A52" s="1118"/>
      <c r="C52" s="1119"/>
      <c r="E52" s="1120"/>
    </row>
    <row r="53" spans="1:5" x14ac:dyDescent="0.25">
      <c r="A53" s="1118"/>
      <c r="C53" s="1119"/>
      <c r="E53" s="1120"/>
    </row>
    <row r="54" spans="1:5" x14ac:dyDescent="0.25">
      <c r="A54" s="1118"/>
      <c r="C54" s="1119"/>
      <c r="E54" s="1120"/>
    </row>
    <row r="55" spans="1:5" x14ac:dyDescent="0.25">
      <c r="A55" s="1118"/>
      <c r="C55" s="1119"/>
      <c r="E55" s="1120"/>
    </row>
    <row r="56" spans="1:5" x14ac:dyDescent="0.25">
      <c r="A56" s="1118"/>
      <c r="C56" s="1119"/>
      <c r="E56" s="1120"/>
    </row>
    <row r="57" spans="1:5" x14ac:dyDescent="0.25">
      <c r="A57" s="1118"/>
      <c r="C57" s="1119"/>
      <c r="E57" s="1120"/>
    </row>
    <row r="58" spans="1:5" x14ac:dyDescent="0.25">
      <c r="A58" s="1118"/>
      <c r="C58" s="1119"/>
    </row>
    <row r="59" spans="1:5" x14ac:dyDescent="0.25">
      <c r="A59" s="1118"/>
      <c r="C59" s="1119"/>
    </row>
    <row r="60" spans="1:5" x14ac:dyDescent="0.25">
      <c r="A60" s="1118"/>
      <c r="C60" s="1119"/>
    </row>
    <row r="61" spans="1:5" x14ac:dyDescent="0.25">
      <c r="A61" s="1118"/>
      <c r="C61" s="1119"/>
    </row>
    <row r="62" spans="1:5" x14ac:dyDescent="0.25">
      <c r="A62" s="1118"/>
      <c r="C62" s="1119"/>
    </row>
    <row r="63" spans="1:5" x14ac:dyDescent="0.25">
      <c r="A63" s="1118"/>
      <c r="C63" s="1119"/>
    </row>
    <row r="64" spans="1:5" x14ac:dyDescent="0.25">
      <c r="A64" s="1118"/>
      <c r="C64" s="1119"/>
    </row>
    <row r="65" spans="1:3" x14ac:dyDescent="0.25">
      <c r="A65" s="1118"/>
      <c r="C65" s="1119"/>
    </row>
    <row r="66" spans="1:3" x14ac:dyDescent="0.25">
      <c r="C66" s="1119"/>
    </row>
    <row r="67" spans="1:3" x14ac:dyDescent="0.25">
      <c r="C67" s="1119"/>
    </row>
    <row r="68" spans="1:3" x14ac:dyDescent="0.25">
      <c r="C68" s="1119"/>
    </row>
    <row r="69" spans="1:3" x14ac:dyDescent="0.25">
      <c r="C69" s="1119"/>
    </row>
    <row r="70" spans="1:3" x14ac:dyDescent="0.25">
      <c r="C70" s="1119"/>
    </row>
    <row r="71" spans="1:3" x14ac:dyDescent="0.25">
      <c r="C71" s="1119"/>
    </row>
    <row r="72" spans="1:3" x14ac:dyDescent="0.25">
      <c r="C72" s="1119"/>
    </row>
    <row r="73" spans="1:3" x14ac:dyDescent="0.25">
      <c r="C73" s="1119"/>
    </row>
    <row r="74" spans="1:3" x14ac:dyDescent="0.25">
      <c r="C74" s="1119"/>
    </row>
    <row r="75" spans="1:3" x14ac:dyDescent="0.25">
      <c r="C75" s="1119"/>
    </row>
  </sheetData>
  <phoneticPr fontId="10" type="noConversion"/>
  <pageMargins left="0.75" right="0.75" top="1" bottom="1" header="0.5" footer="0.5"/>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topLeftCell="A16" workbookViewId="0">
      <selection activeCell="E52" sqref="E52"/>
    </sheetView>
  </sheetViews>
  <sheetFormatPr defaultColWidth="10.6640625" defaultRowHeight="13.2" x14ac:dyDescent="0.25"/>
  <cols>
    <col min="1" max="1" width="18.44140625" style="398" customWidth="1"/>
    <col min="2" max="5" width="16.88671875" style="398" customWidth="1"/>
    <col min="6" max="16384" width="10.6640625" style="398"/>
  </cols>
  <sheetData>
    <row r="1" spans="1:6" ht="22.8" x14ac:dyDescent="0.25">
      <c r="A1" s="400"/>
      <c r="B1" s="401"/>
      <c r="C1" s="401"/>
      <c r="D1" s="425"/>
      <c r="E1" s="426"/>
    </row>
    <row r="2" spans="1:6" ht="33.75" customHeight="1" x14ac:dyDescent="0.25">
      <c r="B2" s="401"/>
      <c r="D2" s="427"/>
      <c r="E2" s="427"/>
      <c r="F2" s="427"/>
    </row>
    <row r="3" spans="1:6" ht="21" x14ac:dyDescent="0.4">
      <c r="A3" s="402" t="s">
        <v>653</v>
      </c>
    </row>
    <row r="4" spans="1:6" ht="21" x14ac:dyDescent="0.4">
      <c r="A4" s="404" t="s">
        <v>231</v>
      </c>
      <c r="B4" s="401"/>
      <c r="C4" s="403" t="s">
        <v>648</v>
      </c>
    </row>
    <row r="5" spans="1:6" ht="20.399999999999999" x14ac:dyDescent="0.35">
      <c r="A5" s="428" t="s">
        <v>357</v>
      </c>
      <c r="D5" s="403"/>
      <c r="E5" s="403"/>
      <c r="F5" s="403"/>
    </row>
    <row r="6" spans="1:6" x14ac:dyDescent="0.25">
      <c r="A6" s="407"/>
      <c r="B6" s="407"/>
      <c r="C6" s="407"/>
      <c r="D6" s="407"/>
      <c r="E6" s="407"/>
    </row>
    <row r="7" spans="1:6" x14ac:dyDescent="0.25">
      <c r="A7" s="408"/>
      <c r="B7" s="408" t="s">
        <v>592</v>
      </c>
      <c r="C7" s="408" t="s">
        <v>593</v>
      </c>
      <c r="D7" s="408" t="s">
        <v>593</v>
      </c>
      <c r="E7" s="408" t="s">
        <v>618</v>
      </c>
    </row>
    <row r="8" spans="1:6" x14ac:dyDescent="0.25">
      <c r="A8" s="408" t="s">
        <v>313</v>
      </c>
      <c r="B8" s="408" t="s">
        <v>654</v>
      </c>
      <c r="C8" s="408" t="s">
        <v>655</v>
      </c>
      <c r="D8" s="408" t="s">
        <v>584</v>
      </c>
      <c r="E8" s="408" t="s">
        <v>585</v>
      </c>
    </row>
    <row r="9" spans="1:6" x14ac:dyDescent="0.25">
      <c r="A9" s="409" t="s">
        <v>579</v>
      </c>
      <c r="B9" s="409" t="s">
        <v>194</v>
      </c>
      <c r="C9" s="409" t="s">
        <v>194</v>
      </c>
      <c r="D9" s="409" t="s">
        <v>194</v>
      </c>
      <c r="E9" s="409" t="s">
        <v>586</v>
      </c>
    </row>
    <row r="10" spans="1:6" x14ac:dyDescent="0.25">
      <c r="A10" s="408"/>
      <c r="B10" s="408"/>
      <c r="C10" s="408"/>
      <c r="D10" s="408"/>
      <c r="E10" s="408"/>
    </row>
    <row r="11" spans="1:6" x14ac:dyDescent="0.25">
      <c r="A11" s="635">
        <v>34669</v>
      </c>
      <c r="B11" s="636">
        <v>7.55</v>
      </c>
      <c r="C11" s="418">
        <v>0.59809000000000001</v>
      </c>
      <c r="D11" s="418">
        <v>0.53286</v>
      </c>
      <c r="E11" s="418">
        <v>0.49679000000000001</v>
      </c>
    </row>
    <row r="12" spans="1:6" x14ac:dyDescent="0.25">
      <c r="A12" s="635">
        <v>35034</v>
      </c>
      <c r="B12" s="636">
        <v>7.37</v>
      </c>
      <c r="C12" s="418">
        <v>0.57642000000000004</v>
      </c>
      <c r="D12" s="418">
        <v>0.51119000000000003</v>
      </c>
      <c r="E12" s="418">
        <v>0.47511999999999999</v>
      </c>
    </row>
    <row r="13" spans="1:6" x14ac:dyDescent="0.25">
      <c r="A13" s="635">
        <v>35096</v>
      </c>
      <c r="B13" s="636">
        <v>7.39</v>
      </c>
      <c r="C13" s="418">
        <v>0.57837000000000005</v>
      </c>
      <c r="D13" s="418">
        <v>0.51314000000000004</v>
      </c>
      <c r="E13" s="418">
        <v>0.47706999999999999</v>
      </c>
    </row>
    <row r="14" spans="1:6" x14ac:dyDescent="0.25">
      <c r="A14" s="635">
        <v>35400</v>
      </c>
      <c r="B14" s="636">
        <v>7.23</v>
      </c>
      <c r="C14" s="418">
        <v>0.55854999999999999</v>
      </c>
      <c r="D14" s="418">
        <v>0.49331999999999998</v>
      </c>
      <c r="E14" s="418">
        <v>0.45724999999999999</v>
      </c>
    </row>
    <row r="15" spans="1:6" x14ac:dyDescent="0.25">
      <c r="A15" s="407"/>
      <c r="B15" s="407"/>
      <c r="C15" s="407"/>
      <c r="D15" s="407"/>
      <c r="E15" s="407"/>
    </row>
    <row r="16" spans="1:6" x14ac:dyDescent="0.25">
      <c r="A16" s="408"/>
      <c r="B16" s="408"/>
      <c r="C16" s="408" t="s">
        <v>592</v>
      </c>
      <c r="D16" s="408" t="s">
        <v>593</v>
      </c>
      <c r="E16" s="408" t="s">
        <v>618</v>
      </c>
    </row>
    <row r="17" spans="1:5" x14ac:dyDescent="0.25">
      <c r="A17" s="408" t="s">
        <v>313</v>
      </c>
      <c r="B17" s="408" t="s">
        <v>293</v>
      </c>
      <c r="C17" s="408">
        <v>300</v>
      </c>
      <c r="D17" s="408" t="s">
        <v>584</v>
      </c>
      <c r="E17" s="408" t="s">
        <v>585</v>
      </c>
    </row>
    <row r="18" spans="1:5" x14ac:dyDescent="0.25">
      <c r="A18" s="409" t="s">
        <v>579</v>
      </c>
      <c r="B18" s="409" t="s">
        <v>198</v>
      </c>
      <c r="C18" s="409" t="s">
        <v>194</v>
      </c>
      <c r="D18" s="409" t="s">
        <v>194</v>
      </c>
      <c r="E18" s="409" t="s">
        <v>586</v>
      </c>
    </row>
    <row r="19" spans="1:5" x14ac:dyDescent="0.25">
      <c r="A19" s="407"/>
      <c r="B19" s="407"/>
      <c r="C19" s="407"/>
      <c r="D19" s="407"/>
      <c r="E19" s="407"/>
    </row>
    <row r="20" spans="1:5" x14ac:dyDescent="0.25">
      <c r="A20" s="635">
        <v>35731</v>
      </c>
      <c r="B20" s="636">
        <v>6</v>
      </c>
      <c r="C20" s="418">
        <v>0.56327000000000005</v>
      </c>
      <c r="D20" s="418">
        <v>0.49713000000000002</v>
      </c>
      <c r="E20" s="418">
        <v>0.46055000000000001</v>
      </c>
    </row>
    <row r="21" spans="1:5" x14ac:dyDescent="0.25">
      <c r="A21" s="635">
        <v>35765</v>
      </c>
      <c r="B21" s="636">
        <v>6</v>
      </c>
      <c r="C21" s="418">
        <v>0.60946999999999996</v>
      </c>
      <c r="D21" s="418">
        <v>0.54332999999999998</v>
      </c>
      <c r="E21" s="418">
        <v>0.50675000000000003</v>
      </c>
    </row>
    <row r="22" spans="1:5" x14ac:dyDescent="0.25">
      <c r="A22" s="635">
        <v>36130</v>
      </c>
      <c r="B22" s="636">
        <v>8</v>
      </c>
      <c r="C22" s="418">
        <v>0.60924999999999996</v>
      </c>
      <c r="D22" s="418">
        <v>0.54310999999999998</v>
      </c>
      <c r="E22" s="418">
        <v>0.50202999999999998</v>
      </c>
    </row>
    <row r="23" spans="1:5" x14ac:dyDescent="0.25">
      <c r="A23" s="635">
        <v>36495</v>
      </c>
      <c r="B23" s="636">
        <v>10</v>
      </c>
      <c r="C23" s="418">
        <v>0.64468000000000003</v>
      </c>
      <c r="D23" s="418">
        <v>0.57854000000000005</v>
      </c>
      <c r="E23" s="418">
        <v>0.53746000000000005</v>
      </c>
    </row>
    <row r="24" spans="1:5" x14ac:dyDescent="0.25">
      <c r="A24" s="635">
        <v>36739</v>
      </c>
      <c r="B24" s="636">
        <v>10</v>
      </c>
      <c r="C24" s="418">
        <v>0.78488000000000002</v>
      </c>
      <c r="D24" s="418">
        <v>0.71874000000000005</v>
      </c>
      <c r="E24" s="418">
        <v>0.67766000000000004</v>
      </c>
    </row>
    <row r="25" spans="1:5" x14ac:dyDescent="0.25">
      <c r="A25" s="635">
        <v>36831</v>
      </c>
      <c r="B25" s="636">
        <v>10</v>
      </c>
      <c r="C25" s="418">
        <v>0.84038999999999997</v>
      </c>
      <c r="D25" s="418">
        <v>0.77424999999999999</v>
      </c>
      <c r="E25" s="418">
        <v>0.73316999999999999</v>
      </c>
    </row>
    <row r="26" spans="1:5" x14ac:dyDescent="0.25">
      <c r="A26" s="635">
        <v>37165</v>
      </c>
      <c r="B26" s="636">
        <v>10.5</v>
      </c>
      <c r="C26" s="418">
        <v>1.0331399999999999</v>
      </c>
      <c r="D26" s="418">
        <v>0.96618999999999999</v>
      </c>
      <c r="E26" s="418">
        <v>0.92459999999999998</v>
      </c>
    </row>
    <row r="27" spans="1:5" x14ac:dyDescent="0.25">
      <c r="A27" s="635">
        <v>37530</v>
      </c>
      <c r="B27" s="636">
        <v>10.5</v>
      </c>
      <c r="C27" s="418">
        <v>0.89668000000000003</v>
      </c>
      <c r="D27" s="418">
        <v>0.82972999999999997</v>
      </c>
      <c r="E27" s="418">
        <v>0.78813999999999995</v>
      </c>
    </row>
    <row r="28" spans="1:5" x14ac:dyDescent="0.25">
      <c r="A28" s="635">
        <v>37895</v>
      </c>
      <c r="B28" s="636">
        <v>10.5</v>
      </c>
      <c r="C28" s="418">
        <v>0.93801000000000001</v>
      </c>
      <c r="D28" s="418">
        <v>0.87105999999999995</v>
      </c>
      <c r="E28" s="418">
        <v>0.82947000000000004</v>
      </c>
    </row>
    <row r="30" spans="1:5" s="1" customFormat="1" x14ac:dyDescent="0.25">
      <c r="A30" s="341" t="s">
        <v>571</v>
      </c>
      <c r="B30" s="342" t="s">
        <v>280</v>
      </c>
      <c r="C30" s="343" t="s">
        <v>281</v>
      </c>
      <c r="D30" s="247"/>
      <c r="E30" s="247"/>
    </row>
    <row r="31" spans="1:5" s="1" customFormat="1" x14ac:dyDescent="0.25">
      <c r="A31" s="635">
        <v>38169</v>
      </c>
      <c r="B31" s="138">
        <v>10.5</v>
      </c>
      <c r="C31" s="247">
        <v>0.95789000000000013</v>
      </c>
      <c r="D31" s="247"/>
      <c r="E31" s="247"/>
    </row>
    <row r="32" spans="1:5" s="1" customFormat="1" x14ac:dyDescent="0.25">
      <c r="A32" s="635">
        <v>38292</v>
      </c>
      <c r="B32" s="138">
        <v>10.5</v>
      </c>
      <c r="C32" s="247">
        <v>1.0865901337103838</v>
      </c>
      <c r="D32" s="247"/>
      <c r="E32" s="247"/>
    </row>
    <row r="33" spans="1:3" x14ac:dyDescent="0.25">
      <c r="A33" s="635">
        <v>38626</v>
      </c>
      <c r="B33" s="138">
        <v>10.5</v>
      </c>
      <c r="C33" s="247">
        <v>1.2446759350567713</v>
      </c>
    </row>
    <row r="34" spans="1:3" x14ac:dyDescent="0.25">
      <c r="A34" s="635">
        <v>39022</v>
      </c>
      <c r="B34" s="138">
        <v>10.5</v>
      </c>
      <c r="C34" s="247">
        <v>1.29678</v>
      </c>
    </row>
    <row r="35" spans="1:3" x14ac:dyDescent="0.25">
      <c r="A35" s="635">
        <v>39387</v>
      </c>
      <c r="B35" s="138">
        <v>10.5</v>
      </c>
      <c r="C35" s="247">
        <v>1.25386</v>
      </c>
    </row>
    <row r="36" spans="1:3" x14ac:dyDescent="0.25">
      <c r="A36" s="635">
        <v>39753</v>
      </c>
      <c r="B36" s="138">
        <v>10.5</v>
      </c>
      <c r="C36" s="247">
        <v>1.3965099999999999</v>
      </c>
    </row>
    <row r="37" spans="1:3" x14ac:dyDescent="0.25">
      <c r="A37" s="635">
        <f>+'Index &amp; Documentation'!D1</f>
        <v>39814</v>
      </c>
      <c r="B37" s="138">
        <v>15</v>
      </c>
      <c r="C37" s="247">
        <v>1.1366499999999999</v>
      </c>
    </row>
    <row r="38" spans="1:3" x14ac:dyDescent="0.25">
      <c r="A38" s="1121">
        <v>40118</v>
      </c>
      <c r="B38" s="1119">
        <v>15</v>
      </c>
      <c r="C38" s="1120">
        <v>1.1366499999999999</v>
      </c>
    </row>
    <row r="39" spans="1:3" x14ac:dyDescent="0.25">
      <c r="A39" s="1312">
        <v>40483</v>
      </c>
      <c r="B39" s="1311">
        <v>15</v>
      </c>
      <c r="C39" s="423">
        <v>1.0801499999999999</v>
      </c>
    </row>
    <row r="40" spans="1:3" x14ac:dyDescent="0.25">
      <c r="A40" s="1312">
        <v>40848</v>
      </c>
      <c r="B40" s="1311">
        <v>15</v>
      </c>
      <c r="C40" s="423">
        <v>1.0494699999999999</v>
      </c>
    </row>
    <row r="41" spans="1:3" x14ac:dyDescent="0.25">
      <c r="A41" s="1312">
        <v>41579</v>
      </c>
      <c r="B41" s="1311">
        <v>15</v>
      </c>
      <c r="C41" s="423">
        <v>0.94755999999999996</v>
      </c>
    </row>
    <row r="42" spans="1:3" x14ac:dyDescent="0.25">
      <c r="A42" s="1121">
        <f>+EFFDATE</f>
        <v>43770</v>
      </c>
      <c r="B42" s="1119">
        <v>15</v>
      </c>
      <c r="C42" s="1120">
        <v>0.97204000000000013</v>
      </c>
    </row>
    <row r="43" spans="1:3" x14ac:dyDescent="0.25">
      <c r="A43" s="1121">
        <v>42675</v>
      </c>
      <c r="B43" s="1119">
        <v>15</v>
      </c>
      <c r="C43" s="1120">
        <v>0.83617000000000008</v>
      </c>
    </row>
    <row r="44" spans="1:3" x14ac:dyDescent="0.25">
      <c r="A44" s="1121">
        <v>43040</v>
      </c>
      <c r="B44" s="1119">
        <v>15</v>
      </c>
      <c r="C44" s="1120">
        <v>0.81054000000000015</v>
      </c>
    </row>
    <row r="45" spans="1:3" x14ac:dyDescent="0.25">
      <c r="A45" s="1121">
        <v>43405</v>
      </c>
      <c r="B45" s="1119">
        <v>15</v>
      </c>
      <c r="C45" s="1120">
        <v>0.75344000000000011</v>
      </c>
    </row>
    <row r="46" spans="1:3" x14ac:dyDescent="0.25">
      <c r="A46" s="1121">
        <f>+EFFDATE</f>
        <v>43770</v>
      </c>
      <c r="B46" s="1119">
        <v>15</v>
      </c>
      <c r="C46" s="1120">
        <f>'Rates in detail'!$AI$16</f>
        <v>0.73239000000000032</v>
      </c>
    </row>
    <row r="47" spans="1:3" x14ac:dyDescent="0.25">
      <c r="B47" s="1119"/>
    </row>
    <row r="48" spans="1:3" x14ac:dyDescent="0.25">
      <c r="B48" s="1119"/>
    </row>
    <row r="49" spans="2:2" x14ac:dyDescent="0.25">
      <c r="B49" s="1119"/>
    </row>
    <row r="50" spans="2:2" x14ac:dyDescent="0.25">
      <c r="B50" s="1119"/>
    </row>
    <row r="51" spans="2:2" x14ac:dyDescent="0.25">
      <c r="B51" s="1119"/>
    </row>
    <row r="52" spans="2:2" x14ac:dyDescent="0.25">
      <c r="B52" s="1119"/>
    </row>
    <row r="53" spans="2:2" x14ac:dyDescent="0.25">
      <c r="B53" s="1119"/>
    </row>
    <row r="54" spans="2:2" x14ac:dyDescent="0.25">
      <c r="B54" s="1119"/>
    </row>
    <row r="55" spans="2:2" x14ac:dyDescent="0.25">
      <c r="B55" s="1119"/>
    </row>
    <row r="56" spans="2:2" x14ac:dyDescent="0.25">
      <c r="B56" s="1119"/>
    </row>
    <row r="57" spans="2:2" x14ac:dyDescent="0.25">
      <c r="B57" s="1119"/>
    </row>
    <row r="58" spans="2:2" x14ac:dyDescent="0.25">
      <c r="B58" s="1119"/>
    </row>
    <row r="59" spans="2:2" x14ac:dyDescent="0.25">
      <c r="B59" s="1119"/>
    </row>
    <row r="60" spans="2:2" x14ac:dyDescent="0.25">
      <c r="B60" s="1119"/>
    </row>
    <row r="61" spans="2:2" x14ac:dyDescent="0.25">
      <c r="B61" s="1119"/>
    </row>
    <row r="62" spans="2:2" x14ac:dyDescent="0.25">
      <c r="B62" s="1119"/>
    </row>
    <row r="63" spans="2:2" x14ac:dyDescent="0.25">
      <c r="B63" s="1119"/>
    </row>
  </sheetData>
  <phoneticPr fontId="10"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AG94"/>
  <sheetViews>
    <sheetView showGridLines="0" zoomScaleNormal="100" zoomScaleSheetLayoutView="100" workbookViewId="0">
      <pane xSplit="3" ySplit="12" topLeftCell="D13" activePane="bottomRight" state="frozen"/>
      <selection activeCell="E2" sqref="E2"/>
      <selection pane="topRight" activeCell="E2" sqref="E2"/>
      <selection pane="bottomLeft" activeCell="E2" sqref="E2"/>
      <selection pane="bottomRight" activeCell="E2" sqref="E2"/>
    </sheetView>
  </sheetViews>
  <sheetFormatPr defaultColWidth="9.33203125" defaultRowHeight="13.2" outlineLevelCol="1" x14ac:dyDescent="0.25"/>
  <cols>
    <col min="1" max="1" width="6.88671875" style="437" customWidth="1"/>
    <col min="2" max="2" width="17.88671875" style="436" customWidth="1"/>
    <col min="3" max="3" width="9.33203125" style="436"/>
    <col min="4" max="4" width="16.44140625" style="436" bestFit="1" customWidth="1"/>
    <col min="5" max="5" width="13.33203125" style="436" customWidth="1"/>
    <col min="6" max="6" width="13.6640625" style="436" customWidth="1"/>
    <col min="7" max="7" width="12.88671875" style="436" customWidth="1"/>
    <col min="8" max="8" width="11.88671875" style="436" customWidth="1"/>
    <col min="9" max="9" width="14.88671875" style="436" customWidth="1"/>
    <col min="10" max="11" width="16" style="436" customWidth="1" outlineLevel="1"/>
    <col min="12" max="12" width="17.6640625" style="436" customWidth="1" outlineLevel="1"/>
    <col min="13" max="14" width="14.88671875" style="436" customWidth="1" outlineLevel="1"/>
    <col min="15" max="15" width="15.44140625" style="436" customWidth="1" outlineLevel="1"/>
    <col min="16" max="16" width="15.44140625" style="653" customWidth="1" outlineLevel="1"/>
    <col min="17" max="18" width="15.44140625" style="436" customWidth="1" outlineLevel="1"/>
    <col min="19" max="19" width="12.44140625" style="653" customWidth="1" outlineLevel="1" collapsed="1"/>
    <col min="20" max="20" width="14.44140625" style="653" customWidth="1" outlineLevel="1"/>
    <col min="21" max="21" width="16.6640625" style="436" customWidth="1" outlineLevel="1"/>
    <col min="22" max="22" width="11.88671875" style="436" customWidth="1"/>
    <col min="23" max="23" width="14.88671875" style="436" customWidth="1"/>
    <col min="24" max="24" width="15.88671875" style="436" customWidth="1"/>
    <col min="25" max="25" width="22.88671875" style="437" customWidth="1"/>
    <col min="26" max="28" width="16.33203125" style="436" customWidth="1"/>
    <col min="29" max="29" width="10.33203125" style="437" bestFit="1" customWidth="1"/>
    <col min="30" max="30" width="15.33203125" style="1740" customWidth="1"/>
    <col min="31" max="31" width="15.33203125" style="1734" customWidth="1"/>
    <col min="32" max="32" width="10.88671875" style="1737" bestFit="1" customWidth="1"/>
    <col min="33" max="33" width="12" style="1737" customWidth="1"/>
    <col min="34" max="16384" width="9.33203125" style="437"/>
  </cols>
  <sheetData>
    <row r="1" spans="1:33" ht="13.8" x14ac:dyDescent="0.25">
      <c r="A1" s="435" t="str">
        <f>+'Washington volumes'!A1</f>
        <v>NW Natural</v>
      </c>
    </row>
    <row r="2" spans="1:33" ht="13.8" x14ac:dyDescent="0.25">
      <c r="A2" s="435" t="str">
        <f>+'Washington volumes'!A2</f>
        <v>Rates &amp; Regulatory Affairs</v>
      </c>
      <c r="K2" s="528"/>
      <c r="U2" s="515"/>
    </row>
    <row r="3" spans="1:33" ht="13.8" x14ac:dyDescent="0.25">
      <c r="A3" s="435" t="str">
        <f>+'Washington volumes'!A3</f>
        <v>2019-2020 PGA Filing - Washington: September Filing</v>
      </c>
      <c r="I3" s="515"/>
      <c r="J3" s="1623"/>
      <c r="K3" s="1624"/>
      <c r="L3" s="1624"/>
      <c r="M3" s="1624"/>
      <c r="N3" s="1624"/>
      <c r="O3" s="1624"/>
      <c r="P3" s="1624"/>
      <c r="Q3" s="1624"/>
      <c r="R3" s="1624"/>
      <c r="S3" s="1624"/>
      <c r="T3" s="1624"/>
      <c r="U3" s="1624"/>
      <c r="V3" s="1624"/>
      <c r="W3" s="1624"/>
      <c r="X3" s="1624"/>
    </row>
    <row r="4" spans="1:33" ht="13.8" x14ac:dyDescent="0.25">
      <c r="A4" s="435" t="s">
        <v>643</v>
      </c>
      <c r="J4" s="1623"/>
      <c r="K4" s="1624"/>
      <c r="L4" s="1624"/>
      <c r="M4" s="653"/>
      <c r="N4" s="1624"/>
      <c r="O4" s="653"/>
      <c r="Q4" s="653"/>
      <c r="R4" s="653"/>
      <c r="T4" s="1624"/>
      <c r="U4" s="653"/>
      <c r="V4" s="653"/>
      <c r="W4" s="1624"/>
      <c r="X4" s="1624"/>
    </row>
    <row r="5" spans="1:33" ht="13.8" x14ac:dyDescent="0.25">
      <c r="A5" s="1575" t="s">
        <v>216</v>
      </c>
      <c r="G5" s="1574"/>
      <c r="H5" s="1574"/>
      <c r="I5" s="1574"/>
      <c r="J5" s="1626"/>
      <c r="K5" s="1604"/>
      <c r="L5" s="1604"/>
      <c r="M5" s="1604"/>
      <c r="N5" s="1604"/>
      <c r="O5" s="1604"/>
      <c r="P5" s="1663"/>
      <c r="Q5" s="1604"/>
      <c r="R5" s="1604"/>
      <c r="S5" s="1663"/>
      <c r="T5" s="1753"/>
      <c r="U5" s="1604"/>
      <c r="V5" s="1604"/>
      <c r="W5" s="1624"/>
      <c r="X5" s="1626"/>
      <c r="Y5" s="544"/>
      <c r="Z5" s="1483" t="s">
        <v>1124</v>
      </c>
      <c r="AA5" s="1483"/>
      <c r="AB5" s="1483"/>
    </row>
    <row r="6" spans="1:33" s="544" customFormat="1" ht="14.4" thickBot="1" x14ac:dyDescent="0.3">
      <c r="B6" s="545"/>
      <c r="C6" s="545"/>
      <c r="D6" s="545"/>
      <c r="E6" s="545"/>
      <c r="F6" s="545"/>
      <c r="G6" s="545"/>
      <c r="H6" s="545"/>
      <c r="K6" s="1604"/>
      <c r="L6" s="1604"/>
      <c r="M6" s="1604"/>
      <c r="N6" s="1604"/>
      <c r="O6" s="1604"/>
      <c r="P6" s="1663"/>
      <c r="Q6" s="1604"/>
      <c r="R6" s="1604"/>
      <c r="S6" s="1663"/>
      <c r="T6" s="1753"/>
      <c r="U6" s="1604"/>
      <c r="V6" s="1604"/>
      <c r="W6" s="1604"/>
      <c r="AD6" s="1741"/>
      <c r="AE6" s="1735"/>
      <c r="AF6" s="1738"/>
      <c r="AG6" s="1738"/>
    </row>
    <row r="7" spans="1:33" x14ac:dyDescent="0.25">
      <c r="A7" s="479">
        <v>1</v>
      </c>
      <c r="D7" s="469" t="s">
        <v>181</v>
      </c>
      <c r="F7" s="546" t="s">
        <v>215</v>
      </c>
      <c r="H7" s="469" t="s">
        <v>31</v>
      </c>
      <c r="I7" s="546"/>
      <c r="J7" s="546" t="s">
        <v>37</v>
      </c>
      <c r="K7" s="546" t="s">
        <v>37</v>
      </c>
      <c r="L7" s="1486" t="s">
        <v>37</v>
      </c>
      <c r="M7" s="546" t="s">
        <v>37</v>
      </c>
      <c r="N7" s="546" t="s">
        <v>37</v>
      </c>
      <c r="O7" s="1486" t="s">
        <v>37</v>
      </c>
      <c r="P7" s="1664" t="s">
        <v>37</v>
      </c>
      <c r="Q7" s="546" t="s">
        <v>37</v>
      </c>
      <c r="R7" s="1486" t="s">
        <v>37</v>
      </c>
      <c r="S7" s="1664" t="s">
        <v>37</v>
      </c>
      <c r="T7" s="1664" t="s">
        <v>37</v>
      </c>
      <c r="U7" s="1486" t="s">
        <v>37</v>
      </c>
      <c r="V7" s="469" t="s">
        <v>37</v>
      </c>
      <c r="W7" s="469" t="s">
        <v>37</v>
      </c>
      <c r="X7" s="547" t="s">
        <v>37</v>
      </c>
      <c r="Z7" s="469" t="s">
        <v>37</v>
      </c>
      <c r="AA7" s="469" t="s">
        <v>37</v>
      </c>
      <c r="AB7" s="547" t="s">
        <v>37</v>
      </c>
    </row>
    <row r="8" spans="1:33" x14ac:dyDescent="0.25">
      <c r="A8" s="479">
        <f t="shared" ref="A8:A73" si="0">+A7+1</f>
        <v>2</v>
      </c>
      <c r="D8" s="469" t="s">
        <v>213</v>
      </c>
      <c r="E8" s="546"/>
      <c r="F8" s="546" t="s">
        <v>194</v>
      </c>
      <c r="G8" s="469" t="s">
        <v>196</v>
      </c>
      <c r="H8" s="1616">
        <v>43405</v>
      </c>
      <c r="I8" s="546">
        <f>+H8</f>
        <v>43405</v>
      </c>
      <c r="J8" s="546">
        <f t="shared" ref="J8:U8" si="1">$V$8</f>
        <v>43770</v>
      </c>
      <c r="K8" s="546">
        <f t="shared" si="1"/>
        <v>43770</v>
      </c>
      <c r="L8" s="548">
        <f t="shared" si="1"/>
        <v>43770</v>
      </c>
      <c r="M8" s="546">
        <f t="shared" si="1"/>
        <v>43770</v>
      </c>
      <c r="N8" s="546">
        <f t="shared" si="1"/>
        <v>43770</v>
      </c>
      <c r="O8" s="548">
        <f t="shared" si="1"/>
        <v>43770</v>
      </c>
      <c r="P8" s="1664">
        <f t="shared" si="1"/>
        <v>43770</v>
      </c>
      <c r="Q8" s="546">
        <f t="shared" si="1"/>
        <v>43770</v>
      </c>
      <c r="R8" s="548">
        <f t="shared" si="1"/>
        <v>43770</v>
      </c>
      <c r="S8" s="1664">
        <f t="shared" si="1"/>
        <v>43770</v>
      </c>
      <c r="T8" s="1664">
        <f t="shared" si="1"/>
        <v>43770</v>
      </c>
      <c r="U8" s="548">
        <f t="shared" si="1"/>
        <v>43770</v>
      </c>
      <c r="V8" s="546">
        <f>+EFFDATE</f>
        <v>43770</v>
      </c>
      <c r="W8" s="546">
        <f>+V8</f>
        <v>43770</v>
      </c>
      <c r="X8" s="548">
        <f>+W8</f>
        <v>43770</v>
      </c>
      <c r="Z8" s="546">
        <f>+X8</f>
        <v>43770</v>
      </c>
      <c r="AA8" s="546">
        <f>+Z8</f>
        <v>43770</v>
      </c>
      <c r="AB8" s="548">
        <f>+AA8</f>
        <v>43770</v>
      </c>
    </row>
    <row r="9" spans="1:33" x14ac:dyDescent="0.25">
      <c r="A9" s="479">
        <f t="shared" si="0"/>
        <v>3</v>
      </c>
      <c r="D9" s="469" t="s">
        <v>71</v>
      </c>
      <c r="E9" s="469" t="s">
        <v>193</v>
      </c>
      <c r="F9" s="469" t="s">
        <v>197</v>
      </c>
      <c r="G9" s="469" t="s">
        <v>197</v>
      </c>
      <c r="H9" s="469" t="s">
        <v>28</v>
      </c>
      <c r="I9" s="469" t="s">
        <v>31</v>
      </c>
      <c r="J9" s="469" t="s">
        <v>1130</v>
      </c>
      <c r="K9" s="469" t="s">
        <v>1130</v>
      </c>
      <c r="L9" s="549" t="s">
        <v>1130</v>
      </c>
      <c r="M9" s="469" t="s">
        <v>1135</v>
      </c>
      <c r="N9" s="469" t="s">
        <v>1135</v>
      </c>
      <c r="O9" s="549" t="s">
        <v>1135</v>
      </c>
      <c r="P9" s="1665" t="s">
        <v>1162</v>
      </c>
      <c r="Q9" s="469" t="s">
        <v>1162</v>
      </c>
      <c r="R9" s="549" t="s">
        <v>1162</v>
      </c>
      <c r="S9" s="1665" t="s">
        <v>192</v>
      </c>
      <c r="T9" s="1665" t="s">
        <v>192</v>
      </c>
      <c r="U9" s="549" t="s">
        <v>192</v>
      </c>
      <c r="V9" s="469" t="s">
        <v>59</v>
      </c>
      <c r="W9" s="469" t="s">
        <v>59</v>
      </c>
      <c r="X9" s="549" t="s">
        <v>59</v>
      </c>
      <c r="Z9" s="469" t="s">
        <v>1108</v>
      </c>
      <c r="AA9" s="469" t="str">
        <f>+Z9</f>
        <v>R&amp;C EE Total</v>
      </c>
      <c r="AB9" s="549" t="str">
        <f>+AA9</f>
        <v>R&amp;C EE Total</v>
      </c>
    </row>
    <row r="10" spans="1:33" s="442" customFormat="1" ht="13.8" thickBot="1" x14ac:dyDescent="0.3">
      <c r="A10" s="479">
        <f t="shared" si="0"/>
        <v>4</v>
      </c>
      <c r="B10" s="436"/>
      <c r="C10" s="436"/>
      <c r="D10" s="488" t="s">
        <v>68</v>
      </c>
      <c r="E10" s="488" t="s">
        <v>3</v>
      </c>
      <c r="F10" s="488" t="s">
        <v>195</v>
      </c>
      <c r="G10" s="488" t="s">
        <v>198</v>
      </c>
      <c r="H10" s="488" t="s">
        <v>29</v>
      </c>
      <c r="I10" s="488" t="s">
        <v>199</v>
      </c>
      <c r="J10" s="536" t="s">
        <v>1120</v>
      </c>
      <c r="K10" s="488" t="s">
        <v>199</v>
      </c>
      <c r="L10" s="550" t="s">
        <v>200</v>
      </c>
      <c r="M10" s="536" t="s">
        <v>29</v>
      </c>
      <c r="N10" s="488" t="s">
        <v>199</v>
      </c>
      <c r="O10" s="550" t="s">
        <v>200</v>
      </c>
      <c r="P10" s="602" t="s">
        <v>29</v>
      </c>
      <c r="Q10" s="488" t="s">
        <v>199</v>
      </c>
      <c r="R10" s="550" t="s">
        <v>200</v>
      </c>
      <c r="S10" s="602" t="s">
        <v>29</v>
      </c>
      <c r="T10" s="1754" t="s">
        <v>199</v>
      </c>
      <c r="U10" s="550" t="s">
        <v>200</v>
      </c>
      <c r="V10" s="536" t="s">
        <v>29</v>
      </c>
      <c r="W10" s="488" t="s">
        <v>199</v>
      </c>
      <c r="X10" s="550" t="s">
        <v>200</v>
      </c>
      <c r="Z10" s="536" t="s">
        <v>1120</v>
      </c>
      <c r="AA10" s="488" t="s">
        <v>1119</v>
      </c>
      <c r="AB10" s="550" t="s">
        <v>200</v>
      </c>
      <c r="AD10" s="1742"/>
      <c r="AE10" s="1736"/>
      <c r="AF10" s="1739"/>
      <c r="AG10" s="1739"/>
    </row>
    <row r="11" spans="1:33" s="442" customFormat="1" x14ac:dyDescent="0.25">
      <c r="A11" s="479">
        <f t="shared" si="0"/>
        <v>5</v>
      </c>
      <c r="B11" s="436"/>
      <c r="C11" s="436"/>
      <c r="D11" s="443"/>
      <c r="E11" s="443"/>
      <c r="F11" s="443"/>
      <c r="G11" s="443"/>
      <c r="H11" s="443"/>
      <c r="I11" s="439" t="s">
        <v>206</v>
      </c>
      <c r="J11" s="1485"/>
      <c r="K11" s="654" t="s">
        <v>1123</v>
      </c>
      <c r="L11" s="1487"/>
      <c r="M11" s="654"/>
      <c r="N11" s="654" t="s">
        <v>1136</v>
      </c>
      <c r="O11" s="1661"/>
      <c r="P11" s="600"/>
      <c r="Q11" s="654" t="s">
        <v>1165</v>
      </c>
      <c r="R11" s="1659"/>
      <c r="S11" s="654"/>
      <c r="T11" s="1658" t="s">
        <v>1166</v>
      </c>
      <c r="V11" s="654"/>
      <c r="W11" s="654" t="s">
        <v>1167</v>
      </c>
      <c r="X11" s="1487" t="s">
        <v>1168</v>
      </c>
      <c r="Z11" s="439"/>
      <c r="AA11" s="439" t="s">
        <v>1126</v>
      </c>
      <c r="AB11" s="549" t="s">
        <v>1125</v>
      </c>
      <c r="AD11" s="1742"/>
      <c r="AE11" s="1736"/>
      <c r="AF11" s="1739"/>
      <c r="AG11" s="1739"/>
    </row>
    <row r="12" spans="1:33" s="442" customFormat="1" x14ac:dyDescent="0.25">
      <c r="A12" s="479">
        <f t="shared" si="0"/>
        <v>6</v>
      </c>
      <c r="B12" s="496" t="s">
        <v>2</v>
      </c>
      <c r="C12" s="445" t="s">
        <v>3</v>
      </c>
      <c r="D12" s="446" t="s">
        <v>77</v>
      </c>
      <c r="E12" s="446" t="s">
        <v>78</v>
      </c>
      <c r="F12" s="446" t="s">
        <v>16</v>
      </c>
      <c r="G12" s="446" t="s">
        <v>79</v>
      </c>
      <c r="H12" s="446" t="s">
        <v>80</v>
      </c>
      <c r="I12" s="446" t="s">
        <v>81</v>
      </c>
      <c r="J12" s="1059" t="s">
        <v>82</v>
      </c>
      <c r="K12" s="1059" t="s">
        <v>83</v>
      </c>
      <c r="L12" s="1488" t="s">
        <v>84</v>
      </c>
      <c r="M12" s="1059" t="s">
        <v>85</v>
      </c>
      <c r="N12" s="1059" t="s">
        <v>86</v>
      </c>
      <c r="O12" s="1488" t="s">
        <v>87</v>
      </c>
      <c r="P12" s="1059" t="s">
        <v>88</v>
      </c>
      <c r="Q12" s="1059" t="s">
        <v>89</v>
      </c>
      <c r="R12" s="1488" t="s">
        <v>90</v>
      </c>
      <c r="S12" s="1059" t="s">
        <v>182</v>
      </c>
      <c r="T12" s="1059" t="s">
        <v>820</v>
      </c>
      <c r="U12" s="1488" t="s">
        <v>708</v>
      </c>
      <c r="V12" s="1059" t="s">
        <v>1048</v>
      </c>
      <c r="W12" s="1059" t="s">
        <v>1049</v>
      </c>
      <c r="X12" s="1488" t="s">
        <v>1050</v>
      </c>
      <c r="Z12" s="446" t="s">
        <v>85</v>
      </c>
      <c r="AA12" s="446" t="s">
        <v>86</v>
      </c>
      <c r="AB12" s="551" t="s">
        <v>87</v>
      </c>
      <c r="AD12" s="1742"/>
      <c r="AE12" s="1736"/>
      <c r="AF12" s="1739"/>
      <c r="AG12" s="1739"/>
    </row>
    <row r="13" spans="1:33" x14ac:dyDescent="0.25">
      <c r="A13" s="479">
        <f t="shared" si="0"/>
        <v>7</v>
      </c>
      <c r="B13" s="450" t="s">
        <v>4</v>
      </c>
      <c r="C13" s="447"/>
      <c r="D13" s="500">
        <f>+'Washington volumes'!J13</f>
        <v>196915.9</v>
      </c>
      <c r="E13" s="552" t="s">
        <v>70</v>
      </c>
      <c r="F13" s="553">
        <f>+'Washington volumes'!M13</f>
        <v>19</v>
      </c>
      <c r="G13" s="1690">
        <v>3.47</v>
      </c>
      <c r="H13" s="1557">
        <f>+'Rates in summary'!D13</f>
        <v>1.0291799999999995</v>
      </c>
      <c r="I13" s="1051">
        <f>ROUND(+$G13+(H13*$F13),2)</f>
        <v>23.02</v>
      </c>
      <c r="J13" s="1557">
        <f>'Rates in summary'!D13+Temporaries!K13-Temporaries!AZ13</f>
        <v>1.0431799999999996</v>
      </c>
      <c r="K13" s="1051">
        <f>ROUND(G13+(F13*J13), 2)</f>
        <v>23.29</v>
      </c>
      <c r="L13" s="554">
        <f t="shared" ref="L13:L18" si="2">ROUND((K13-I13)/I13,3)</f>
        <v>1.2E-2</v>
      </c>
      <c r="M13" s="1557">
        <f>'Rates in summary'!D13+Temporaries!L13+Temporaries!V13-Temporaries!BA13</f>
        <v>1.0276299999999996</v>
      </c>
      <c r="N13" s="1051">
        <f t="shared" ref="N13:N18" si="3">ROUND(G13+(F13*M13),2)</f>
        <v>22.99</v>
      </c>
      <c r="O13" s="554">
        <f t="shared" ref="O13:O18" si="4">ROUND((N13-I13)/I13,3)</f>
        <v>-1E-3</v>
      </c>
      <c r="P13" s="1617">
        <f>'Rates in summary'!D13+Temporaries!W13-Temporaries!BC13</f>
        <v>1.0292099999999997</v>
      </c>
      <c r="Q13" s="1051">
        <f>G13+(F13*P13)</f>
        <v>23.024989999999995</v>
      </c>
      <c r="R13" s="554">
        <f>(Q13-I13)/I13</f>
        <v>2.1676802780173029E-4</v>
      </c>
      <c r="S13" s="1617">
        <f>'Rates in summary'!G13+'Rates in summary'!P13+Temporaries!J13</f>
        <v>1.0676399999999995</v>
      </c>
      <c r="T13" s="1061">
        <f>ROUND(G13+(F13*S13),2)</f>
        <v>23.76</v>
      </c>
      <c r="U13" s="554">
        <f>ROUND((T13-I13)/I13,3)</f>
        <v>3.2000000000000001E-2</v>
      </c>
      <c r="V13" s="1557">
        <f>+'Rates in summary'!Q13</f>
        <v>1.0801199999999995</v>
      </c>
      <c r="W13" s="1051">
        <f>ROUND(+$G13+(V13*$F13),2)</f>
        <v>23.99</v>
      </c>
      <c r="X13" s="554">
        <f>ROUND((W13-I13)/I13,3)</f>
        <v>4.2000000000000003E-2</v>
      </c>
      <c r="Y13" s="1463"/>
      <c r="Z13" s="448">
        <f>+'Rates in summary'!D13+Temporaries!K13-Temporaries!AZ13</f>
        <v>1.0431799999999996</v>
      </c>
      <c r="AA13" s="504">
        <f t="shared" ref="AA13:AA18" si="5">ROUND(+$G13+(Z13*$F13),2)</f>
        <v>23.29</v>
      </c>
      <c r="AB13" s="554">
        <f t="shared" ref="AB13:AB18" si="6">ROUND((AA13-I13)/I13,3)</f>
        <v>1.2E-2</v>
      </c>
    </row>
    <row r="14" spans="1:33" x14ac:dyDescent="0.25">
      <c r="A14" s="479">
        <f t="shared" si="0"/>
        <v>8</v>
      </c>
      <c r="B14" s="450" t="s">
        <v>5</v>
      </c>
      <c r="C14" s="447"/>
      <c r="D14" s="500">
        <f>+'Washington volumes'!J14</f>
        <v>41008.9</v>
      </c>
      <c r="E14" s="552" t="s">
        <v>70</v>
      </c>
      <c r="F14" s="553">
        <f>+'Washington volumes'!M14</f>
        <v>95</v>
      </c>
      <c r="G14" s="1690">
        <v>3.47</v>
      </c>
      <c r="H14" s="1557">
        <f>+'Rates in summary'!D14</f>
        <v>1.0187299999999995</v>
      </c>
      <c r="I14" s="1051">
        <f t="shared" ref="I14:I18" si="7">ROUND(+$G14+(H14*$F14),2)</f>
        <v>100.25</v>
      </c>
      <c r="J14" s="1557">
        <f>'Rates in summary'!D14+Temporaries!K14-Temporaries!AZ14</f>
        <v>1.0295499999999995</v>
      </c>
      <c r="K14" s="1051">
        <f t="shared" ref="K14:K18" si="8">ROUND(G14+(F14*J14), 2)</f>
        <v>101.28</v>
      </c>
      <c r="L14" s="554">
        <f t="shared" si="2"/>
        <v>0.01</v>
      </c>
      <c r="M14" s="1557">
        <f>'Rates in summary'!D14+Temporaries!L14+Temporaries!V14-Temporaries!BA14</f>
        <v>1.0172899999999996</v>
      </c>
      <c r="N14" s="1051">
        <f t="shared" si="3"/>
        <v>100.11</v>
      </c>
      <c r="O14" s="554">
        <f t="shared" si="4"/>
        <v>-1E-3</v>
      </c>
      <c r="P14" s="1617">
        <f>'Rates in summary'!D14+Temporaries!W14-Temporaries!BC14</f>
        <v>1.0187599999999994</v>
      </c>
      <c r="Q14" s="1051">
        <f t="shared" ref="Q14:Q18" si="9">G14+(F14*P14)</f>
        <v>100.25219999999995</v>
      </c>
      <c r="R14" s="554">
        <f t="shared" ref="R14:R77" si="10">(Q14-I14)/I14</f>
        <v>2.1945137156559948E-5</v>
      </c>
      <c r="S14" s="1617">
        <f>'Rates in summary'!G14+'Rates in summary'!P14+Temporaries!J14</f>
        <v>1.0571899999999994</v>
      </c>
      <c r="T14" s="1061">
        <f t="shared" ref="T14:T18" si="11">ROUND(G14+(F14*S14),2)</f>
        <v>103.9</v>
      </c>
      <c r="U14" s="554">
        <f t="shared" ref="U14:U77" si="12">ROUND((T14-I14)/I14,3)</f>
        <v>3.5999999999999997E-2</v>
      </c>
      <c r="V14" s="1557">
        <f>+'Rates in summary'!Q14</f>
        <v>1.0665999999999995</v>
      </c>
      <c r="W14" s="1051">
        <f t="shared" ref="W14:W18" si="13">ROUND(+$G14+(V14*$F14),2)</f>
        <v>104.8</v>
      </c>
      <c r="X14" s="554">
        <f t="shared" ref="X14:X18" si="14">ROUND((W14-I14)/I14,3)</f>
        <v>4.4999999999999998E-2</v>
      </c>
      <c r="Y14" s="1463"/>
      <c r="Z14" s="448">
        <f>+'Rates in summary'!D14+Temporaries!K14-Temporaries!AZ14</f>
        <v>1.0295499999999995</v>
      </c>
      <c r="AA14" s="504">
        <f t="shared" si="5"/>
        <v>101.28</v>
      </c>
      <c r="AB14" s="554">
        <f t="shared" si="6"/>
        <v>0.01</v>
      </c>
    </row>
    <row r="15" spans="1:33" x14ac:dyDescent="0.25">
      <c r="A15" s="479">
        <f t="shared" si="0"/>
        <v>9</v>
      </c>
      <c r="B15" s="450" t="s">
        <v>14</v>
      </c>
      <c r="C15" s="447"/>
      <c r="D15" s="500">
        <f>+'Washington volumes'!J15</f>
        <v>53306699.299999997</v>
      </c>
      <c r="E15" s="552" t="s">
        <v>70</v>
      </c>
      <c r="F15" s="553">
        <f>+'Washington volumes'!M15</f>
        <v>57</v>
      </c>
      <c r="G15" s="1690">
        <v>7</v>
      </c>
      <c r="H15" s="1557">
        <f>+'Rates in summary'!D15</f>
        <v>0.73545999999999978</v>
      </c>
      <c r="I15" s="1051">
        <f t="shared" si="7"/>
        <v>48.92</v>
      </c>
      <c r="J15" s="1557">
        <f>'Rates in summary'!D15+Temporaries!K15-Temporaries!AZ15</f>
        <v>0.74373999999999973</v>
      </c>
      <c r="K15" s="1051">
        <f t="shared" si="8"/>
        <v>49.39</v>
      </c>
      <c r="L15" s="554">
        <f t="shared" si="2"/>
        <v>0.01</v>
      </c>
      <c r="M15" s="1557">
        <f>'Rates in summary'!D15+Temporaries!L15+Temporaries!V15-Temporaries!BA15</f>
        <v>0.73443999999999976</v>
      </c>
      <c r="N15" s="1051">
        <f t="shared" si="3"/>
        <v>48.86</v>
      </c>
      <c r="O15" s="554">
        <f t="shared" si="4"/>
        <v>-1E-3</v>
      </c>
      <c r="P15" s="1617">
        <f>'Rates in summary'!D15+Temporaries!W15-Temporaries!BC15</f>
        <v>0.73548999999999976</v>
      </c>
      <c r="Q15" s="1051">
        <f t="shared" si="9"/>
        <v>48.922929999999987</v>
      </c>
      <c r="R15" s="554">
        <f t="shared" si="10"/>
        <v>5.9893704006234667E-5</v>
      </c>
      <c r="S15" s="1617">
        <f>'Rates in summary'!G15+'Rates in summary'!P15+Temporaries!J15</f>
        <v>0.77391999999999972</v>
      </c>
      <c r="T15" s="1061">
        <f t="shared" si="11"/>
        <v>51.11</v>
      </c>
      <c r="U15" s="554">
        <f t="shared" si="12"/>
        <v>4.4999999999999998E-2</v>
      </c>
      <c r="V15" s="1557">
        <f>+'Rates in summary'!Q15</f>
        <v>0.78120999999999974</v>
      </c>
      <c r="W15" s="1051">
        <f t="shared" si="13"/>
        <v>51.53</v>
      </c>
      <c r="X15" s="554">
        <f t="shared" si="14"/>
        <v>5.2999999999999999E-2</v>
      </c>
      <c r="Y15" s="1580"/>
      <c r="Z15" s="448">
        <f>+'Rates in summary'!D15+Temporaries!K15-Temporaries!AZ15</f>
        <v>0.74373999999999973</v>
      </c>
      <c r="AA15" s="504">
        <f t="shared" si="5"/>
        <v>49.39</v>
      </c>
      <c r="AB15" s="554">
        <f t="shared" si="6"/>
        <v>0.01</v>
      </c>
    </row>
    <row r="16" spans="1:33" x14ac:dyDescent="0.25">
      <c r="A16" s="479">
        <f t="shared" si="0"/>
        <v>10</v>
      </c>
      <c r="B16" s="450" t="s">
        <v>12</v>
      </c>
      <c r="C16" s="447"/>
      <c r="D16" s="500">
        <f>+'Washington volumes'!J16</f>
        <v>18528180.699999999</v>
      </c>
      <c r="E16" s="552" t="s">
        <v>70</v>
      </c>
      <c r="F16" s="553">
        <f>+'Washington volumes'!M16</f>
        <v>248</v>
      </c>
      <c r="G16" s="1690">
        <v>15</v>
      </c>
      <c r="H16" s="1557">
        <f>+'Rates in summary'!D16</f>
        <v>0.73534000000000033</v>
      </c>
      <c r="I16" s="1051">
        <f t="shared" si="7"/>
        <v>197.36</v>
      </c>
      <c r="J16" s="1557">
        <f>'Rates in summary'!D16+Temporaries!K16-Temporaries!AZ16</f>
        <v>0.74266000000000032</v>
      </c>
      <c r="K16" s="1051">
        <f t="shared" si="8"/>
        <v>199.18</v>
      </c>
      <c r="L16" s="554">
        <f t="shared" si="2"/>
        <v>8.9999999999999993E-3</v>
      </c>
      <c r="M16" s="1557">
        <f>'Rates in summary'!D16+Temporaries!L16+Temporaries!V16-Temporaries!BA16</f>
        <v>0.73443000000000036</v>
      </c>
      <c r="N16" s="1051">
        <f t="shared" si="3"/>
        <v>197.14</v>
      </c>
      <c r="O16" s="554">
        <f t="shared" si="4"/>
        <v>-1E-3</v>
      </c>
      <c r="P16" s="1617">
        <f>'Rates in summary'!D16+Temporaries!W16-Temporaries!BC16</f>
        <v>0.7353700000000003</v>
      </c>
      <c r="Q16" s="1051">
        <f t="shared" si="9"/>
        <v>197.37176000000008</v>
      </c>
      <c r="R16" s="554">
        <f t="shared" si="10"/>
        <v>5.9586542359477013E-5</v>
      </c>
      <c r="S16" s="1617">
        <f>'Rates in summary'!G16+'Rates in summary'!P16+Temporaries!J16</f>
        <v>0.77380000000000027</v>
      </c>
      <c r="T16" s="1061">
        <f t="shared" si="11"/>
        <v>206.9</v>
      </c>
      <c r="U16" s="554">
        <f t="shared" si="12"/>
        <v>4.8000000000000001E-2</v>
      </c>
      <c r="V16" s="1557">
        <f>+'Rates in summary'!Q16</f>
        <v>0.78024000000000027</v>
      </c>
      <c r="W16" s="1051">
        <f t="shared" si="13"/>
        <v>208.5</v>
      </c>
      <c r="X16" s="554">
        <f t="shared" si="14"/>
        <v>5.6000000000000001E-2</v>
      </c>
      <c r="Y16" s="1580"/>
      <c r="Z16" s="448">
        <f>+'Rates in summary'!D16+Temporaries!K16-Temporaries!AZ16</f>
        <v>0.74266000000000032</v>
      </c>
      <c r="AA16" s="504">
        <f t="shared" si="5"/>
        <v>199.18</v>
      </c>
      <c r="AB16" s="554">
        <f t="shared" si="6"/>
        <v>8.9999999999999993E-3</v>
      </c>
    </row>
    <row r="17" spans="1:29" x14ac:dyDescent="0.25">
      <c r="A17" s="479">
        <f t="shared" si="0"/>
        <v>11</v>
      </c>
      <c r="B17" s="450" t="s">
        <v>13</v>
      </c>
      <c r="C17" s="447"/>
      <c r="D17" s="500">
        <f>+'Washington volumes'!J17</f>
        <v>363801</v>
      </c>
      <c r="E17" s="552" t="s">
        <v>70</v>
      </c>
      <c r="F17" s="553">
        <f>+'Washington volumes'!M17</f>
        <v>1213</v>
      </c>
      <c r="G17" s="1690">
        <v>15</v>
      </c>
      <c r="H17" s="1557">
        <f>+'Rates in summary'!D17</f>
        <v>0.70457999999999954</v>
      </c>
      <c r="I17" s="1051">
        <f t="shared" si="7"/>
        <v>869.66</v>
      </c>
      <c r="J17" s="1557">
        <f>'Rates in summary'!D17+Temporaries!K17-Temporaries!AZ17</f>
        <v>0.70457999999999954</v>
      </c>
      <c r="K17" s="1051">
        <f t="shared" si="8"/>
        <v>869.66</v>
      </c>
      <c r="L17" s="554">
        <f t="shared" si="2"/>
        <v>0</v>
      </c>
      <c r="M17" s="1557">
        <f>'Rates in summary'!D17+Temporaries!L17+Temporaries!V17-Temporaries!BA17</f>
        <v>0.70377999999999952</v>
      </c>
      <c r="N17" s="1051">
        <f t="shared" si="3"/>
        <v>868.69</v>
      </c>
      <c r="O17" s="554">
        <f t="shared" si="4"/>
        <v>-1E-3</v>
      </c>
      <c r="P17" s="1617">
        <f>'Rates in summary'!D17+Temporaries!W17-Temporaries!BC17</f>
        <v>0.70459999999999956</v>
      </c>
      <c r="Q17" s="1051">
        <f t="shared" si="9"/>
        <v>869.67979999999943</v>
      </c>
      <c r="R17" s="554">
        <f t="shared" si="10"/>
        <v>2.276751833988407E-5</v>
      </c>
      <c r="S17" s="1617">
        <f>'Rates in summary'!G17+'Rates in summary'!P17+Temporaries!J17</f>
        <v>0.74303999999999948</v>
      </c>
      <c r="T17" s="1061">
        <f t="shared" si="11"/>
        <v>916.31</v>
      </c>
      <c r="U17" s="554">
        <f t="shared" si="12"/>
        <v>5.3999999999999999E-2</v>
      </c>
      <c r="V17" s="1557">
        <f>+'Rates in summary'!Q17</f>
        <v>0.74225999999999948</v>
      </c>
      <c r="W17" s="1051">
        <f t="shared" si="13"/>
        <v>915.36</v>
      </c>
      <c r="X17" s="554">
        <f t="shared" si="14"/>
        <v>5.2999999999999999E-2</v>
      </c>
      <c r="Y17" s="1463"/>
      <c r="Z17" s="448">
        <f>+'Rates in summary'!D17+Temporaries!K17-Temporaries!AZ17</f>
        <v>0.70457999999999954</v>
      </c>
      <c r="AA17" s="504">
        <f t="shared" si="5"/>
        <v>869.66</v>
      </c>
      <c r="AB17" s="554">
        <f t="shared" si="6"/>
        <v>0</v>
      </c>
    </row>
    <row r="18" spans="1:29" x14ac:dyDescent="0.25">
      <c r="A18" s="479">
        <f t="shared" si="0"/>
        <v>12</v>
      </c>
      <c r="B18" s="510">
        <v>27</v>
      </c>
      <c r="C18" s="455"/>
      <c r="D18" s="500">
        <f>+'Washington volumes'!J18</f>
        <v>575777.19999999995</v>
      </c>
      <c r="E18" s="552" t="s">
        <v>70</v>
      </c>
      <c r="F18" s="553">
        <f>+'Washington volumes'!M18</f>
        <v>54</v>
      </c>
      <c r="G18" s="1690">
        <v>6</v>
      </c>
      <c r="H18" s="1557">
        <f>+'Rates in summary'!D18</f>
        <v>0.56221999999999994</v>
      </c>
      <c r="I18" s="1051">
        <f t="shared" si="7"/>
        <v>36.36</v>
      </c>
      <c r="J18" s="1557">
        <f>'Rates in summary'!D18+Temporaries!K18-Temporaries!AZ18</f>
        <v>0.56817999999999991</v>
      </c>
      <c r="K18" s="1051">
        <f t="shared" si="8"/>
        <v>36.68</v>
      </c>
      <c r="L18" s="554">
        <f t="shared" si="2"/>
        <v>8.9999999999999993E-3</v>
      </c>
      <c r="M18" s="1557">
        <f>'Rates in summary'!D18+Temporaries!L18+Temporaries!V18-Temporaries!BA18</f>
        <v>0.56159000000000003</v>
      </c>
      <c r="N18" s="1051">
        <f t="shared" si="3"/>
        <v>36.33</v>
      </c>
      <c r="O18" s="554">
        <f t="shared" si="4"/>
        <v>-1E-3</v>
      </c>
      <c r="P18" s="1617">
        <f>'Rates in summary'!D18+Temporaries!W18-Temporaries!BC18</f>
        <v>0.5622299999999999</v>
      </c>
      <c r="Q18" s="1051">
        <f t="shared" si="9"/>
        <v>36.360419999999991</v>
      </c>
      <c r="R18" s="554">
        <f t="shared" si="10"/>
        <v>1.155115511526967E-5</v>
      </c>
      <c r="S18" s="1617">
        <f>'Rates in summary'!G18+'Rates in summary'!P18+Temporaries!J18</f>
        <v>0.60067999999999988</v>
      </c>
      <c r="T18" s="1061">
        <f t="shared" si="11"/>
        <v>38.44</v>
      </c>
      <c r="U18" s="554">
        <f t="shared" si="12"/>
        <v>5.7000000000000002E-2</v>
      </c>
      <c r="V18" s="1557">
        <f>+'Rates in summary'!Q18</f>
        <v>0.60601999999999989</v>
      </c>
      <c r="W18" s="1051">
        <f t="shared" si="13"/>
        <v>38.729999999999997</v>
      </c>
      <c r="X18" s="554">
        <f t="shared" si="14"/>
        <v>6.5000000000000002E-2</v>
      </c>
      <c r="Y18" s="1463"/>
      <c r="Z18" s="448">
        <f>+'Rates in summary'!D18+Temporaries!K18-Temporaries!AZ18</f>
        <v>0.56817999999999991</v>
      </c>
      <c r="AA18" s="504">
        <f t="shared" si="5"/>
        <v>36.68</v>
      </c>
      <c r="AB18" s="554">
        <f t="shared" si="6"/>
        <v>8.9999999999999993E-3</v>
      </c>
    </row>
    <row r="19" spans="1:29" x14ac:dyDescent="0.25">
      <c r="A19" s="479">
        <f t="shared" si="0"/>
        <v>13</v>
      </c>
      <c r="B19" s="505" t="s">
        <v>857</v>
      </c>
      <c r="C19" s="452" t="s">
        <v>6</v>
      </c>
      <c r="D19" s="506">
        <f>+'Washington volumes'!J19</f>
        <v>1970232.1</v>
      </c>
      <c r="E19" s="555">
        <v>2000</v>
      </c>
      <c r="F19" s="556">
        <f>+'Washington volumes'!M19</f>
        <v>3554</v>
      </c>
      <c r="G19" s="1691">
        <v>250</v>
      </c>
      <c r="H19" s="869">
        <f>+'Rates in summary'!D19</f>
        <v>0.49926000000000026</v>
      </c>
      <c r="I19" s="870"/>
      <c r="J19" s="869">
        <f>'Rates in summary'!D19+Temporaries!K19-Temporaries!AZ19</f>
        <v>0.50532000000000021</v>
      </c>
      <c r="K19" s="870"/>
      <c r="L19" s="1489"/>
      <c r="M19" s="869">
        <f>'Rates in summary'!D19+Temporaries!L19+Temporaries!V19-Temporaries!BA19</f>
        <v>0.49860000000000027</v>
      </c>
      <c r="N19" s="870"/>
      <c r="O19" s="1489"/>
      <c r="P19" s="1618">
        <f>'Rates in summary'!D19+Temporaries!W19-Temporaries!BC19</f>
        <v>0.49927000000000027</v>
      </c>
      <c r="Q19" s="870"/>
      <c r="R19" s="1489"/>
      <c r="S19" s="1618">
        <f>'Rates in summary'!G19+'Rates in summary'!P19+Temporaries!J19</f>
        <v>0.53812000000000026</v>
      </c>
      <c r="T19" s="1755"/>
      <c r="U19" s="1489"/>
      <c r="V19" s="869">
        <f>+'Rates in summary'!Q19</f>
        <v>0.54353000000000029</v>
      </c>
      <c r="W19" s="870"/>
      <c r="X19" s="557"/>
      <c r="Z19" s="454">
        <f>+'Rates in summary'!D19+Temporaries!K19-Temporaries!AZ19</f>
        <v>0.50532000000000021</v>
      </c>
      <c r="AA19" s="453"/>
      <c r="AB19" s="557"/>
    </row>
    <row r="20" spans="1:29" x14ac:dyDescent="0.25">
      <c r="A20" s="479">
        <f t="shared" si="0"/>
        <v>14</v>
      </c>
      <c r="B20" s="505"/>
      <c r="C20" s="452" t="s">
        <v>7</v>
      </c>
      <c r="D20" s="506">
        <f>+'Washington volumes'!J20</f>
        <v>2123869.7999999998</v>
      </c>
      <c r="E20" s="555" t="s">
        <v>201</v>
      </c>
      <c r="F20" s="556"/>
      <c r="G20" s="1691"/>
      <c r="H20" s="869">
        <f>+'Rates in summary'!D20</f>
        <v>0.46017999999999998</v>
      </c>
      <c r="I20" s="870"/>
      <c r="J20" s="869">
        <f>'Rates in summary'!D20+Temporaries!K20-Temporaries!AZ20</f>
        <v>0.46551999999999999</v>
      </c>
      <c r="K20" s="870"/>
      <c r="L20" s="1489"/>
      <c r="M20" s="869">
        <f>'Rates in summary'!D20+Temporaries!L20+Temporaries!V20-Temporaries!BA20</f>
        <v>0.45958999999999994</v>
      </c>
      <c r="N20" s="870"/>
      <c r="O20" s="1489"/>
      <c r="P20" s="1618">
        <f>'Rates in summary'!D20+Temporaries!W20-Temporaries!BC20</f>
        <v>0.46018999999999999</v>
      </c>
      <c r="Q20" s="870"/>
      <c r="R20" s="1489"/>
      <c r="S20" s="1618">
        <f>'Rates in summary'!G20+'Rates in summary'!P20+Temporaries!J20</f>
        <v>0.49903999999999998</v>
      </c>
      <c r="T20" s="1755"/>
      <c r="U20" s="1489"/>
      <c r="V20" s="869">
        <f>+'Rates in summary'!Q20</f>
        <v>0.50380000000000003</v>
      </c>
      <c r="W20" s="870"/>
      <c r="X20" s="557"/>
      <c r="Z20" s="454">
        <f>+'Rates in summary'!D20+Temporaries!K20-Temporaries!AZ20</f>
        <v>0.46551999999999999</v>
      </c>
      <c r="AA20" s="453"/>
      <c r="AB20" s="557"/>
    </row>
    <row r="21" spans="1:29" x14ac:dyDescent="0.25">
      <c r="A21" s="479">
        <f t="shared" si="0"/>
        <v>15</v>
      </c>
      <c r="B21" s="510"/>
      <c r="C21" s="558" t="s">
        <v>205</v>
      </c>
      <c r="D21" s="559"/>
      <c r="E21" s="560"/>
      <c r="F21" s="561"/>
      <c r="G21" s="1692"/>
      <c r="H21" s="1565"/>
      <c r="I21" s="1569">
        <f>$G19+ROUND(IF($F19&lt;$E19,($F19*H19),IF($F19&gt;SUM($E19:$E20),(($E19*H19)+(($F19-$E19)*H20)),0)),2)</f>
        <v>1963.64</v>
      </c>
      <c r="J21" s="1565"/>
      <c r="K21" s="1569">
        <f>$G19+ROUND(IF($F19&lt;$E19,($F19*J19),IF($F19&gt;SUM($E19:$E20),(($E19*J19)+(($F19-$E19)*J20)),0)),2)</f>
        <v>1984.06</v>
      </c>
      <c r="L21" s="1695">
        <f>ROUND((K21-I21)/I21,3)</f>
        <v>0.01</v>
      </c>
      <c r="M21" s="1565"/>
      <c r="N21" s="1569">
        <f>$G19+ROUND(IF($F19&lt;$E19,($F19*M19),IF($F19&gt;SUM($E19:$E20),(($E19*M19)+(($F19-$E19)*M20)),0)),2)</f>
        <v>1961.4</v>
      </c>
      <c r="O21" s="564">
        <f>ROUND((N21-I21)/I21,3)</f>
        <v>-1E-3</v>
      </c>
      <c r="P21" s="1619"/>
      <c r="Q21" s="1569">
        <f>$G19+ROUND(IF($F19&lt;$E19,($F19*P19),IF($F19&gt;SUM($E19:$E20),(($E19*P19)+(($F19-$E19)*P20)),0)),2)</f>
        <v>1963.68</v>
      </c>
      <c r="R21" s="564">
        <f t="shared" si="10"/>
        <v>2.0370332647513606E-5</v>
      </c>
      <c r="S21" s="1619"/>
      <c r="T21" s="1756">
        <f>$G19+ROUND(IF($F19&lt;$E19,($F19*S19),IF($F19&gt;SUM($E19:$E20),(($E19*S19)+(($F19-$E19)*S20)),0)),2)</f>
        <v>2101.75</v>
      </c>
      <c r="U21" s="1695">
        <f t="shared" si="12"/>
        <v>7.0000000000000007E-2</v>
      </c>
      <c r="V21" s="1565"/>
      <c r="W21" s="1569">
        <f>$G19+ROUND(IF($F19&lt;$E19,($F19*V19),IF($F19&gt;SUM($E19:$E20),(($E19*V19)+(($F19-$E19)*V20)),0)),2)</f>
        <v>2119.9700000000003</v>
      </c>
      <c r="X21" s="1695">
        <f>ROUND((W21-I21)/I21,3)</f>
        <v>0.08</v>
      </c>
      <c r="Y21" s="1477"/>
      <c r="Z21" s="562"/>
      <c r="AA21" s="563">
        <f>$G19+ROUND(IF($F19&lt;$E19,($F19*Z19),IF($F19&gt;SUM($E19:$E20),(($E19*Z19)+(($F19-$E19)*Z20)),0)),2)</f>
        <v>1984.06</v>
      </c>
      <c r="AB21" s="564">
        <f>ROUND((AA21-I21)/I21,3)</f>
        <v>0.01</v>
      </c>
      <c r="AC21" s="453"/>
    </row>
    <row r="22" spans="1:29" x14ac:dyDescent="0.25">
      <c r="A22" s="479">
        <f t="shared" si="0"/>
        <v>16</v>
      </c>
      <c r="B22" s="505" t="s">
        <v>858</v>
      </c>
      <c r="C22" s="452" t="s">
        <v>6</v>
      </c>
      <c r="D22" s="506">
        <f>+'Washington volumes'!J21</f>
        <v>0</v>
      </c>
      <c r="E22" s="555">
        <v>2000</v>
      </c>
      <c r="F22" s="556">
        <f>+'Washington volumes'!M21</f>
        <v>0</v>
      </c>
      <c r="G22" s="1691">
        <v>250</v>
      </c>
      <c r="H22" s="869">
        <f>+'Rates in summary'!D21</f>
        <v>0.51518999999999993</v>
      </c>
      <c r="I22" s="870"/>
      <c r="J22" s="869">
        <f>'Rates in summary'!D21+Temporaries!K21-Temporaries!AZ21</f>
        <v>0.52069999999999983</v>
      </c>
      <c r="K22" s="870"/>
      <c r="L22" s="1489"/>
      <c r="M22" s="869">
        <f>'Rates in summary'!D21+Temporaries!L21+Temporaries!V21-Temporaries!BA21</f>
        <v>0.51450999999999991</v>
      </c>
      <c r="N22" s="870"/>
      <c r="O22" s="1489"/>
      <c r="P22" s="1618">
        <f>'Rates in summary'!D21+Temporaries!W21-Temporaries!BC21</f>
        <v>0.51520999999999995</v>
      </c>
      <c r="Q22" s="870"/>
      <c r="R22" s="1489"/>
      <c r="S22" s="1618">
        <f>'Rates in summary'!G21+'Rates in summary'!P21+Temporaries!J21</f>
        <v>0.55552999999999997</v>
      </c>
      <c r="T22" s="1755"/>
      <c r="U22" s="1489"/>
      <c r="V22" s="869">
        <f>+'Rates in summary'!Q21</f>
        <v>0.56037999999999988</v>
      </c>
      <c r="W22" s="870"/>
      <c r="X22" s="1156"/>
      <c r="Y22" s="1477"/>
      <c r="Z22" s="454">
        <f>+'Rates in summary'!D21+Temporaries!K21-Temporaries!AZ21</f>
        <v>0.52069999999999983</v>
      </c>
      <c r="AA22" s="453"/>
      <c r="AB22" s="1156"/>
    </row>
    <row r="23" spans="1:29" x14ac:dyDescent="0.25">
      <c r="A23" s="479">
        <f t="shared" si="0"/>
        <v>17</v>
      </c>
      <c r="B23" s="505"/>
      <c r="C23" s="452" t="s">
        <v>7</v>
      </c>
      <c r="D23" s="506">
        <f>+'Washington volumes'!J22</f>
        <v>0</v>
      </c>
      <c r="E23" s="555" t="s">
        <v>201</v>
      </c>
      <c r="F23" s="614"/>
      <c r="G23" s="1693"/>
      <c r="H23" s="869">
        <f>+'Rates in summary'!D22</f>
        <v>0.47625999999999991</v>
      </c>
      <c r="I23" s="870"/>
      <c r="J23" s="869">
        <f>'Rates in summary'!D22+Temporaries!K22-Temporaries!AZ22</f>
        <v>0.48110999999999987</v>
      </c>
      <c r="K23" s="870"/>
      <c r="L23" s="1489"/>
      <c r="M23" s="869">
        <f>'Rates in summary'!D22+Temporaries!L22+Temporaries!V22-Temporaries!BA22</f>
        <v>0.47565999999999992</v>
      </c>
      <c r="N23" s="870"/>
      <c r="O23" s="1489"/>
      <c r="P23" s="1618">
        <f>'Rates in summary'!D22+Temporaries!W22-Temporaries!BC22</f>
        <v>0.47627999999999993</v>
      </c>
      <c r="Q23" s="870"/>
      <c r="R23" s="1489"/>
      <c r="S23" s="1618">
        <f>'Rates in summary'!G22+'Rates in summary'!P22+Temporaries!J22</f>
        <v>0.51659999999999995</v>
      </c>
      <c r="T23" s="1755"/>
      <c r="U23" s="1489"/>
      <c r="V23" s="869">
        <f>+'Rates in summary'!Q22</f>
        <v>0.52086999999999994</v>
      </c>
      <c r="W23" s="870"/>
      <c r="X23" s="1156"/>
      <c r="Y23" s="1477"/>
      <c r="Z23" s="454">
        <f>+'Rates in summary'!D22+Temporaries!K22-Temporaries!AZ22</f>
        <v>0.48110999999999987</v>
      </c>
      <c r="AA23" s="453"/>
      <c r="AB23" s="1156"/>
    </row>
    <row r="24" spans="1:29" x14ac:dyDescent="0.25">
      <c r="A24" s="479">
        <f t="shared" si="0"/>
        <v>18</v>
      </c>
      <c r="B24" s="510"/>
      <c r="C24" s="558" t="s">
        <v>205</v>
      </c>
      <c r="D24" s="559"/>
      <c r="E24" s="560"/>
      <c r="F24" s="561"/>
      <c r="G24" s="1692"/>
      <c r="H24" s="1565"/>
      <c r="I24" s="1569">
        <f>$G22+ROUND(IF($F22&lt;$E22,($F22*H22),IF($F22&gt;SUM($E22:$E23),(($E22*H22)+(($F22-$E22)*H23)),0)),2)</f>
        <v>250</v>
      </c>
      <c r="J24" s="1565"/>
      <c r="K24" s="1569">
        <f>$G22+ROUND(IF($F22&lt;$E22,($F22*J22),IF($F22&gt;SUM($E22:$E23),(($E22*J22)+(($F22-$E22)*J23)),0)),2)</f>
        <v>250</v>
      </c>
      <c r="L24" s="564">
        <f>ROUND((K24-I24)/I24,3)</f>
        <v>0</v>
      </c>
      <c r="M24" s="1565"/>
      <c r="N24" s="1569">
        <f>$G22+ROUND(IF($F22&lt;$E22,($F22*M22),IF($F22&gt;SUM($E22:$E23),(($E22*M22)+(($F22-$E22)*M23)),0)),2)</f>
        <v>250</v>
      </c>
      <c r="O24" s="564">
        <f>ROUND((N24-I24)/I24,3)</f>
        <v>0</v>
      </c>
      <c r="P24" s="1619"/>
      <c r="Q24" s="1569">
        <f>$G22+ROUND(IF($F22&lt;$E22,($F22*P22),IF($F22&gt;SUM($E22:$E23),(($E22*P22)+(($F22-$E22)*P23)),0)),2)</f>
        <v>250</v>
      </c>
      <c r="R24" s="564">
        <f t="shared" si="10"/>
        <v>0</v>
      </c>
      <c r="S24" s="1619"/>
      <c r="T24" s="1756">
        <f>$G22+ROUND(IF($F22&lt;$E22,($F22*S22),IF($F22&gt;SUM($E22:$E23),(($E22*S22)+(($F22-$E22)*S23)),0)),2)</f>
        <v>250</v>
      </c>
      <c r="U24" s="564">
        <f t="shared" si="12"/>
        <v>0</v>
      </c>
      <c r="V24" s="1565"/>
      <c r="W24" s="1569">
        <f>$G22+ROUND(IF($F22&lt;$E22,($F22*V22),IF($F22&gt;SUM($E22:$E23),(($E22*V22)+(($F22-$E22)*V23)),0)),2)</f>
        <v>250</v>
      </c>
      <c r="X24" s="564">
        <f>ROUND((W24-I24)/I24,3)</f>
        <v>0</v>
      </c>
      <c r="Y24" s="1477"/>
      <c r="Z24" s="562"/>
      <c r="AA24" s="563">
        <f>$G22+ROUND(IF($F22&lt;$E22,($F22*Z22),IF($F22&gt;SUM($E22:$E23),(($E22*Z22)+(($F22-$E22)*Z23)),0)),2)</f>
        <v>250</v>
      </c>
      <c r="AB24" s="564">
        <f>ROUND((AA24-I24)/I24,3)</f>
        <v>0</v>
      </c>
    </row>
    <row r="25" spans="1:29" x14ac:dyDescent="0.25">
      <c r="A25" s="479">
        <f t="shared" si="0"/>
        <v>19</v>
      </c>
      <c r="B25" s="505" t="s">
        <v>161</v>
      </c>
      <c r="C25" s="452" t="s">
        <v>6</v>
      </c>
      <c r="D25" s="506">
        <f>+'Washington volumes'!J23</f>
        <v>303749</v>
      </c>
      <c r="E25" s="555">
        <v>2000</v>
      </c>
      <c r="F25" s="556">
        <f>+'Washington volumes'!M23</f>
        <v>8210</v>
      </c>
      <c r="G25" s="1691">
        <f>250+250</f>
        <v>500</v>
      </c>
      <c r="H25" s="869">
        <f>+'Rates in summary'!D23</f>
        <v>0.30018999999999996</v>
      </c>
      <c r="I25" s="870"/>
      <c r="J25" s="869">
        <f>'Rates in summary'!D23+Temporaries!K23-Temporaries!AZ23</f>
        <v>0.30018999999999996</v>
      </c>
      <c r="K25" s="870"/>
      <c r="L25" s="1489"/>
      <c r="M25" s="869">
        <f>'Rates in summary'!D23+Temporaries!L23+Temporaries!V23-Temporaries!BA23</f>
        <v>0.30018999999999996</v>
      </c>
      <c r="N25" s="870"/>
      <c r="O25" s="1489"/>
      <c r="P25" s="1618">
        <f>'Rates in summary'!D23+Temporaries!W23-Temporaries!BC23</f>
        <v>0.30027999999999999</v>
      </c>
      <c r="Q25" s="870"/>
      <c r="R25" s="1489"/>
      <c r="S25" s="1618">
        <f>'Rates in summary'!G23+'Rates in summary'!P23+Temporaries!J23</f>
        <v>0.30018999999999996</v>
      </c>
      <c r="T25" s="1755"/>
      <c r="U25" s="1489"/>
      <c r="V25" s="869">
        <f>+'Rates in summary'!Q23</f>
        <v>0.30027999999999994</v>
      </c>
      <c r="W25" s="870"/>
      <c r="X25" s="557"/>
      <c r="Y25" s="1477"/>
      <c r="Z25" s="454">
        <f>+'Rates in summary'!D23+Temporaries!K23-Temporaries!AZ23</f>
        <v>0.30018999999999996</v>
      </c>
      <c r="AA25" s="453"/>
      <c r="AB25" s="557"/>
    </row>
    <row r="26" spans="1:29" x14ac:dyDescent="0.25">
      <c r="A26" s="479">
        <f t="shared" si="0"/>
        <v>20</v>
      </c>
      <c r="B26" s="505"/>
      <c r="C26" s="452" t="s">
        <v>7</v>
      </c>
      <c r="D26" s="506">
        <f>+'Washington volumes'!J24</f>
        <v>484375</v>
      </c>
      <c r="E26" s="555" t="s">
        <v>201</v>
      </c>
      <c r="F26" s="556"/>
      <c r="G26" s="1691"/>
      <c r="H26" s="869">
        <f>+'Rates in summary'!D24</f>
        <v>0.26449</v>
      </c>
      <c r="I26" s="870"/>
      <c r="J26" s="869">
        <f>'Rates in summary'!D24+Temporaries!K24-Temporaries!AZ24</f>
        <v>0.26449</v>
      </c>
      <c r="K26" s="870"/>
      <c r="L26" s="1489"/>
      <c r="M26" s="869">
        <f>'Rates in summary'!D24+Temporaries!L24+Temporaries!V24-Temporaries!BA24</f>
        <v>0.26449</v>
      </c>
      <c r="N26" s="870"/>
      <c r="O26" s="1489"/>
      <c r="P26" s="1618">
        <f>'Rates in summary'!D24+Temporaries!W24-Temporaries!BC24</f>
        <v>0.26457000000000003</v>
      </c>
      <c r="Q26" s="870"/>
      <c r="R26" s="1489"/>
      <c r="S26" s="1618">
        <f>'Rates in summary'!G24+'Rates in summary'!P24+Temporaries!J24</f>
        <v>0.26449</v>
      </c>
      <c r="T26" s="1755"/>
      <c r="U26" s="1489"/>
      <c r="V26" s="869">
        <f>+'Rates in summary'!Q24</f>
        <v>0.26457000000000003</v>
      </c>
      <c r="W26" s="870"/>
      <c r="X26" s="557"/>
      <c r="Y26" s="1477"/>
      <c r="Z26" s="454">
        <f>+'Rates in summary'!D24+Temporaries!K24-Temporaries!AZ24</f>
        <v>0.26449</v>
      </c>
      <c r="AA26" s="453"/>
      <c r="AB26" s="557"/>
    </row>
    <row r="27" spans="1:29" x14ac:dyDescent="0.25">
      <c r="A27" s="479">
        <f t="shared" si="0"/>
        <v>21</v>
      </c>
      <c r="B27" s="510"/>
      <c r="C27" s="558" t="s">
        <v>205</v>
      </c>
      <c r="D27" s="559"/>
      <c r="E27" s="560"/>
      <c r="F27" s="561"/>
      <c r="G27" s="1692"/>
      <c r="H27" s="1565"/>
      <c r="I27" s="1569">
        <f>$G25+ROUND(IF($F25&lt;$E25,($F25*H25),IF($F25&gt;SUM($E25:$E26),(($E25*H25)+(($F25-$E25)*H26)),0)),2)</f>
        <v>2742.86</v>
      </c>
      <c r="J27" s="1565"/>
      <c r="K27" s="1569">
        <f>$G25+ROUND(IF($F25&lt;$E25,($F25*J25),IF($F25&gt;SUM($E25:$E26),(($E25*J25)+(($F25-$E25)*J26)),0)),2)</f>
        <v>2742.86</v>
      </c>
      <c r="L27" s="564">
        <f>ROUND((K27-I27)/I27,3)</f>
        <v>0</v>
      </c>
      <c r="M27" s="1565"/>
      <c r="N27" s="1569">
        <f>$G25+ROUND(IF($F25&lt;$E25,($F25*M25),IF($F25&gt;SUM($E25:$E26),(($E25*M25)+(($F25-$E25)*M26)),0)),2)</f>
        <v>2742.86</v>
      </c>
      <c r="O27" s="564">
        <f>ROUND((N27-I27)/I27,3)</f>
        <v>0</v>
      </c>
      <c r="P27" s="1619"/>
      <c r="Q27" s="1569">
        <f>$G25+ROUND(IF($F25&lt;$E25,($F25*P25),IF($F25&gt;SUM($E25:$E26),(($E25*P25)+(($F25-$E25)*P26)),0)),2)</f>
        <v>2743.54</v>
      </c>
      <c r="R27" s="564">
        <f t="shared" si="10"/>
        <v>2.479164084203482E-4</v>
      </c>
      <c r="S27" s="1619"/>
      <c r="T27" s="1756">
        <f>$G25+ROUND(IF($F25&lt;$E25,($F25*S25),IF($F25&gt;SUM($E25:$E26),(($E25*S25)+(($F25-$E25)*S26)),0)),2)</f>
        <v>2742.86</v>
      </c>
      <c r="U27" s="564">
        <f t="shared" si="12"/>
        <v>0</v>
      </c>
      <c r="V27" s="1565"/>
      <c r="W27" s="1569">
        <f>$G25+ROUND(IF($F25&lt;$E25,($F25*V25),IF($F25&gt;SUM($E25:$E26),(($E25*V25)+(($F25-$E25)*V26)),0)),2)</f>
        <v>2743.54</v>
      </c>
      <c r="X27" s="564">
        <f>ROUND((W27-I27)/I27,3)</f>
        <v>0</v>
      </c>
      <c r="Y27" s="1477"/>
      <c r="Z27" s="562"/>
      <c r="AA27" s="563">
        <f>$G25+ROUND(IF($F25&lt;$E25,($F25*Z25),IF($F25&gt;SUM($E25:$E26),(($E25*Z25)+(($F25-$E25)*Z26)),0)),2)</f>
        <v>2742.86</v>
      </c>
      <c r="AB27" s="564">
        <f>ROUND((AA27-I27)/I27,3)</f>
        <v>0</v>
      </c>
      <c r="AC27" s="453"/>
    </row>
    <row r="28" spans="1:29" x14ac:dyDescent="0.25">
      <c r="A28" s="479">
        <f t="shared" si="0"/>
        <v>22</v>
      </c>
      <c r="B28" s="505" t="s">
        <v>859</v>
      </c>
      <c r="C28" s="452" t="s">
        <v>6</v>
      </c>
      <c r="D28" s="506">
        <f>+'Washington volumes'!J25</f>
        <v>360236</v>
      </c>
      <c r="E28" s="555">
        <v>2000</v>
      </c>
      <c r="F28" s="556">
        <f>+'Washington volumes'!M25</f>
        <v>4177</v>
      </c>
      <c r="G28" s="1691">
        <v>250</v>
      </c>
      <c r="H28" s="869">
        <f>+'Rates in summary'!D25</f>
        <v>0.47592000000000023</v>
      </c>
      <c r="I28" s="870"/>
      <c r="J28" s="869">
        <f>'Rates in summary'!D25+Temporaries!K25-Temporaries!AZ25</f>
        <v>0.47592000000000023</v>
      </c>
      <c r="K28" s="870"/>
      <c r="L28" s="1489"/>
      <c r="M28" s="869">
        <f>'Rates in summary'!D25+Temporaries!L25+Temporaries!V25-Temporaries!BA25</f>
        <v>0.47516000000000025</v>
      </c>
      <c r="N28" s="870"/>
      <c r="O28" s="1489"/>
      <c r="P28" s="1618">
        <f>'Rates in summary'!D25+Temporaries!W25-Temporaries!BC25</f>
        <v>0.47595000000000026</v>
      </c>
      <c r="Q28" s="870"/>
      <c r="R28" s="1489"/>
      <c r="S28" s="1618">
        <f>'Rates in summary'!G25+'Rates in summary'!P25+Temporaries!J25</f>
        <v>0.51478000000000024</v>
      </c>
      <c r="T28" s="1755"/>
      <c r="U28" s="1489"/>
      <c r="V28" s="869">
        <f>+'Rates in summary'!Q25</f>
        <v>0.51405000000000023</v>
      </c>
      <c r="W28" s="870"/>
      <c r="X28" s="1156"/>
      <c r="Y28" s="1477"/>
      <c r="Z28" s="454">
        <f>+'Rates in summary'!D25+Temporaries!K25-Temporaries!AZ25</f>
        <v>0.47592000000000023</v>
      </c>
      <c r="AA28" s="453"/>
      <c r="AB28" s="1156"/>
    </row>
    <row r="29" spans="1:29" x14ac:dyDescent="0.25">
      <c r="A29" s="479">
        <f t="shared" si="0"/>
        <v>23</v>
      </c>
      <c r="B29" s="505"/>
      <c r="C29" s="452" t="s">
        <v>7</v>
      </c>
      <c r="D29" s="506">
        <f>+'Washington volumes'!J26</f>
        <v>542040</v>
      </c>
      <c r="E29" s="555" t="s">
        <v>201</v>
      </c>
      <c r="F29" s="614"/>
      <c r="G29" s="1693"/>
      <c r="H29" s="869">
        <f>+'Rates in summary'!D26</f>
        <v>0.43959999999999988</v>
      </c>
      <c r="I29" s="870"/>
      <c r="J29" s="869">
        <f>'Rates in summary'!D26+Temporaries!K26-Temporaries!AZ26</f>
        <v>0.43959999999999988</v>
      </c>
      <c r="K29" s="870"/>
      <c r="L29" s="1489"/>
      <c r="M29" s="869">
        <f>'Rates in summary'!D26+Temporaries!L26+Temporaries!V26-Temporaries!BA26</f>
        <v>0.43893999999999994</v>
      </c>
      <c r="N29" s="870"/>
      <c r="O29" s="1489"/>
      <c r="P29" s="1618">
        <f>'Rates in summary'!D26+Temporaries!W26-Temporaries!BC26</f>
        <v>0.43962999999999991</v>
      </c>
      <c r="Q29" s="870"/>
      <c r="R29" s="1489"/>
      <c r="S29" s="1618">
        <f>'Rates in summary'!G26+'Rates in summary'!P26+Temporaries!J26</f>
        <v>0.47845999999999989</v>
      </c>
      <c r="T29" s="1755"/>
      <c r="U29" s="1489"/>
      <c r="V29" s="869">
        <f>+'Rates in summary'!Q26</f>
        <v>0.47782999999999987</v>
      </c>
      <c r="W29" s="870"/>
      <c r="X29" s="1156"/>
      <c r="Y29" s="1477"/>
      <c r="Z29" s="454">
        <f>+'Rates in summary'!D26+Temporaries!K26-Temporaries!AZ26</f>
        <v>0.43959999999999988</v>
      </c>
      <c r="AA29" s="453"/>
      <c r="AB29" s="1156"/>
    </row>
    <row r="30" spans="1:29" x14ac:dyDescent="0.25">
      <c r="A30" s="479">
        <f t="shared" si="0"/>
        <v>24</v>
      </c>
      <c r="B30" s="510"/>
      <c r="C30" s="558" t="s">
        <v>205</v>
      </c>
      <c r="D30" s="559"/>
      <c r="E30" s="560"/>
      <c r="F30" s="561"/>
      <c r="G30" s="1692"/>
      <c r="H30" s="1565"/>
      <c r="I30" s="1569">
        <f>$G28+ROUND(IF($F28&lt;$E28,($F28*H28),IF($F28&gt;SUM($E28:$E29),(($E28*H28)+(($F28-$E28)*H29)),0)),2)</f>
        <v>2158.85</v>
      </c>
      <c r="J30" s="1565"/>
      <c r="K30" s="1569">
        <f>$G28+ROUND(IF($F28&lt;$E28,($F28*J28),IF($F28&gt;SUM($E28:$E29),(($E28*J28)+(($F28-$E28)*J29)),0)),2)</f>
        <v>2158.85</v>
      </c>
      <c r="L30" s="564">
        <f>ROUND((K30-I30)/I30,3)</f>
        <v>0</v>
      </c>
      <c r="M30" s="1565"/>
      <c r="N30" s="1569">
        <f>$G28+ROUND(IF($F28&lt;$E28,($F28*M28),IF($F28&gt;SUM($E28:$E29),(($E28*M28)+(($F28-$E28)*M29)),0)),2)</f>
        <v>2155.8900000000003</v>
      </c>
      <c r="O30" s="564">
        <f>ROUND((N30-I30)/I30,3)</f>
        <v>-1E-3</v>
      </c>
      <c r="P30" s="1619"/>
      <c r="Q30" s="1569">
        <f>$G28+ROUND(IF($F28&lt;$E28,($F28*P28),IF($F28&gt;SUM($E28:$E29),(($E28*P28)+(($F28-$E28)*P29)),0)),2)</f>
        <v>2158.9700000000003</v>
      </c>
      <c r="R30" s="564">
        <f t="shared" si="10"/>
        <v>5.5585149501051767E-5</v>
      </c>
      <c r="S30" s="1619"/>
      <c r="T30" s="1756">
        <f>$G28+ROUND(IF($F28&lt;$E28,($F28*S28),IF($F28&gt;SUM($E28:$E29),(($E28*S28)+(($F28-$E28)*S29)),0)),2)</f>
        <v>2321.17</v>
      </c>
      <c r="U30" s="564">
        <f t="shared" si="12"/>
        <v>7.4999999999999997E-2</v>
      </c>
      <c r="V30" s="1565"/>
      <c r="W30" s="1569">
        <f>$G28+ROUND(IF($F28&lt;$E28,($F28*V28),IF($F28&gt;SUM($E28:$E29),(($E28*V28)+(($F28-$E28)*V29)),0)),2)</f>
        <v>2318.34</v>
      </c>
      <c r="X30" s="564">
        <f>ROUND((W30-I30)/I30,3)</f>
        <v>7.3999999999999996E-2</v>
      </c>
      <c r="Y30" s="1477"/>
      <c r="Z30" s="562"/>
      <c r="AA30" s="563">
        <f>$G28+ROUND(IF($F28&lt;$E28,($F28*Z28),IF($F28&gt;SUM($E28:$E29),(($E28*Z28)+(($F28-$E28)*Z29)),0)),2)</f>
        <v>2158.85</v>
      </c>
      <c r="AB30" s="564">
        <f>ROUND((AA30-I30)/I30,3)</f>
        <v>0</v>
      </c>
      <c r="AC30" s="453"/>
    </row>
    <row r="31" spans="1:29" x14ac:dyDescent="0.25">
      <c r="A31" s="479">
        <f t="shared" si="0"/>
        <v>25</v>
      </c>
      <c r="B31" s="505" t="s">
        <v>860</v>
      </c>
      <c r="C31" s="452" t="s">
        <v>6</v>
      </c>
      <c r="D31" s="506">
        <f>+'Washington volumes'!J27</f>
        <v>0</v>
      </c>
      <c r="E31" s="555">
        <v>2000</v>
      </c>
      <c r="F31" s="556">
        <f>+'Washington volumes'!M27</f>
        <v>0</v>
      </c>
      <c r="G31" s="1691">
        <v>250</v>
      </c>
      <c r="H31" s="869">
        <f>+'Rates in summary'!D27</f>
        <v>0.4930000000000001</v>
      </c>
      <c r="I31" s="870"/>
      <c r="J31" s="869">
        <f>'Rates in summary'!D27+Temporaries!K27-Temporaries!AZ27</f>
        <v>0.4930000000000001</v>
      </c>
      <c r="K31" s="870"/>
      <c r="L31" s="1489"/>
      <c r="M31" s="869">
        <f>'Rates in summary'!D27+Temporaries!L27+Temporaries!V27-Temporaries!BA27</f>
        <v>0.49232000000000015</v>
      </c>
      <c r="N31" s="870"/>
      <c r="O31" s="1489"/>
      <c r="P31" s="1618">
        <f>'Rates in summary'!D27+Temporaries!W27-Temporaries!BC27</f>
        <v>0.49302000000000007</v>
      </c>
      <c r="Q31" s="870"/>
      <c r="R31" s="1489"/>
      <c r="S31" s="1618">
        <f>'Rates in summary'!G27+'Rates in summary'!P27+Temporaries!J27</f>
        <v>0.53334000000000015</v>
      </c>
      <c r="T31" s="1755"/>
      <c r="U31" s="1489"/>
      <c r="V31" s="869">
        <f>+'Rates in summary'!Q27</f>
        <v>0.53268000000000004</v>
      </c>
      <c r="W31" s="870"/>
      <c r="X31" s="557"/>
      <c r="Y31" s="1477"/>
      <c r="Z31" s="454">
        <f>+'Rates in summary'!D27+Temporaries!K27-Temporaries!AZ27</f>
        <v>0.4930000000000001</v>
      </c>
      <c r="AA31" s="453"/>
      <c r="AB31" s="557"/>
    </row>
    <row r="32" spans="1:29" x14ac:dyDescent="0.25">
      <c r="A32" s="479">
        <f t="shared" si="0"/>
        <v>26</v>
      </c>
      <c r="B32" s="505"/>
      <c r="C32" s="452" t="s">
        <v>7</v>
      </c>
      <c r="D32" s="506">
        <f>+'Washington volumes'!J28</f>
        <v>0</v>
      </c>
      <c r="E32" s="555" t="s">
        <v>201</v>
      </c>
      <c r="F32" s="556"/>
      <c r="G32" s="1691"/>
      <c r="H32" s="869">
        <f>+'Rates in summary'!D28</f>
        <v>0.45670999999999995</v>
      </c>
      <c r="I32" s="870"/>
      <c r="J32" s="869">
        <f>'Rates in summary'!D28+Temporaries!K28-Temporaries!AZ28</f>
        <v>0.45670999999999995</v>
      </c>
      <c r="K32" s="870"/>
      <c r="L32" s="1489"/>
      <c r="M32" s="869">
        <f>'Rates in summary'!D28+Temporaries!L28+Temporaries!V28-Temporaries!BA28</f>
        <v>0.45610999999999996</v>
      </c>
      <c r="N32" s="870"/>
      <c r="O32" s="1489"/>
      <c r="P32" s="1618">
        <f>'Rates in summary'!D28+Temporaries!W28-Temporaries!BC28</f>
        <v>0.45672999999999997</v>
      </c>
      <c r="Q32" s="870"/>
      <c r="R32" s="1489"/>
      <c r="S32" s="1618">
        <f>'Rates in summary'!G28+'Rates in summary'!P28+Temporaries!J28</f>
        <v>0.49704999999999994</v>
      </c>
      <c r="T32" s="1755"/>
      <c r="U32" s="1489"/>
      <c r="V32" s="869">
        <f>+'Rates in summary'!Q28</f>
        <v>0.49646999999999997</v>
      </c>
      <c r="W32" s="870"/>
      <c r="X32" s="557"/>
      <c r="Y32" s="1477"/>
      <c r="Z32" s="454">
        <f>+'Rates in summary'!D28+Temporaries!K28-Temporaries!AZ28</f>
        <v>0.45670999999999995</v>
      </c>
      <c r="AA32" s="453"/>
      <c r="AB32" s="557"/>
    </row>
    <row r="33" spans="1:29" x14ac:dyDescent="0.25">
      <c r="A33" s="479">
        <f t="shared" si="0"/>
        <v>27</v>
      </c>
      <c r="B33" s="510"/>
      <c r="C33" s="558" t="s">
        <v>205</v>
      </c>
      <c r="D33" s="559"/>
      <c r="E33" s="560"/>
      <c r="F33" s="561"/>
      <c r="G33" s="1692"/>
      <c r="H33" s="1565"/>
      <c r="I33" s="1569">
        <f>$G31+ROUND(IF($F31&lt;$E31,($F31*H31),IF($F31&gt;SUM($E31:$E32),(($E31*H31)+(($F31-$E31)*H32)),0)),2)</f>
        <v>250</v>
      </c>
      <c r="J33" s="1565"/>
      <c r="K33" s="1569">
        <f>$G31+ROUND(IF($F31&lt;$E31,($F31*J31),IF($F31&gt;SUM($E31:$E32),(($E31*J31)+(($F31-$E31)*J32)),0)),2)</f>
        <v>250</v>
      </c>
      <c r="L33" s="564">
        <f>ROUND((K33-I33)/I33,3)</f>
        <v>0</v>
      </c>
      <c r="M33" s="1565"/>
      <c r="N33" s="1569">
        <f>$G31+ROUND(IF($F31&lt;$E31,($F31*M31),IF($F31&gt;SUM($E31:$E32),(($E31*M31)+(($F31-$E31)*M32)),0)),2)</f>
        <v>250</v>
      </c>
      <c r="O33" s="564">
        <f>ROUND((N33-I33)/I33,3)</f>
        <v>0</v>
      </c>
      <c r="P33" s="1619"/>
      <c r="Q33" s="1569">
        <f>$G31+ROUND(IF($F31&lt;$E31,($F31*P31),IF($F31&gt;SUM($E31:$E32),(($E31*P31)+(($F31-$E31)*P32)),0)),2)</f>
        <v>250</v>
      </c>
      <c r="R33" s="564">
        <f t="shared" si="10"/>
        <v>0</v>
      </c>
      <c r="S33" s="1619"/>
      <c r="T33" s="1756">
        <f>$G31+ROUND(IF($F31&lt;$E31,($F31*S31),IF($F31&gt;SUM($E31:$E32),(($E31*S31)+(($F31-$E31)*S32)),0)),2)</f>
        <v>250</v>
      </c>
      <c r="U33" s="564">
        <f t="shared" si="12"/>
        <v>0</v>
      </c>
      <c r="V33" s="1565"/>
      <c r="W33" s="1569">
        <f>$G31+ROUND(IF($F31&lt;$E31,($F31*V31),IF($F31&gt;SUM($E31:$E32),(($E31*V31)+(($F31-$E31)*V32)),0)),2)</f>
        <v>250</v>
      </c>
      <c r="X33" s="564">
        <f>ROUND((W33-I33)/I33,3)</f>
        <v>0</v>
      </c>
      <c r="Y33" s="1477"/>
      <c r="Z33" s="562"/>
      <c r="AA33" s="563">
        <f>$G31+ROUND(IF($F31&lt;$E31,($F31*Z31),IF($F31&gt;SUM($E31:$E32),(($E31*Z31)+(($F31-$E31)*Z32)),0)),2)</f>
        <v>250</v>
      </c>
      <c r="AB33" s="564">
        <f>ROUND((AA33-I33)/I33,3)</f>
        <v>0</v>
      </c>
    </row>
    <row r="34" spans="1:29" x14ac:dyDescent="0.25">
      <c r="A34" s="479">
        <f t="shared" si="0"/>
        <v>28</v>
      </c>
      <c r="B34" s="505" t="s">
        <v>163</v>
      </c>
      <c r="C34" s="452" t="s">
        <v>6</v>
      </c>
      <c r="D34" s="506">
        <f>+'Washington volumes'!J29</f>
        <v>561182.4</v>
      </c>
      <c r="E34" s="506">
        <v>10000</v>
      </c>
      <c r="F34" s="556">
        <f>+'Washington volumes'!M29</f>
        <v>16603</v>
      </c>
      <c r="G34" s="1691">
        <v>1300</v>
      </c>
      <c r="H34" s="869">
        <f>+'Rates in summary'!D29</f>
        <v>0.30433999999999994</v>
      </c>
      <c r="I34" s="870"/>
      <c r="J34" s="869">
        <f>'Rates in summary'!D29+Temporaries!K29-Temporaries!AZ29</f>
        <v>0.3072899999999999</v>
      </c>
      <c r="K34" s="870"/>
      <c r="L34" s="1489"/>
      <c r="M34" s="869">
        <f>'Rates in summary'!D29+Temporaries!L29+Temporaries!V29-Temporaries!BA29</f>
        <v>0.30390999999999996</v>
      </c>
      <c r="N34" s="870"/>
      <c r="O34" s="1489"/>
      <c r="P34" s="1618">
        <f>'Rates in summary'!D29+Temporaries!W29-Temporaries!BC29</f>
        <v>0.30434999999999995</v>
      </c>
      <c r="Q34" s="870"/>
      <c r="R34" s="1489"/>
      <c r="S34" s="1618">
        <f>'Rates in summary'!G29+'Rates in summary'!P29+Temporaries!J29</f>
        <v>0.34319999999999995</v>
      </c>
      <c r="T34" s="1755"/>
      <c r="U34" s="1489"/>
      <c r="V34" s="869">
        <f>+'Rates in summary'!Q29</f>
        <v>0.34572999999999993</v>
      </c>
      <c r="W34" s="870"/>
      <c r="X34" s="557"/>
      <c r="Y34" s="1477"/>
      <c r="Z34" s="454">
        <f>+'Rates in summary'!D29+Temporaries!K29-Temporaries!AZ29</f>
        <v>0.3072899999999999</v>
      </c>
      <c r="AA34" s="453"/>
      <c r="AB34" s="557"/>
    </row>
    <row r="35" spans="1:29" x14ac:dyDescent="0.25">
      <c r="A35" s="479">
        <f t="shared" si="0"/>
        <v>29</v>
      </c>
      <c r="B35" s="505"/>
      <c r="C35" s="452" t="s">
        <v>7</v>
      </c>
      <c r="D35" s="506">
        <f>+'Washington volumes'!J30</f>
        <v>481861</v>
      </c>
      <c r="E35" s="506">
        <v>20000</v>
      </c>
      <c r="F35" s="556"/>
      <c r="G35" s="1691"/>
      <c r="H35" s="869">
        <f>+'Rates in summary'!D30</f>
        <v>0.29029999999999978</v>
      </c>
      <c r="I35" s="870"/>
      <c r="J35" s="869">
        <f>'Rates in summary'!D30+Temporaries!K30-Temporaries!AZ30</f>
        <v>0.29293999999999981</v>
      </c>
      <c r="K35" s="870"/>
      <c r="L35" s="1489"/>
      <c r="M35" s="869">
        <f>'Rates in summary'!D30+Temporaries!L30+Temporaries!V30-Temporaries!BA30</f>
        <v>0.2899299999999998</v>
      </c>
      <c r="N35" s="870"/>
      <c r="O35" s="1489"/>
      <c r="P35" s="1618">
        <f>'Rates in summary'!D30+Temporaries!W30-Temporaries!BC30</f>
        <v>0.29030999999999979</v>
      </c>
      <c r="Q35" s="870"/>
      <c r="R35" s="1489"/>
      <c r="S35" s="1618">
        <f>'Rates in summary'!G30+'Rates in summary'!P30+Temporaries!J30</f>
        <v>0.32915999999999979</v>
      </c>
      <c r="T35" s="1755"/>
      <c r="U35" s="1489"/>
      <c r="V35" s="869">
        <f>+'Rates in summary'!Q30</f>
        <v>0.33143999999999979</v>
      </c>
      <c r="W35" s="870"/>
      <c r="X35" s="557"/>
      <c r="Y35" s="1477"/>
      <c r="Z35" s="454">
        <f>+'Rates in summary'!D30+Temporaries!K30-Temporaries!AZ30</f>
        <v>0.29293999999999981</v>
      </c>
      <c r="AA35" s="453"/>
      <c r="AB35" s="557"/>
    </row>
    <row r="36" spans="1:29" x14ac:dyDescent="0.25">
      <c r="A36" s="479">
        <f t="shared" si="0"/>
        <v>30</v>
      </c>
      <c r="B36" s="505"/>
      <c r="C36" s="452" t="s">
        <v>8</v>
      </c>
      <c r="D36" s="506">
        <f>+'Washington volumes'!J31</f>
        <v>131374.9</v>
      </c>
      <c r="E36" s="506">
        <v>20000</v>
      </c>
      <c r="F36" s="556"/>
      <c r="G36" s="1691"/>
      <c r="H36" s="869">
        <f>+'Rates in summary'!D31</f>
        <v>0.26236999999999994</v>
      </c>
      <c r="I36" s="870"/>
      <c r="J36" s="869">
        <f>'Rates in summary'!D31+Temporaries!K31-Temporaries!AZ31</f>
        <v>0.26439999999999997</v>
      </c>
      <c r="K36" s="870"/>
      <c r="L36" s="1489"/>
      <c r="M36" s="869">
        <f>'Rates in summary'!D31+Temporaries!L31+Temporaries!V31-Temporaries!BA31</f>
        <v>0.26206999999999991</v>
      </c>
      <c r="N36" s="870"/>
      <c r="O36" s="1489"/>
      <c r="P36" s="1618">
        <f>'Rates in summary'!D31+Temporaries!W31-Temporaries!BC31</f>
        <v>0.26237999999999989</v>
      </c>
      <c r="Q36" s="870"/>
      <c r="R36" s="1489"/>
      <c r="S36" s="1618">
        <f>'Rates in summary'!G31+'Rates in summary'!P31+Temporaries!J31</f>
        <v>0.30122999999999994</v>
      </c>
      <c r="T36" s="1755"/>
      <c r="U36" s="1489"/>
      <c r="V36" s="869">
        <f>+'Rates in summary'!Q31</f>
        <v>0.30296999999999991</v>
      </c>
      <c r="W36" s="870"/>
      <c r="X36" s="557"/>
      <c r="Y36" s="453"/>
      <c r="Z36" s="454">
        <f>+'Rates in summary'!D31+Temporaries!K31-Temporaries!AZ31</f>
        <v>0.26439999999999997</v>
      </c>
      <c r="AA36" s="453"/>
      <c r="AB36" s="557"/>
      <c r="AC36" s="453"/>
    </row>
    <row r="37" spans="1:29" x14ac:dyDescent="0.25">
      <c r="A37" s="479">
        <f t="shared" si="0"/>
        <v>31</v>
      </c>
      <c r="B37" s="505"/>
      <c r="C37" s="452" t="s">
        <v>9</v>
      </c>
      <c r="D37" s="506">
        <f>+'Washington volumes'!J32</f>
        <v>20968.900000000001</v>
      </c>
      <c r="E37" s="506">
        <v>100000</v>
      </c>
      <c r="F37" s="556"/>
      <c r="G37" s="1691"/>
      <c r="H37" s="869">
        <f>+'Rates in summary'!D32</f>
        <v>0.2439800000000002</v>
      </c>
      <c r="I37" s="870"/>
      <c r="J37" s="869">
        <f>'Rates in summary'!D32+Temporaries!K32-Temporaries!AZ32</f>
        <v>0.24560000000000021</v>
      </c>
      <c r="K37" s="870"/>
      <c r="L37" s="1489"/>
      <c r="M37" s="869">
        <f>'Rates in summary'!D32+Temporaries!L32+Temporaries!V32-Temporaries!BA32</f>
        <v>0.24375000000000019</v>
      </c>
      <c r="N37" s="870"/>
      <c r="O37" s="1489"/>
      <c r="P37" s="1618">
        <f>'Rates in summary'!D32+Temporaries!W32-Temporaries!BC32</f>
        <v>0.24399000000000018</v>
      </c>
      <c r="Q37" s="870"/>
      <c r="R37" s="1489"/>
      <c r="S37" s="1618">
        <f>'Rates in summary'!G32+'Rates in summary'!P32+Temporaries!J32</f>
        <v>0.2828400000000002</v>
      </c>
      <c r="T37" s="1755"/>
      <c r="U37" s="1489"/>
      <c r="V37" s="869">
        <f>+'Rates in summary'!Q32</f>
        <v>0.28424000000000016</v>
      </c>
      <c r="W37" s="870"/>
      <c r="X37" s="557"/>
      <c r="Z37" s="454">
        <f>+'Rates in summary'!D32+Temporaries!K32-Temporaries!AZ32</f>
        <v>0.24560000000000021</v>
      </c>
      <c r="AA37" s="453"/>
      <c r="AB37" s="557"/>
    </row>
    <row r="38" spans="1:29" x14ac:dyDescent="0.25">
      <c r="A38" s="479">
        <f t="shared" si="0"/>
        <v>32</v>
      </c>
      <c r="B38" s="505"/>
      <c r="C38" s="452" t="s">
        <v>10</v>
      </c>
      <c r="D38" s="506">
        <f>+'Washington volumes'!J33</f>
        <v>0</v>
      </c>
      <c r="E38" s="506">
        <v>600000</v>
      </c>
      <c r="F38" s="556"/>
      <c r="G38" s="1691"/>
      <c r="H38" s="869">
        <f>+'Rates in summary'!D33</f>
        <v>0.21944999999999995</v>
      </c>
      <c r="I38" s="870"/>
      <c r="J38" s="869">
        <f>'Rates in summary'!D33+Temporaries!K33-Temporaries!AZ33</f>
        <v>0.22052999999999995</v>
      </c>
      <c r="K38" s="870"/>
      <c r="L38" s="1489"/>
      <c r="M38" s="869">
        <f>'Rates in summary'!D33+Temporaries!L33+Temporaries!V33-Temporaries!BA33</f>
        <v>0.21928999999999996</v>
      </c>
      <c r="N38" s="870"/>
      <c r="O38" s="1489"/>
      <c r="P38" s="1618">
        <f>'Rates in summary'!D33+Temporaries!W33-Temporaries!BC33</f>
        <v>0.21945999999999996</v>
      </c>
      <c r="Q38" s="870"/>
      <c r="R38" s="1489"/>
      <c r="S38" s="1618">
        <f>'Rates in summary'!G33+'Rates in summary'!P33+Temporaries!J33</f>
        <v>0.25830999999999993</v>
      </c>
      <c r="T38" s="1755"/>
      <c r="U38" s="1489"/>
      <c r="V38" s="869">
        <f>+'Rates in summary'!Q33</f>
        <v>0.25923999999999991</v>
      </c>
      <c r="W38" s="870"/>
      <c r="X38" s="557"/>
      <c r="Z38" s="454">
        <f>+'Rates in summary'!D33+Temporaries!K33-Temporaries!AZ33</f>
        <v>0.22052999999999995</v>
      </c>
      <c r="AA38" s="454"/>
      <c r="AB38" s="557"/>
    </row>
    <row r="39" spans="1:29" x14ac:dyDescent="0.25">
      <c r="A39" s="479">
        <f t="shared" si="0"/>
        <v>33</v>
      </c>
      <c r="B39" s="505"/>
      <c r="C39" s="452" t="s">
        <v>11</v>
      </c>
      <c r="D39" s="506">
        <f>+'Washington volumes'!J34</f>
        <v>0</v>
      </c>
      <c r="E39" s="555" t="s">
        <v>201</v>
      </c>
      <c r="F39" s="556"/>
      <c r="G39" s="1691"/>
      <c r="H39" s="869">
        <f>+'Rates in summary'!D34</f>
        <v>0.18881000000000006</v>
      </c>
      <c r="I39" s="870"/>
      <c r="J39" s="869">
        <f>'Rates in summary'!D34+Temporaries!K34-Temporaries!AZ34</f>
        <v>0.18921000000000004</v>
      </c>
      <c r="K39" s="870"/>
      <c r="L39" s="1489"/>
      <c r="M39" s="869">
        <f>'Rates in summary'!D34+Temporaries!L34+Temporaries!V34-Temporaries!BA34</f>
        <v>0.18875000000000006</v>
      </c>
      <c r="N39" s="870"/>
      <c r="O39" s="1489"/>
      <c r="P39" s="1618">
        <f>'Rates in summary'!D34+Temporaries!W34-Temporaries!BC34</f>
        <v>0.18881000000000006</v>
      </c>
      <c r="Q39" s="870"/>
      <c r="R39" s="1489"/>
      <c r="S39" s="1618">
        <f>'Rates in summary'!G34+'Rates in summary'!P34+Temporaries!J34</f>
        <v>0.22767000000000004</v>
      </c>
      <c r="T39" s="1755"/>
      <c r="U39" s="1489"/>
      <c r="V39" s="869">
        <f>+'Rates in summary'!Q34</f>
        <v>0.22801000000000005</v>
      </c>
      <c r="W39" s="870"/>
      <c r="X39" s="557"/>
      <c r="Z39" s="454">
        <f>+'Rates in summary'!D34+Temporaries!K34-Temporaries!AZ34</f>
        <v>0.18921000000000004</v>
      </c>
      <c r="AA39" s="454"/>
      <c r="AB39" s="557"/>
    </row>
    <row r="40" spans="1:29" x14ac:dyDescent="0.25">
      <c r="A40" s="479">
        <f t="shared" si="0"/>
        <v>34</v>
      </c>
      <c r="B40" s="510"/>
      <c r="C40" s="558" t="s">
        <v>205</v>
      </c>
      <c r="D40" s="559"/>
      <c r="E40" s="560"/>
      <c r="F40" s="561"/>
      <c r="G40" s="1692"/>
      <c r="H40" s="1565"/>
      <c r="I40" s="1569">
        <f>$G34+ROUND(IF($F34&lt;$E34,($F34*H34),IF($F34&lt;SUM($E34:$E35),(($E34*H34)+(($F34-$E34)*H35)),IF($F34&lt;SUM($E34:$E36),(($E34*H34)+($E35*H35)+(($F34-$E34-$E35)*H36)),IF($F34&lt;SUM($E34:$E37),(($E34*H34)+($E35*H35)+($E36*H36)+(($F34-SUM($E34:$E36))*H37)),IF($F34&lt;SUM($E34:$E38),(($E34*H34)+($E35*H35)+($E36*H36)+($E37*H37)+(($F34-SUM($E34:$E37))*H38)),(($E34*H34)+($E35*H35)+($E36*H36)+($E37*H36)+($E38*H38)+(($F34-SUM($E34:$E38))*H39))))))),2)</f>
        <v>6260.25</v>
      </c>
      <c r="J40" s="1565"/>
      <c r="K40" s="1569">
        <f>$G34+ROUND(IF($F34&lt;$E34,($F34*J34),IF($F34&lt;SUM($E34:$E35),(($E34*J34)+(($F34-$E34)*J35)),IF($F34&lt;SUM($E34:$E36),(($E34*J34)+($E35*J35)+(($F34-$E34-$E35)*J36)),IF($F34&lt;SUM($E34:$E37),(($E34*J34)+($E35*J35)+($E36*J36)+(($F34-SUM($E34:$E36))*J37)),IF($F34&lt;SUM($E34:$E38),(($E34*J34)+($E35*J35)+($E36*J36)+($E37*J37)+(($F34-SUM($E34:$E37))*J38)),(($E34*J34)+($E35*J35)+($E36*J36)+($E37*J36)+($E38*J38)+(($F34-SUM($E34:$E38))*J39))))))),2)</f>
        <v>6307.18</v>
      </c>
      <c r="L40" s="564">
        <f>ROUND((K40-I40)/I40,3)</f>
        <v>7.0000000000000001E-3</v>
      </c>
      <c r="M40" s="1565"/>
      <c r="N40" s="1569">
        <f>$G34+ROUND(IF($F34&lt;$E34,($F34*M34),IF($F34&lt;SUM($E34:$E35),(($E34*M34)+(($F34-$E34)*M35)),IF($F34&lt;SUM($E34:$E36),(($E34*M34)+($E35*M35)+(($F34-$E34-$E35)*M36)),IF($F34&lt;SUM($E34:$E37),(($E34*M34)+($E35*M35)+($E36*M36)+(($F34-SUM($E34:$E36))*M37)),IF($F34&lt;SUM($E34:$E38),(($E34*M34)+($E35*M35)+($E36*M36)+($E37*M37)+(($F34-SUM($E34:$E37))*M38)),(($E34*M34)+($E35*M35)+($E36*M36)+($E37*M36)+($E38*M38)+(($F34-SUM($E34:$E38))*M39))))))),2)</f>
        <v>6253.51</v>
      </c>
      <c r="O40" s="564">
        <f>ROUND((N40-I40)/I40,3)</f>
        <v>-1E-3</v>
      </c>
      <c r="P40" s="1619"/>
      <c r="Q40" s="1569">
        <f>$G34+ROUND(IF($F34&lt;$E34,($F34*P34),IF($F34&lt;SUM($E34:$E35),(($E34*P34)+(($F34-$E34)*P35)),IF($F34&lt;SUM($E34:$E36),(($E34*P34)+($E35*P35)+(($F34-$E34-$E35)*P36)),IF($F34&lt;SUM($E34:$E37),(($E34*P34)+($E35*P35)+($E36*P36)+(($F34-SUM($E34:$E36))*P37)),IF($F34&lt;SUM($E34:$E38),(($E34*P34)+($E35*P35)+($E36*P36)+($E37*P37)+(($F34-SUM($E34:$E37))*P38)),(($E34*P34)+($E35*P35)+($E36*P36)+($E37*P36)+($E38*P38)+(($F34-SUM($E34:$E38))*P39))))))),2)</f>
        <v>6260.42</v>
      </c>
      <c r="R40" s="564">
        <f t="shared" si="10"/>
        <v>2.7155465037350387E-5</v>
      </c>
      <c r="S40" s="1619"/>
      <c r="T40" s="1756">
        <f>$G34+ROUND(IF($F34&lt;$E34,($F34*S34),IF($F34&lt;SUM($E34:$E35),(($E34*S34)+(($F34-$E34)*S35)),IF($F34&lt;SUM($E34:$E36),(($E34*S34)+($E35*S35)+(($F34-$E34-$E35)*S36)),IF($F34&lt;SUM($E34:$E37),(($E34*S34)+($E35*S35)+($E36*S36)+(($F34-SUM($E34:$E36))*S37)),IF($F34&lt;SUM($E34:$E38),(($E34*S34)+($E35*S35)+($E36*S36)+($E37*S37)+(($F34-SUM($E34:$E37))*S38)),(($E34*S34)+($E35*S35)+($E36*S36)+($E37*S36)+($E38*S38)+(($F34-SUM($E34:$E38))*S39))))))),2)</f>
        <v>6905.44</v>
      </c>
      <c r="U40" s="564">
        <f t="shared" si="12"/>
        <v>0.10299999999999999</v>
      </c>
      <c r="V40" s="1565"/>
      <c r="W40" s="1569">
        <f>$G34+ROUND(IF($F34&lt;$E34,($F34*V34),IF($F34&lt;SUM($E34:$E35),(($E34*V34)+(($F34-$E34)*V35)),IF($F34&lt;SUM($E34:$E36),(($E34*V34)+($E35*V35)+(($F34-$E34-$E35)*V36)),IF($F34&lt;SUM($E34:$E37),(($E34*V34)+($E35*V35)+($E36*V36)+(($F34-SUM($E34:$E36))*V37)),IF($F34&lt;SUM($E34:$E38),(($E34*V34)+($E35*V35)+($E36*V36)+($E37*V37)+(($F34-SUM($E34:$E37))*V38)),(($E34*V34)+($E35*V35)+($E36*V36)+($E37*V36)+($E38*V38)+(($F34-SUM($E34:$E38))*V39))))))),2)</f>
        <v>6945.8</v>
      </c>
      <c r="X40" s="564">
        <f>ROUND((W40-I40)/I40,3)</f>
        <v>0.11</v>
      </c>
      <c r="Y40" s="1463"/>
      <c r="Z40" s="562"/>
      <c r="AA40" s="563">
        <f>$G34+ROUND(IF($F34&lt;$E34,($F34*Z34),IF($F34&lt;SUM($E34:$E35),(($E34*Z34)+(($F34-$E34)*Z35)),IF($F34&lt;SUM($E34:$E36),(($E34*Z34)+($E35*Z35)+(($F34-$E34-$E35)*Z36)),IF($F34&lt;SUM($E34:$E37),(($E34*Z34)+($E35*Z35)+($E36*Z36)+(($F34-SUM($E34:$E36))*Z37)),IF($F34&lt;SUM($E34:$E38),(($E34*Z34)+($E35*Z35)+($E36*Z36)+($E37*Z37)+(($F34-SUM($E34:$E37))*Z38)),(($E34*Z34)+($E35*Z35)+($E36*Z36)+($E37*Z36)+($E38*Z38)+(($F34-SUM($E34:$E38))*Z39))))))),2)</f>
        <v>6307.18</v>
      </c>
      <c r="AB40" s="564">
        <f>ROUND((AA40-I40)/I40,3)</f>
        <v>7.0000000000000001E-3</v>
      </c>
    </row>
    <row r="41" spans="1:29" x14ac:dyDescent="0.25">
      <c r="A41" s="479">
        <f t="shared" si="0"/>
        <v>35</v>
      </c>
      <c r="B41" s="505" t="s">
        <v>164</v>
      </c>
      <c r="C41" s="452" t="s">
        <v>6</v>
      </c>
      <c r="D41" s="506">
        <f>+'Washington volumes'!J35</f>
        <v>1060773</v>
      </c>
      <c r="E41" s="506">
        <v>10000</v>
      </c>
      <c r="F41" s="556">
        <f>+'Washington volumes'!M35</f>
        <v>12726</v>
      </c>
      <c r="G41" s="1691">
        <v>1300</v>
      </c>
      <c r="H41" s="869">
        <f>+'Rates in summary'!D35</f>
        <v>0.29139999999999999</v>
      </c>
      <c r="I41" s="870"/>
      <c r="J41" s="869">
        <f>'Rates in summary'!D35+Temporaries!K35-Temporaries!AZ35</f>
        <v>0.29139999999999999</v>
      </c>
      <c r="K41" s="870"/>
      <c r="L41" s="1489"/>
      <c r="M41" s="869">
        <f>'Rates in summary'!D35+Temporaries!L35+Temporaries!V35-Temporaries!BA35</f>
        <v>0.29104999999999998</v>
      </c>
      <c r="N41" s="870"/>
      <c r="O41" s="1489"/>
      <c r="P41" s="1618">
        <f>'Rates in summary'!D35+Temporaries!W35-Temporaries!BC35</f>
        <v>0.29139999999999999</v>
      </c>
      <c r="Q41" s="870"/>
      <c r="R41" s="1489"/>
      <c r="S41" s="1618">
        <f>'Rates in summary'!G35+'Rates in summary'!P35+Temporaries!J35</f>
        <v>0.33026</v>
      </c>
      <c r="T41" s="1755"/>
      <c r="U41" s="1489"/>
      <c r="V41" s="869">
        <f>+'Rates in summary'!Q35</f>
        <v>0.32990999999999998</v>
      </c>
      <c r="W41" s="870"/>
      <c r="X41" s="557"/>
      <c r="Y41" s="1477"/>
      <c r="Z41" s="454">
        <f>+'Rates in summary'!D35+Temporaries!K35-Temporaries!AZ35</f>
        <v>0.29139999999999999</v>
      </c>
      <c r="AA41" s="453"/>
      <c r="AB41" s="557"/>
    </row>
    <row r="42" spans="1:29" x14ac:dyDescent="0.25">
      <c r="A42" s="479">
        <f t="shared" si="0"/>
        <v>36</v>
      </c>
      <c r="B42" s="505"/>
      <c r="C42" s="452" t="s">
        <v>7</v>
      </c>
      <c r="D42" s="506">
        <f>+'Washington volumes'!J36</f>
        <v>650234</v>
      </c>
      <c r="E42" s="506">
        <v>20000</v>
      </c>
      <c r="F42" s="556"/>
      <c r="G42" s="1691"/>
      <c r="H42" s="869">
        <f>+'Rates in summary'!D36</f>
        <v>0.27872000000000008</v>
      </c>
      <c r="I42" s="870"/>
      <c r="J42" s="869">
        <f>'Rates in summary'!D36+Temporaries!K36-Temporaries!AZ36</f>
        <v>0.27872000000000008</v>
      </c>
      <c r="K42" s="870"/>
      <c r="L42" s="1489"/>
      <c r="M42" s="869">
        <f>'Rates in summary'!D36+Temporaries!L36+Temporaries!V36-Temporaries!BA36</f>
        <v>0.27841000000000005</v>
      </c>
      <c r="N42" s="870"/>
      <c r="O42" s="1489"/>
      <c r="P42" s="1618">
        <f>'Rates in summary'!D36+Temporaries!W36-Temporaries!BC36</f>
        <v>0.27872000000000008</v>
      </c>
      <c r="Q42" s="870"/>
      <c r="R42" s="1489"/>
      <c r="S42" s="1618">
        <f>'Rates in summary'!G36+'Rates in summary'!P36+Temporaries!J36</f>
        <v>0.31758000000000008</v>
      </c>
      <c r="T42" s="1755"/>
      <c r="U42" s="1489"/>
      <c r="V42" s="869">
        <f>+'Rates in summary'!Q36</f>
        <v>0.31727000000000005</v>
      </c>
      <c r="W42" s="870"/>
      <c r="X42" s="557"/>
      <c r="Y42" s="1477"/>
      <c r="Z42" s="454">
        <f>+'Rates in summary'!D36+Temporaries!K36-Temporaries!AZ36</f>
        <v>0.27872000000000008</v>
      </c>
      <c r="AA42" s="453"/>
      <c r="AB42" s="557"/>
    </row>
    <row r="43" spans="1:29" x14ac:dyDescent="0.25">
      <c r="A43" s="479">
        <f t="shared" si="0"/>
        <v>37</v>
      </c>
      <c r="B43" s="505"/>
      <c r="C43" s="452" t="s">
        <v>8</v>
      </c>
      <c r="D43" s="506">
        <f>+'Washington volumes'!J37</f>
        <v>112053</v>
      </c>
      <c r="E43" s="506">
        <v>20000</v>
      </c>
      <c r="F43" s="556"/>
      <c r="G43" s="1691"/>
      <c r="H43" s="869">
        <f>+'Rates in summary'!D37</f>
        <v>0.25346999999999992</v>
      </c>
      <c r="I43" s="870"/>
      <c r="J43" s="869">
        <f>'Rates in summary'!D37+Temporaries!K37-Temporaries!AZ37</f>
        <v>0.25346999999999992</v>
      </c>
      <c r="K43" s="870"/>
      <c r="L43" s="1489"/>
      <c r="M43" s="869">
        <f>'Rates in summary'!D37+Temporaries!L37+Temporaries!V37-Temporaries!BA37</f>
        <v>0.25322999999999996</v>
      </c>
      <c r="N43" s="870"/>
      <c r="O43" s="1489"/>
      <c r="P43" s="1618">
        <f>'Rates in summary'!D37+Temporaries!W37-Temporaries!BC37</f>
        <v>0.25346999999999992</v>
      </c>
      <c r="Q43" s="870"/>
      <c r="R43" s="1489"/>
      <c r="S43" s="1618">
        <f>'Rates in summary'!G37+'Rates in summary'!P37+Temporaries!J37</f>
        <v>0.29232999999999992</v>
      </c>
      <c r="T43" s="1755"/>
      <c r="U43" s="1489"/>
      <c r="V43" s="869">
        <f>+'Rates in summary'!Q37</f>
        <v>0.29208999999999991</v>
      </c>
      <c r="W43" s="870"/>
      <c r="X43" s="557"/>
      <c r="Y43" s="453"/>
      <c r="Z43" s="454">
        <f>+'Rates in summary'!D37+Temporaries!K37-Temporaries!AZ37</f>
        <v>0.25346999999999992</v>
      </c>
      <c r="AA43" s="453"/>
      <c r="AB43" s="557"/>
      <c r="AC43" s="453"/>
    </row>
    <row r="44" spans="1:29" x14ac:dyDescent="0.25">
      <c r="A44" s="479">
        <f t="shared" si="0"/>
        <v>38</v>
      </c>
      <c r="B44" s="505"/>
      <c r="C44" s="452" t="s">
        <v>9</v>
      </c>
      <c r="D44" s="506">
        <f>+'Washington volumes'!J38</f>
        <v>9427</v>
      </c>
      <c r="E44" s="506">
        <v>100000</v>
      </c>
      <c r="F44" s="556"/>
      <c r="G44" s="1691"/>
      <c r="H44" s="869">
        <f>+'Rates in summary'!D38</f>
        <v>0.23686000000000015</v>
      </c>
      <c r="I44" s="870"/>
      <c r="J44" s="869">
        <f>'Rates in summary'!D38+Temporaries!K38-Temporaries!AZ38</f>
        <v>0.23686000000000015</v>
      </c>
      <c r="K44" s="870"/>
      <c r="L44" s="1489"/>
      <c r="M44" s="869">
        <f>'Rates in summary'!D38+Temporaries!L38+Temporaries!V38-Temporaries!BA38</f>
        <v>0.23667000000000016</v>
      </c>
      <c r="N44" s="870"/>
      <c r="O44" s="1489"/>
      <c r="P44" s="1618">
        <f>'Rates in summary'!D38+Temporaries!W38-Temporaries!BC38</f>
        <v>0.23686000000000015</v>
      </c>
      <c r="Q44" s="870"/>
      <c r="R44" s="1489"/>
      <c r="S44" s="1618">
        <f>'Rates in summary'!G38+'Rates in summary'!P38+Temporaries!J38</f>
        <v>0.27572000000000013</v>
      </c>
      <c r="T44" s="1755"/>
      <c r="U44" s="1489"/>
      <c r="V44" s="869">
        <f>+'Rates in summary'!Q38</f>
        <v>0.27553000000000016</v>
      </c>
      <c r="W44" s="870"/>
      <c r="X44" s="557"/>
      <c r="Z44" s="454">
        <f>+'Rates in summary'!D38+Temporaries!K38-Temporaries!AZ38</f>
        <v>0.23686000000000015</v>
      </c>
      <c r="AA44" s="453"/>
      <c r="AB44" s="557"/>
    </row>
    <row r="45" spans="1:29" x14ac:dyDescent="0.25">
      <c r="A45" s="479">
        <f t="shared" si="0"/>
        <v>39</v>
      </c>
      <c r="B45" s="505"/>
      <c r="C45" s="452" t="s">
        <v>10</v>
      </c>
      <c r="D45" s="506">
        <f>+'Washington volumes'!J39</f>
        <v>0</v>
      </c>
      <c r="E45" s="506">
        <v>600000</v>
      </c>
      <c r="F45" s="556"/>
      <c r="G45" s="1691"/>
      <c r="H45" s="869">
        <f>+'Rates in summary'!D39</f>
        <v>0.2147300000000002</v>
      </c>
      <c r="I45" s="870"/>
      <c r="J45" s="869">
        <f>'Rates in summary'!D39+Temporaries!K39-Temporaries!AZ39</f>
        <v>0.2147300000000002</v>
      </c>
      <c r="K45" s="870"/>
      <c r="L45" s="1489"/>
      <c r="M45" s="869">
        <f>'Rates in summary'!D39+Temporaries!L39+Temporaries!V39-Temporaries!BA39</f>
        <v>0.21460000000000021</v>
      </c>
      <c r="N45" s="870"/>
      <c r="O45" s="1489"/>
      <c r="P45" s="1618">
        <f>'Rates in summary'!D39+Temporaries!W39-Temporaries!BC39</f>
        <v>0.2147300000000002</v>
      </c>
      <c r="Q45" s="870"/>
      <c r="R45" s="1489"/>
      <c r="S45" s="1618">
        <f>'Rates in summary'!G39+'Rates in summary'!P39+Temporaries!J39</f>
        <v>0.2535900000000002</v>
      </c>
      <c r="T45" s="1755"/>
      <c r="U45" s="1489"/>
      <c r="V45" s="869">
        <f>+'Rates in summary'!Q39</f>
        <v>0.25346000000000019</v>
      </c>
      <c r="W45" s="870"/>
      <c r="X45" s="557"/>
      <c r="Z45" s="454">
        <f>+'Rates in summary'!D39+Temporaries!K39-Temporaries!AZ39</f>
        <v>0.2147300000000002</v>
      </c>
      <c r="AA45" s="454"/>
      <c r="AB45" s="557"/>
    </row>
    <row r="46" spans="1:29" x14ac:dyDescent="0.25">
      <c r="A46" s="479">
        <f t="shared" si="0"/>
        <v>40</v>
      </c>
      <c r="B46" s="505"/>
      <c r="C46" s="452" t="s">
        <v>11</v>
      </c>
      <c r="D46" s="506">
        <f>+'Washington volumes'!J40</f>
        <v>0</v>
      </c>
      <c r="E46" s="555" t="s">
        <v>201</v>
      </c>
      <c r="F46" s="556"/>
      <c r="G46" s="1691"/>
      <c r="H46" s="869">
        <f>+'Rates in summary'!D40</f>
        <v>0.18703999999999993</v>
      </c>
      <c r="I46" s="870"/>
      <c r="J46" s="869">
        <f>'Rates in summary'!D40+Temporaries!K40-Temporaries!AZ40</f>
        <v>0.18703999999999993</v>
      </c>
      <c r="K46" s="870"/>
      <c r="L46" s="1489"/>
      <c r="M46" s="869">
        <f>'Rates in summary'!D40+Temporaries!L40+Temporaries!V40-Temporaries!BA40</f>
        <v>0.18697999999999992</v>
      </c>
      <c r="N46" s="870"/>
      <c r="O46" s="1489"/>
      <c r="P46" s="1618">
        <f>'Rates in summary'!D40+Temporaries!W40-Temporaries!BC40</f>
        <v>0.18703999999999993</v>
      </c>
      <c r="Q46" s="870"/>
      <c r="R46" s="1489"/>
      <c r="S46" s="1618">
        <f>'Rates in summary'!G40+'Rates in summary'!P40+Temporaries!J40</f>
        <v>0.22589999999999993</v>
      </c>
      <c r="T46" s="1755"/>
      <c r="U46" s="1489"/>
      <c r="V46" s="869">
        <f>+'Rates in summary'!Q40</f>
        <v>0.22583999999999993</v>
      </c>
      <c r="W46" s="870"/>
      <c r="X46" s="557"/>
      <c r="Z46" s="454">
        <f>+'Rates in summary'!D40+Temporaries!K40-Temporaries!AZ40</f>
        <v>0.18703999999999993</v>
      </c>
      <c r="AA46" s="454"/>
      <c r="AB46" s="557"/>
    </row>
    <row r="47" spans="1:29" x14ac:dyDescent="0.25">
      <c r="A47" s="479">
        <f t="shared" si="0"/>
        <v>41</v>
      </c>
      <c r="B47" s="510"/>
      <c r="C47" s="558" t="s">
        <v>205</v>
      </c>
      <c r="D47" s="559"/>
      <c r="E47" s="560"/>
      <c r="F47" s="561"/>
      <c r="G47" s="1692"/>
      <c r="H47" s="1565"/>
      <c r="I47" s="1569">
        <f>$G41+ROUND(IF($F41&lt;$E41,($F41*H41),IF($F41&lt;SUM($E41:$E42),(($E41*H41)+(($F41-$E41)*H42)),IF($F41&lt;SUM($E41:$E43),(($E41*H41)+($E42*H42)+(($F41-$E41-$E42)*H43)),IF($F41&lt;SUM($E41:$E44),(($E41*H41)+($E42*H42)+($E43*H43)+(($F41-SUM($E41:$E43))*H44)),IF($F41&lt;SUM($E41:$E45),(($E41*H41)+($E42*H42)+($E43*H43)+($E44*H44)+(($F41-SUM($E41:$E44))*H45)),(($E41*H41)+($E42*H42)+($E43*H43)+($E44*H43)+($E45*H45)+(($F41-SUM($E41:$E45))*H46))))))),2)</f>
        <v>4973.79</v>
      </c>
      <c r="J47" s="1565"/>
      <c r="K47" s="1569">
        <f>$G41+ROUND(IF($F41&lt;$E41,($F41*J41),IF($F41&lt;SUM($E41:$E42),(($E41*J41)+(($F41-$E41)*J42)),IF($F41&lt;SUM($E41:$E43),(($E41*J41)+($E42*J42)+(($F41-$E41-$E42)*J43)),IF($F41&lt;SUM($E41:$E44),(($E41*J41)+($E42*J42)+($E43*J43)+(($F41-SUM($E41:$E43))*J44)),IF($F41&lt;SUM($E41:$E45),(($E41*J41)+($E42*J42)+($E43*J43)+($E44*J44)+(($F41-SUM($E41:$E44))*J45)),(($E41*J41)+($E42*J42)+($E43*J43)+($E44*J43)+($E45*J45)+(($F41-SUM($E41:$E45))*J46))))))),2)</f>
        <v>4973.79</v>
      </c>
      <c r="L47" s="564">
        <f>ROUND((K47-I47)/I47,3)</f>
        <v>0</v>
      </c>
      <c r="M47" s="1565"/>
      <c r="N47" s="1569">
        <f>$G41+ROUND(IF($F41&lt;$E41,($F41*M41),IF($F41&lt;SUM($E41:$E42),(($E41*M41)+(($F41-$E41)*M42)),IF($F41&lt;SUM($E41:$E43),(($E41*M41)+($E42*M42)+(($F41-$E41-$E42)*M43)),IF($F41&lt;SUM($E41:$E44),(($E41*M41)+($E42*M42)+($E43*M43)+(($F41-SUM($E41:$E43))*M44)),IF($F41&lt;SUM($E41:$E45),(($E41*M41)+($E42*M42)+($E43*M43)+($E44*M44)+(($F41-SUM($E41:$E44))*M45)),(($E41*M41)+($E42*M42)+($E43*M43)+($E44*M43)+($E45*M45)+(($F41-SUM($E41:$E45))*M46))))))),2)</f>
        <v>4969.45</v>
      </c>
      <c r="O47" s="564">
        <f>ROUND((N47-I47)/I47,3)</f>
        <v>-1E-3</v>
      </c>
      <c r="P47" s="1619"/>
      <c r="Q47" s="1569">
        <f>$G41+ROUND(IF($F41&lt;$E41,($F41*P41),IF($F41&lt;SUM($E41:$E42),(($E41*P41)+(($F41-$E41)*P42)),IF($F41&lt;SUM($E41:$E43),(($E41*P41)+($E42*P42)+(($F41-$E41-$E42)*P43)),IF($F41&lt;SUM($E41:$E44),(($E41*P41)+($E42*P42)+($E43*P43)+(($F41-SUM($E41:$E43))*P44)),IF($F41&lt;SUM($E41:$E45),(($E41*P41)+($E42*P42)+($E43*P43)+($E44*P44)+(($F41-SUM($E41:$E44))*P45)),(($E41*P41)+($E42*P42)+($E43*P43)+($E44*P43)+($E45*P45)+(($F41-SUM($E41:$E45))*P46))))))),2)</f>
        <v>4973.79</v>
      </c>
      <c r="R47" s="564">
        <f t="shared" si="10"/>
        <v>0</v>
      </c>
      <c r="S47" s="1619"/>
      <c r="T47" s="1756">
        <f>$G41+ROUND(IF($F41&lt;$E41,($F41*S41),IF($F41&lt;SUM($E41:$E42),(($E41*S41)+(($F41-$E41)*S42)),IF($F41&lt;SUM($E41:$E43),(($E41*S41)+($E42*S42)+(($F41-$E41-$E42)*S43)),IF($F41&lt;SUM($E41:$E44),(($E41*S41)+($E42*S42)+($E43*S43)+(($F41-SUM($E41:$E43))*S44)),IF($F41&lt;SUM($E41:$E45),(($E41*S41)+($E42*S42)+($E43*S43)+($E44*S44)+(($F41-SUM($E41:$E44))*S45)),(($E41*S41)+($E42*S42)+($E43*S43)+($E44*S43)+($E45*S45)+(($F41-SUM($E41:$E45))*S46))))))),2)</f>
        <v>5468.32</v>
      </c>
      <c r="U47" s="564">
        <f t="shared" si="12"/>
        <v>9.9000000000000005E-2</v>
      </c>
      <c r="V47" s="1565"/>
      <c r="W47" s="1569">
        <f>$G41+ROUND(IF($F41&lt;$E41,($F41*V41),IF($F41&lt;SUM($E41:$E42),(($E41*V41)+(($F41-$E41)*V42)),IF($F41&lt;SUM($E41:$E43),(($E41*V41)+($E42*V42)+(($F41-$E41-$E42)*V43)),IF($F41&lt;SUM($E41:$E44),(($E41*V41)+($E42*V42)+($E43*V43)+(($F41-SUM($E41:$E43))*V44)),IF($F41&lt;SUM($E41:$E45),(($E41*V41)+($E42*V42)+($E43*V43)+($E44*V44)+(($F41-SUM($E41:$E44))*V45)),(($E41*V41)+($E42*V42)+($E43*V43)+($E44*V43)+($E45*V45)+(($F41-SUM($E41:$E45))*V46))))))),2)</f>
        <v>5463.98</v>
      </c>
      <c r="X47" s="564">
        <f>ROUND((W47-I47)/I47,3)</f>
        <v>9.9000000000000005E-2</v>
      </c>
      <c r="Y47" s="1463"/>
      <c r="Z47" s="562"/>
      <c r="AA47" s="563">
        <f>$G41+ROUND(IF($F41&lt;$E41,($F41*Z41),IF($F41&lt;SUM($E41:$E42),(($E41*Z41)+(($F41-$E41)*Z42)),IF($F41&lt;SUM($E41:$E43),(($E41*Z41)+($E42*Z42)+(($F41-$E41-$E42)*Z43)),IF($F41&lt;SUM($E41:$E44),(($E41*Z41)+($E42*Z42)+($E43*Z43)+(($F41-SUM($E41:$E43))*Z44)),IF($F41&lt;SUM($E41:$E45),(($E41*Z41)+($E42*Z42)+($E43*Z43)+($E44*Z44)+(($F41-SUM($E41:$E44))*Z45)),(($E41*Z41)+($E42*Z42)+($E43*Z43)+($E44*Z43)+($E45*Z45)+(($F41-SUM($E41:$E45))*Z46))))))),2)</f>
        <v>4973.79</v>
      </c>
      <c r="AB47" s="564">
        <f>ROUND((AA47-I47)/I47,3)</f>
        <v>0</v>
      </c>
    </row>
    <row r="48" spans="1:29" x14ac:dyDescent="0.25">
      <c r="A48" s="479">
        <f t="shared" si="0"/>
        <v>42</v>
      </c>
      <c r="B48" s="505" t="s">
        <v>165</v>
      </c>
      <c r="C48" s="452" t="s">
        <v>6</v>
      </c>
      <c r="D48" s="506">
        <f>+'Washington volumes'!J41</f>
        <v>1336403</v>
      </c>
      <c r="E48" s="506">
        <v>10000</v>
      </c>
      <c r="F48" s="556">
        <f>+'Washington volumes'!M41</f>
        <v>48106</v>
      </c>
      <c r="G48" s="1691">
        <f>1300+250</f>
        <v>1550</v>
      </c>
      <c r="H48" s="869">
        <f>+'Rates in summary'!D41</f>
        <v>0.11795</v>
      </c>
      <c r="I48" s="870"/>
      <c r="J48" s="869">
        <f>'Rates in summary'!D41+Temporaries!K41-Temporaries!AZ41</f>
        <v>0.11795</v>
      </c>
      <c r="K48" s="870"/>
      <c r="L48" s="1489"/>
      <c r="M48" s="869">
        <f>'Rates in summary'!D41+Temporaries!L41+Temporaries!V41-Temporaries!BA41</f>
        <v>0.11795</v>
      </c>
      <c r="N48" s="870"/>
      <c r="O48" s="1489"/>
      <c r="P48" s="1618">
        <f>'Rates in summary'!D41+Temporaries!W41-Temporaries!BC41</f>
        <v>0.11796</v>
      </c>
      <c r="Q48" s="870"/>
      <c r="R48" s="1489"/>
      <c r="S48" s="1618">
        <f>'Rates in summary'!G41+'Rates in summary'!P41+Temporaries!J41</f>
        <v>0.11795</v>
      </c>
      <c r="T48" s="1755"/>
      <c r="U48" s="1489"/>
      <c r="V48" s="869">
        <f>+'Rates in summary'!Q41</f>
        <v>0.11796</v>
      </c>
      <c r="W48" s="870"/>
      <c r="X48" s="557"/>
      <c r="Y48" s="1477"/>
      <c r="Z48" s="454">
        <f>+'Rates in summary'!D41+Temporaries!K41-Temporaries!AZ41</f>
        <v>0.11795</v>
      </c>
      <c r="AA48" s="453"/>
      <c r="AB48" s="557"/>
    </row>
    <row r="49" spans="1:29" x14ac:dyDescent="0.25">
      <c r="A49" s="479">
        <f t="shared" si="0"/>
        <v>43</v>
      </c>
      <c r="B49" s="505"/>
      <c r="C49" s="452" t="s">
        <v>7</v>
      </c>
      <c r="D49" s="506">
        <f>+'Washington volumes'!J42</f>
        <v>1682938</v>
      </c>
      <c r="E49" s="506">
        <v>20000</v>
      </c>
      <c r="F49" s="556"/>
      <c r="G49" s="1691"/>
      <c r="H49" s="869">
        <f>+'Rates in summary'!D42</f>
        <v>0.10557999999999999</v>
      </c>
      <c r="I49" s="870"/>
      <c r="J49" s="869">
        <f>'Rates in summary'!D42+Temporaries!K42-Temporaries!AZ42</f>
        <v>0.10557999999999999</v>
      </c>
      <c r="K49" s="870"/>
      <c r="L49" s="1489"/>
      <c r="M49" s="869">
        <f>'Rates in summary'!D42+Temporaries!L42+Temporaries!V42-Temporaries!BA42</f>
        <v>0.10557999999999999</v>
      </c>
      <c r="N49" s="870"/>
      <c r="O49" s="1489"/>
      <c r="P49" s="1618">
        <f>'Rates in summary'!D42+Temporaries!W42-Temporaries!BC42</f>
        <v>0.10558999999999999</v>
      </c>
      <c r="Q49" s="870"/>
      <c r="R49" s="1489"/>
      <c r="S49" s="1618">
        <f>'Rates in summary'!G42+'Rates in summary'!P42+Temporaries!J42</f>
        <v>0.10557999999999999</v>
      </c>
      <c r="T49" s="1755"/>
      <c r="U49" s="1489"/>
      <c r="V49" s="869">
        <f>+'Rates in summary'!Q42</f>
        <v>0.10558999999999999</v>
      </c>
      <c r="W49" s="870"/>
      <c r="X49" s="557"/>
      <c r="Y49" s="1477"/>
      <c r="Z49" s="454">
        <f>+'Rates in summary'!D42+Temporaries!K42-Temporaries!AZ42</f>
        <v>0.10557999999999999</v>
      </c>
      <c r="AA49" s="453"/>
      <c r="AB49" s="557"/>
    </row>
    <row r="50" spans="1:29" x14ac:dyDescent="0.25">
      <c r="A50" s="479">
        <f t="shared" si="0"/>
        <v>44</v>
      </c>
      <c r="B50" s="505"/>
      <c r="C50" s="452" t="s">
        <v>8</v>
      </c>
      <c r="D50" s="506">
        <f>+'Washington volumes'!J43</f>
        <v>1387648</v>
      </c>
      <c r="E50" s="506">
        <v>20000</v>
      </c>
      <c r="F50" s="556"/>
      <c r="G50" s="1691"/>
      <c r="H50" s="869">
        <f>+'Rates in summary'!D43</f>
        <v>8.0960000000000004E-2</v>
      </c>
      <c r="I50" s="870"/>
      <c r="J50" s="869">
        <f>'Rates in summary'!D43+Temporaries!K43-Temporaries!AZ43</f>
        <v>8.0960000000000004E-2</v>
      </c>
      <c r="K50" s="870"/>
      <c r="L50" s="1489"/>
      <c r="M50" s="869">
        <f>'Rates in summary'!D43+Temporaries!L43+Temporaries!V43-Temporaries!BA43</f>
        <v>8.0960000000000004E-2</v>
      </c>
      <c r="N50" s="870"/>
      <c r="O50" s="1489"/>
      <c r="P50" s="1618">
        <f>'Rates in summary'!D43+Temporaries!W43-Temporaries!BC43</f>
        <v>8.097E-2</v>
      </c>
      <c r="Q50" s="870"/>
      <c r="R50" s="1489"/>
      <c r="S50" s="1618">
        <f>'Rates in summary'!G43+'Rates in summary'!P43+Temporaries!J43</f>
        <v>8.0960000000000004E-2</v>
      </c>
      <c r="T50" s="1755"/>
      <c r="U50" s="1489"/>
      <c r="V50" s="869">
        <f>+'Rates in summary'!Q43</f>
        <v>8.097E-2</v>
      </c>
      <c r="W50" s="870"/>
      <c r="X50" s="557"/>
      <c r="Y50" s="453"/>
      <c r="Z50" s="454">
        <f>+'Rates in summary'!D43+Temporaries!K43-Temporaries!AZ43</f>
        <v>8.0960000000000004E-2</v>
      </c>
      <c r="AA50" s="453"/>
      <c r="AB50" s="557"/>
    </row>
    <row r="51" spans="1:29" x14ac:dyDescent="0.25">
      <c r="A51" s="479">
        <f t="shared" si="0"/>
        <v>45</v>
      </c>
      <c r="B51" s="505"/>
      <c r="C51" s="452" t="s">
        <v>9</v>
      </c>
      <c r="D51" s="506">
        <f>+'Washington volumes'!J44</f>
        <v>2195748</v>
      </c>
      <c r="E51" s="506">
        <v>100000</v>
      </c>
      <c r="F51" s="556"/>
      <c r="G51" s="1691"/>
      <c r="H51" s="869">
        <f>+'Rates in summary'!D44</f>
        <v>6.4769999999999994E-2</v>
      </c>
      <c r="I51" s="870"/>
      <c r="J51" s="869">
        <f>'Rates in summary'!D44+Temporaries!K44-Temporaries!AZ44</f>
        <v>6.4769999999999994E-2</v>
      </c>
      <c r="K51" s="870"/>
      <c r="L51" s="1489"/>
      <c r="M51" s="869">
        <f>'Rates in summary'!D44+Temporaries!L44+Temporaries!V44-Temporaries!BA44</f>
        <v>6.4769999999999994E-2</v>
      </c>
      <c r="N51" s="870"/>
      <c r="O51" s="1489"/>
      <c r="P51" s="1618">
        <f>'Rates in summary'!D44+Temporaries!W44-Temporaries!BC44</f>
        <v>6.4780000000000004E-2</v>
      </c>
      <c r="Q51" s="870"/>
      <c r="R51" s="1489"/>
      <c r="S51" s="1618">
        <f>'Rates in summary'!G44+'Rates in summary'!P44+Temporaries!J44</f>
        <v>6.4769999999999994E-2</v>
      </c>
      <c r="T51" s="1755"/>
      <c r="U51" s="1489"/>
      <c r="V51" s="869">
        <f>+'Rates in summary'!Q44</f>
        <v>6.477999999999999E-2</v>
      </c>
      <c r="W51" s="870"/>
      <c r="X51" s="557"/>
      <c r="Y51" s="453"/>
      <c r="Z51" s="454">
        <f>+'Rates in summary'!D44+Temporaries!K44-Temporaries!AZ44</f>
        <v>6.4769999999999994E-2</v>
      </c>
      <c r="AA51" s="453"/>
      <c r="AB51" s="557"/>
      <c r="AC51" s="453"/>
    </row>
    <row r="52" spans="1:29" x14ac:dyDescent="0.25">
      <c r="A52" s="479">
        <f t="shared" si="0"/>
        <v>46</v>
      </c>
      <c r="B52" s="505"/>
      <c r="C52" s="452" t="s">
        <v>10</v>
      </c>
      <c r="D52" s="506">
        <f>+'Washington volumes'!J45</f>
        <v>901810</v>
      </c>
      <c r="E52" s="506">
        <v>600000</v>
      </c>
      <c r="F52" s="556"/>
      <c r="G52" s="1691"/>
      <c r="H52" s="869">
        <f>+'Rates in summary'!D45</f>
        <v>4.3180000000000003E-2</v>
      </c>
      <c r="I52" s="870"/>
      <c r="J52" s="869">
        <f>'Rates in summary'!D45+Temporaries!K45-Temporaries!AZ45</f>
        <v>4.3180000000000003E-2</v>
      </c>
      <c r="K52" s="870"/>
      <c r="L52" s="1489"/>
      <c r="M52" s="869">
        <f>'Rates in summary'!D45+Temporaries!L45+Temporaries!V45-Temporaries!BA45</f>
        <v>4.3180000000000003E-2</v>
      </c>
      <c r="N52" s="870"/>
      <c r="O52" s="1489"/>
      <c r="P52" s="1618">
        <f>'Rates in summary'!D45+Temporaries!W45-Temporaries!BC45</f>
        <v>4.3190000000000006E-2</v>
      </c>
      <c r="Q52" s="870"/>
      <c r="R52" s="1489"/>
      <c r="S52" s="1618">
        <f>'Rates in summary'!G45+'Rates in summary'!P45+Temporaries!J45</f>
        <v>4.3180000000000003E-2</v>
      </c>
      <c r="T52" s="1755"/>
      <c r="U52" s="1489"/>
      <c r="V52" s="869">
        <f>+'Rates in summary'!Q45</f>
        <v>4.3190000000000006E-2</v>
      </c>
      <c r="W52" s="870"/>
      <c r="X52" s="557"/>
      <c r="Z52" s="454">
        <f>+'Rates in summary'!D45+Temporaries!K45-Temporaries!AZ45</f>
        <v>4.3180000000000003E-2</v>
      </c>
      <c r="AA52" s="454"/>
      <c r="AB52" s="557"/>
    </row>
    <row r="53" spans="1:29" x14ac:dyDescent="0.25">
      <c r="A53" s="479">
        <f t="shared" si="0"/>
        <v>47</v>
      </c>
      <c r="B53" s="505"/>
      <c r="C53" s="452" t="s">
        <v>11</v>
      </c>
      <c r="D53" s="506">
        <f>+'Washington volumes'!J46</f>
        <v>0</v>
      </c>
      <c r="E53" s="555" t="s">
        <v>201</v>
      </c>
      <c r="F53" s="556"/>
      <c r="G53" s="1691"/>
      <c r="H53" s="869">
        <f>+'Rates in summary'!D46</f>
        <v>1.619E-2</v>
      </c>
      <c r="I53" s="870"/>
      <c r="J53" s="869">
        <f>'Rates in summary'!D46+Temporaries!K46-Temporaries!AZ46</f>
        <v>1.619E-2</v>
      </c>
      <c r="K53" s="870"/>
      <c r="L53" s="1489"/>
      <c r="M53" s="869">
        <f>'Rates in summary'!D46+Temporaries!L46+Temporaries!V46-Temporaries!BA46</f>
        <v>1.619E-2</v>
      </c>
      <c r="N53" s="870"/>
      <c r="O53" s="1489"/>
      <c r="P53" s="1618">
        <f>'Rates in summary'!D46+Temporaries!W46-Temporaries!BC46</f>
        <v>1.619E-2</v>
      </c>
      <c r="Q53" s="870"/>
      <c r="R53" s="1489"/>
      <c r="S53" s="1618">
        <f>'Rates in summary'!G46+'Rates in summary'!P46+Temporaries!J46</f>
        <v>1.619E-2</v>
      </c>
      <c r="T53" s="1755"/>
      <c r="U53" s="1489"/>
      <c r="V53" s="869">
        <f>+'Rates in summary'!Q46</f>
        <v>1.619E-2</v>
      </c>
      <c r="W53" s="870"/>
      <c r="X53" s="557"/>
      <c r="Z53" s="454">
        <f>+'Rates in summary'!D46+Temporaries!K46-Temporaries!AZ46</f>
        <v>1.619E-2</v>
      </c>
      <c r="AA53" s="454"/>
      <c r="AB53" s="557"/>
    </row>
    <row r="54" spans="1:29" x14ac:dyDescent="0.25">
      <c r="A54" s="479">
        <f t="shared" si="0"/>
        <v>48</v>
      </c>
      <c r="B54" s="510"/>
      <c r="C54" s="558" t="s">
        <v>205</v>
      </c>
      <c r="D54" s="559"/>
      <c r="E54" s="560"/>
      <c r="F54" s="561"/>
      <c r="G54" s="1692"/>
      <c r="H54" s="1565"/>
      <c r="I54" s="1569">
        <f>$G48+ROUND(IF($F48&lt;$E48,($F48*H48),IF($F48&lt;SUM($E48:$E49),(($E48*H48)+(($F48-$E48)*H49)),IF($F48&lt;SUM($E48:$E50),(($E48*H48)+($E49*H49)+(($F48-$E48-$E49)*H50)),IF($F48&lt;SUM($E48:$E51),(($E48*H48)+($E49*H49)+($E50*H50)+(($F48-SUM($E48:$E50))*H51)),IF($F48&lt;SUM($E48:$E52),(($E48*H48)+($E49*H49)+($E50*H50)+($E51*H51)+(($F48-SUM($E48:$E51))*H52)),(($E48*H48)+($E49*H49)+($E50*H50)+($E51*H50)+($E52*H52)+(($F48-SUM($E48:$E52))*H53))))))),2)</f>
        <v>6306.96</v>
      </c>
      <c r="J54" s="1565"/>
      <c r="K54" s="1569">
        <f>$G48+ROUND(IF($F48&lt;$E48,($F48*J48),IF($F48&lt;SUM($E48:$E49),(($E48*J48)+(($F48-$E48)*J49)),IF($F48&lt;SUM($E48:$E50),(($E48*J48)+($E49*J49)+(($F48-$E48-$E49)*J50)),IF($F48&lt;SUM($E48:$E51),(($E48*J48)+($E49*J49)+($E50*J50)+(($F48-SUM($E48:$E50))*J51)),IF($F48&lt;SUM($E48:$E52),(($E48*J48)+($E49*J49)+($E50*J50)+($E51*J51)+(($F48-SUM($E48:$E51))*J52)),(($E48*J48)+($E49*J49)+($E50*J50)+($E51*J50)+($E52*J52)+(($F48-SUM($E48:$E52))*J53))))))),2)</f>
        <v>6306.96</v>
      </c>
      <c r="L54" s="564">
        <f>ROUND((K54-I54)/I54,3)</f>
        <v>0</v>
      </c>
      <c r="M54" s="1565"/>
      <c r="N54" s="1569">
        <f>$G48+ROUND(IF($F48&lt;$E48,($F48*M48),IF($F48&lt;SUM($E48:$E49),(($E48*M48)+(($F48-$E48)*M49)),IF($F48&lt;SUM($E48:$E50),(($E48*M48)+($E49*M49)+(($F48-$E48-$E49)*M50)),IF($F48&lt;SUM($E48:$E51),(($E48*M48)+($E49*M49)+($E50*M50)+(($F48-SUM($E48:$E50))*M51)),IF($F48&lt;SUM($E48:$E52),(($E48*M48)+($E49*M49)+($E50*M50)+($E51*M51)+(($F48-SUM($E48:$E51))*M52)),(($E48*M48)+($E49*M49)+($E50*M50)+($E51*M50)+($E52*M52)+(($F48-SUM($E48:$E52))*M53))))))),2)</f>
        <v>6306.96</v>
      </c>
      <c r="O54" s="564">
        <f>ROUND((N54-I54)/I54,3)</f>
        <v>0</v>
      </c>
      <c r="P54" s="1619"/>
      <c r="Q54" s="1569">
        <f>$G48+ROUND(IF($F48&lt;$E48,($F48*P48),IF($F48&lt;SUM($E48:$E49),(($E48*P48)+(($F48-$E48)*P49)),IF($F48&lt;SUM($E48:$E50),(($E48*P48)+($E49*P49)+(($F48-$E48-$E49)*P50)),IF($F48&lt;SUM($E48:$E51),(($E48*P48)+($E49*P49)+($E50*P50)+(($F48-SUM($E48:$E50))*P51)),IF($F48&lt;SUM($E48:$E52),(($E48*P48)+($E49*P49)+($E50*P50)+($E51*P51)+(($F48-SUM($E48:$E51))*P52)),(($E48*P48)+($E49*P49)+($E50*P50)+($E51*P50)+($E52*P52)+(($F48-SUM($E48:$E52))*P53))))))),2)</f>
        <v>6307.44</v>
      </c>
      <c r="R54" s="564">
        <f t="shared" si="10"/>
        <v>7.6106396742577003E-5</v>
      </c>
      <c r="S54" s="1619"/>
      <c r="T54" s="1756">
        <f>$G48+ROUND(IF($F48&lt;$E48,($F48*S48),IF($F48&lt;SUM($E48:$E49),(($E48*S48)+(($F48-$E48)*S49)),IF($F48&lt;SUM($E48:$E50),(($E48*S48)+($E49*S49)+(($F48-$E48-$E49)*S50)),IF($F48&lt;SUM($E48:$E51),(($E48*S48)+($E49*S49)+($E50*S50)+(($F48-SUM($E48:$E50))*S51)),IF($F48&lt;SUM($E48:$E52),(($E48*S48)+($E49*S49)+($E50*S50)+($E51*S51)+(($F48-SUM($E48:$E51))*S52)),(($E48*S48)+($E49*S49)+($E50*S50)+($E51*S50)+($E52*S52)+(($F48-SUM($E48:$E52))*S53))))))),2)</f>
        <v>6306.96</v>
      </c>
      <c r="U54" s="564">
        <f t="shared" si="12"/>
        <v>0</v>
      </c>
      <c r="V54" s="1565"/>
      <c r="W54" s="1569">
        <f>$G48+ROUND(IF($F48&lt;$E48,($F48*V48),IF($F48&lt;SUM($E48:$E49),(($E48*V48)+(($F48-$E48)*V49)),IF($F48&lt;SUM($E48:$E50),(($E48*V48)+($E49*V49)+(($F48-$E48-$E49)*V50)),IF($F48&lt;SUM($E48:$E51),(($E48*V48)+($E49*V49)+($E50*V50)+(($F48-SUM($E48:$E50))*V51)),IF($F48&lt;SUM($E48:$E52),(($E48*V48)+($E49*V49)+($E50*V50)+($E51*V51)+(($F48-SUM($E48:$E51))*V52)),(($E48*V48)+($E49*V49)+($E50*V50)+($E51*V50)+($E52*V52)+(($F48-SUM($E48:$E52))*V53))))))),2)</f>
        <v>6307.44</v>
      </c>
      <c r="X54" s="564">
        <f>ROUND((W54-I54)/I54,3)</f>
        <v>0</v>
      </c>
      <c r="Y54" s="1463"/>
      <c r="Z54" s="562"/>
      <c r="AA54" s="563">
        <f>$G48+ROUND(IF($F48&lt;$E48,($F48*Z48),IF($F48&lt;SUM($E48:$E49),(($E48*Z48)+(($F48-$E48)*Z49)),IF($F48&lt;SUM($E48:$E50),(($E48*Z48)+($E49*Z49)+(($F48-$E48-$E49)*Z50)),IF($F48&lt;SUM($E48:$E51),(($E48*Z48)+($E49*Z49)+($E50*Z50)+(($F48-SUM($E48:$E50))*Z51)),IF($F48&lt;SUM($E48:$E52),(($E48*Z48)+($E49*Z49)+($E50*Z50)+($E51*Z51)+(($F48-SUM($E48:$E51))*Z52)),(($E48*Z48)+($E49*Z49)+($E50*Z50)+($E51*Z50)+($E52*Z52)+(($F48-SUM($E48:$E52))*Z53))))))),2)</f>
        <v>6306.96</v>
      </c>
      <c r="AB54" s="564">
        <f>ROUND((AA54-I54)/I54,3)</f>
        <v>0</v>
      </c>
    </row>
    <row r="55" spans="1:29" x14ac:dyDescent="0.25">
      <c r="A55" s="479">
        <f t="shared" si="0"/>
        <v>49</v>
      </c>
      <c r="B55" s="505" t="s">
        <v>861</v>
      </c>
      <c r="C55" s="452" t="s">
        <v>6</v>
      </c>
      <c r="D55" s="506">
        <f>+'Washington volumes'!J47</f>
        <v>237919</v>
      </c>
      <c r="E55" s="506">
        <v>10000</v>
      </c>
      <c r="F55" s="556">
        <f>+'Washington volumes'!M47</f>
        <v>39882</v>
      </c>
      <c r="G55" s="1691">
        <v>1300</v>
      </c>
      <c r="H55" s="869">
        <f>+'Rates in summary'!D47</f>
        <v>0.31897999999999999</v>
      </c>
      <c r="I55" s="870"/>
      <c r="J55" s="869">
        <f>'Rates in summary'!D47+Temporaries!K47-Temporaries!AZ47</f>
        <v>0.32045000000000001</v>
      </c>
      <c r="K55" s="870"/>
      <c r="L55" s="1489"/>
      <c r="M55" s="869">
        <f>'Rates in summary'!D47+Temporaries!L47+Temporaries!V47-Temporaries!BA47</f>
        <v>0.31850000000000001</v>
      </c>
      <c r="N55" s="870"/>
      <c r="O55" s="1489"/>
      <c r="P55" s="1618">
        <f>'Rates in summary'!D47+Temporaries!W47-Temporaries!BC47</f>
        <v>0.31901000000000002</v>
      </c>
      <c r="Q55" s="870"/>
      <c r="R55" s="1489"/>
      <c r="S55" s="1618">
        <f>'Rates in summary'!G47+'Rates in summary'!P47+Temporaries!J47</f>
        <v>0.35931999999999997</v>
      </c>
      <c r="T55" s="1755"/>
      <c r="U55" s="1489"/>
      <c r="V55" s="869">
        <f>+'Rates in summary'!Q47</f>
        <v>0.36033999999999999</v>
      </c>
      <c r="W55" s="870"/>
      <c r="X55" s="1156"/>
      <c r="Y55" s="1477"/>
      <c r="Z55" s="454">
        <f>+'Rates in summary'!D47+Temporaries!K47-Temporaries!AZ47</f>
        <v>0.32045000000000001</v>
      </c>
      <c r="AA55" s="453"/>
      <c r="AB55" s="1156"/>
    </row>
    <row r="56" spans="1:29" x14ac:dyDescent="0.25">
      <c r="A56" s="479">
        <f t="shared" si="0"/>
        <v>50</v>
      </c>
      <c r="B56" s="505"/>
      <c r="C56" s="452" t="s">
        <v>7</v>
      </c>
      <c r="D56" s="506">
        <f>+'Washington volumes'!J48</f>
        <v>464853</v>
      </c>
      <c r="E56" s="506">
        <v>20000</v>
      </c>
      <c r="F56" s="614"/>
      <c r="G56" s="1693"/>
      <c r="H56" s="869">
        <f>+'Rates in summary'!D48</f>
        <v>0.30522999999999989</v>
      </c>
      <c r="I56" s="870"/>
      <c r="J56" s="869">
        <f>'Rates in summary'!D48+Temporaries!K48-Temporaries!AZ48</f>
        <v>0.30653999999999992</v>
      </c>
      <c r="K56" s="870"/>
      <c r="L56" s="1489"/>
      <c r="M56" s="869">
        <f>'Rates in summary'!D48+Temporaries!L48+Temporaries!V48-Temporaries!BA48</f>
        <v>0.30480999999999986</v>
      </c>
      <c r="N56" s="870"/>
      <c r="O56" s="1489"/>
      <c r="P56" s="1618">
        <f>'Rates in summary'!D48+Temporaries!W48-Temporaries!BC48</f>
        <v>0.30524999999999985</v>
      </c>
      <c r="Q56" s="870"/>
      <c r="R56" s="1489"/>
      <c r="S56" s="1618">
        <f>'Rates in summary'!G48+'Rates in summary'!P48+Temporaries!J48</f>
        <v>0.34556999999999988</v>
      </c>
      <c r="T56" s="1755"/>
      <c r="U56" s="1489"/>
      <c r="V56" s="869">
        <f>+'Rates in summary'!Q48</f>
        <v>0.3464799999999999</v>
      </c>
      <c r="W56" s="870"/>
      <c r="X56" s="1156"/>
      <c r="Y56" s="1477"/>
      <c r="Z56" s="454">
        <f>+'Rates in summary'!D48+Temporaries!K48-Temporaries!AZ48</f>
        <v>0.30653999999999992</v>
      </c>
      <c r="AA56" s="453"/>
      <c r="AB56" s="1156"/>
    </row>
    <row r="57" spans="1:29" x14ac:dyDescent="0.25">
      <c r="A57" s="479">
        <f t="shared" si="0"/>
        <v>51</v>
      </c>
      <c r="B57" s="505"/>
      <c r="C57" s="452" t="s">
        <v>8</v>
      </c>
      <c r="D57" s="506">
        <f>+'Washington volumes'!J49</f>
        <v>214908</v>
      </c>
      <c r="E57" s="506">
        <v>20000</v>
      </c>
      <c r="F57" s="614"/>
      <c r="G57" s="1693"/>
      <c r="H57" s="869">
        <f>+'Rates in summary'!D49</f>
        <v>0.27787000000000012</v>
      </c>
      <c r="I57" s="870"/>
      <c r="J57" s="869">
        <f>'Rates in summary'!D49+Temporaries!K49-Temporaries!AZ49</f>
        <v>0.27888000000000013</v>
      </c>
      <c r="K57" s="870"/>
      <c r="L57" s="1489"/>
      <c r="M57" s="869">
        <f>'Rates in summary'!D49+Temporaries!L49+Temporaries!V49-Temporaries!BA49</f>
        <v>0.27754000000000012</v>
      </c>
      <c r="N57" s="870"/>
      <c r="O57" s="1489"/>
      <c r="P57" s="1618">
        <f>'Rates in summary'!D49+Temporaries!W49-Temporaries!BC49</f>
        <v>0.27789000000000014</v>
      </c>
      <c r="Q57" s="870"/>
      <c r="R57" s="1489"/>
      <c r="S57" s="1618">
        <f>'Rates in summary'!G49+'Rates in summary'!P49+Temporaries!J49</f>
        <v>0.3182100000000001</v>
      </c>
      <c r="T57" s="1755"/>
      <c r="U57" s="1489"/>
      <c r="V57" s="869">
        <f>+'Rates in summary'!Q49</f>
        <v>0.31891000000000014</v>
      </c>
      <c r="W57" s="870"/>
      <c r="X57" s="1156"/>
      <c r="Y57" s="453"/>
      <c r="Z57" s="454">
        <f>+'Rates in summary'!D49+Temporaries!K49-Temporaries!AZ49</f>
        <v>0.27888000000000013</v>
      </c>
      <c r="AA57" s="453"/>
      <c r="AB57" s="1156"/>
    </row>
    <row r="58" spans="1:29" x14ac:dyDescent="0.25">
      <c r="A58" s="479">
        <f t="shared" si="0"/>
        <v>52</v>
      </c>
      <c r="B58" s="505"/>
      <c r="C58" s="452" t="s">
        <v>9</v>
      </c>
      <c r="D58" s="506">
        <f>+'Washington volumes'!J50</f>
        <v>39494</v>
      </c>
      <c r="E58" s="506">
        <v>100000</v>
      </c>
      <c r="F58" s="614"/>
      <c r="G58" s="1693"/>
      <c r="H58" s="869">
        <f>+'Rates in summary'!D50</f>
        <v>0.25987999999999994</v>
      </c>
      <c r="I58" s="870"/>
      <c r="J58" s="869">
        <f>'Rates in summary'!D50+Temporaries!K50-Temporaries!AZ50</f>
        <v>0.26067999999999991</v>
      </c>
      <c r="K58" s="870"/>
      <c r="L58" s="1489"/>
      <c r="M58" s="869">
        <f>'Rates in summary'!D50+Temporaries!L50+Temporaries!V50-Temporaries!BA50</f>
        <v>0.25961999999999996</v>
      </c>
      <c r="N58" s="870"/>
      <c r="O58" s="1489"/>
      <c r="P58" s="1618">
        <f>'Rates in summary'!D50+Temporaries!W50-Temporaries!BC50</f>
        <v>0.25988999999999995</v>
      </c>
      <c r="Q58" s="870"/>
      <c r="R58" s="1489"/>
      <c r="S58" s="1618">
        <f>'Rates in summary'!G50+'Rates in summary'!P50+Temporaries!J50</f>
        <v>0.30021999999999993</v>
      </c>
      <c r="T58" s="1755"/>
      <c r="U58" s="1489"/>
      <c r="V58" s="869">
        <f>+'Rates in summary'!Q50</f>
        <v>0.30076999999999993</v>
      </c>
      <c r="W58" s="870"/>
      <c r="X58" s="1156"/>
      <c r="Y58" s="453"/>
      <c r="Z58" s="454">
        <f>+'Rates in summary'!D50+Temporaries!K50-Temporaries!AZ50</f>
        <v>0.26067999999999991</v>
      </c>
      <c r="AA58" s="453"/>
      <c r="AB58" s="1156"/>
      <c r="AC58" s="453"/>
    </row>
    <row r="59" spans="1:29" x14ac:dyDescent="0.25">
      <c r="A59" s="479">
        <f t="shared" si="0"/>
        <v>53</v>
      </c>
      <c r="B59" s="505"/>
      <c r="C59" s="452" t="s">
        <v>10</v>
      </c>
      <c r="D59" s="506">
        <f>+'Washington volumes'!J51</f>
        <v>0</v>
      </c>
      <c r="E59" s="506">
        <v>600000</v>
      </c>
      <c r="F59" s="614"/>
      <c r="G59" s="1693"/>
      <c r="H59" s="869">
        <f>+'Rates in summary'!D51</f>
        <v>0.23588000000000003</v>
      </c>
      <c r="I59" s="870"/>
      <c r="J59" s="869">
        <f>'Rates in summary'!D51+Temporaries!K51-Temporaries!AZ51</f>
        <v>0.23642000000000005</v>
      </c>
      <c r="K59" s="870"/>
      <c r="L59" s="1489"/>
      <c r="M59" s="869">
        <f>'Rates in summary'!D51+Temporaries!L51+Temporaries!V51-Temporaries!BA51</f>
        <v>0.23571000000000003</v>
      </c>
      <c r="N59" s="870"/>
      <c r="O59" s="1489"/>
      <c r="P59" s="1618">
        <f>'Rates in summary'!D51+Temporaries!W51-Temporaries!BC51</f>
        <v>0.23589000000000004</v>
      </c>
      <c r="Q59" s="870"/>
      <c r="R59" s="1489"/>
      <c r="S59" s="1618">
        <f>'Rates in summary'!G51+'Rates in summary'!P51+Temporaries!J51</f>
        <v>0.27622000000000002</v>
      </c>
      <c r="T59" s="1755"/>
      <c r="U59" s="1489"/>
      <c r="V59" s="869">
        <f>+'Rates in summary'!Q51</f>
        <v>0.27660000000000001</v>
      </c>
      <c r="W59" s="870"/>
      <c r="X59" s="1156"/>
      <c r="Z59" s="454">
        <f>+'Rates in summary'!D51+Temporaries!K51-Temporaries!AZ51</f>
        <v>0.23642000000000005</v>
      </c>
      <c r="AA59" s="454"/>
      <c r="AB59" s="1156"/>
    </row>
    <row r="60" spans="1:29" x14ac:dyDescent="0.25">
      <c r="A60" s="479">
        <f t="shared" si="0"/>
        <v>54</v>
      </c>
      <c r="B60" s="505"/>
      <c r="C60" s="452" t="s">
        <v>11</v>
      </c>
      <c r="D60" s="506">
        <f>+'Washington volumes'!J52</f>
        <v>0</v>
      </c>
      <c r="E60" s="555" t="s">
        <v>201</v>
      </c>
      <c r="F60" s="614"/>
      <c r="G60" s="1693"/>
      <c r="H60" s="869">
        <f>+'Rates in summary'!D52</f>
        <v>0.20589999999999992</v>
      </c>
      <c r="I60" s="870"/>
      <c r="J60" s="869">
        <f>'Rates in summary'!D52+Temporaries!K52-Temporaries!AZ52</f>
        <v>0.20609999999999989</v>
      </c>
      <c r="K60" s="870"/>
      <c r="L60" s="1489"/>
      <c r="M60" s="869">
        <f>'Rates in summary'!D52+Temporaries!L52+Temporaries!V52-Temporaries!BA52</f>
        <v>0.20583999999999994</v>
      </c>
      <c r="N60" s="870"/>
      <c r="O60" s="1489"/>
      <c r="P60" s="1618">
        <f>'Rates in summary'!D52+Temporaries!W52-Temporaries!BC52</f>
        <v>0.20589999999999992</v>
      </c>
      <c r="Q60" s="870"/>
      <c r="R60" s="1489"/>
      <c r="S60" s="1618">
        <f>'Rates in summary'!G52+'Rates in summary'!P52+Temporaries!J52</f>
        <v>0.2462399999999999</v>
      </c>
      <c r="T60" s="1755"/>
      <c r="U60" s="1489"/>
      <c r="V60" s="869">
        <f>+'Rates in summary'!Q52</f>
        <v>0.2463799999999999</v>
      </c>
      <c r="W60" s="870"/>
      <c r="X60" s="1156"/>
      <c r="Z60" s="454">
        <f>+'Rates in summary'!D52+Temporaries!K52-Temporaries!AZ52</f>
        <v>0.20609999999999989</v>
      </c>
      <c r="AA60" s="454"/>
      <c r="AB60" s="1156"/>
    </row>
    <row r="61" spans="1:29" x14ac:dyDescent="0.25">
      <c r="A61" s="479">
        <f t="shared" si="0"/>
        <v>55</v>
      </c>
      <c r="B61" s="510"/>
      <c r="C61" s="558" t="s">
        <v>205</v>
      </c>
      <c r="D61" s="559"/>
      <c r="E61" s="560"/>
      <c r="F61" s="561"/>
      <c r="G61" s="1692"/>
      <c r="H61" s="1565"/>
      <c r="I61" s="1569">
        <f>$G55+ROUND(IF($F55&lt;$E55,($F55*H55),IF($F55&lt;SUM($E55:$E56),(($E55*H55)+(($F55-$E55)*H56)),IF($F55&lt;SUM($E55:$E57),(($E55*H55)+($E56*H56)+(($F55-$E55-$E56)*H57)),IF($F55&lt;SUM($E55:$E58),(($E55*H55)+($E56*H56)+($E57*H57)+(($F55-SUM($E55:$E57))*H58)),IF($F55&lt;SUM($E55:$E59),(($E55*H55)+($E56*H56)+($E57*H57)+($E58*H58)+(($F55-SUM($E55:$E58))*H59)),(($E55*H55)+($E56*H56)+($E57*H57)+($E58*H57)+($E59*H59)+(($F55-SUM($E55:$E59))*H60))))))),2)</f>
        <v>13340.31</v>
      </c>
      <c r="J61" s="1565"/>
      <c r="K61" s="1569">
        <f>$G55+ROUND(IF($F55&lt;$E55,($F55*J55),IF($F55&lt;SUM($E55:$E56),(($E55*J55)+(($F55-$E55)*J56)),IF($F55&lt;SUM($E55:$E57),(($E55*J55)+($E56*J56)+(($F55-$E55-$E56)*J57)),IF($F55&lt;SUM($E55:$E58),(($E55*J55)+($E56*J56)+($E57*J57)+(($F55-SUM($E55:$E57))*J58)),IF($F55&lt;SUM($E55:$E59),(($E55*J55)+($E56*J56)+($E57*J57)+($E58*J58)+(($F55-SUM($E55:$E58))*J59)),(($E55*J55)+($E56*J56)+($E57*J57)+($E58*J57)+($E59*J59)+(($F55-SUM($E55:$E59))*J60))))))),2)</f>
        <v>13391.19</v>
      </c>
      <c r="L61" s="564">
        <f>ROUND((K61-I61)/I61,3)</f>
        <v>4.0000000000000001E-3</v>
      </c>
      <c r="M61" s="1565"/>
      <c r="N61" s="1569">
        <f>$G55+ROUND(IF($F55&lt;$E55,($F55*M55),IF($F55&lt;SUM($E55:$E56),(($E55*M55)+(($F55-$E55)*M56)),IF($F55&lt;SUM($E55:$E57),(($E55*M55)+($E56*M56)+(($F55-$E55-$E56)*M57)),IF($F55&lt;SUM($E55:$E58),(($E55*M55)+($E56*M56)+($E57*M57)+(($F55-SUM($E55:$E57))*M58)),IF($F55&lt;SUM($E55:$E59),(($E55*M55)+($E56*M56)+($E57*M57)+($E58*M58)+(($F55-SUM($E55:$E58))*M59)),(($E55*M55)+($E56*M56)+($E57*M57)+($E58*M57)+($E59*M59)+(($F55-SUM($E55:$E59))*M60))))))),2)</f>
        <v>13323.85</v>
      </c>
      <c r="O61" s="564">
        <f>ROUND((N61-I61)/I61,3)</f>
        <v>-1E-3</v>
      </c>
      <c r="P61" s="1619"/>
      <c r="Q61" s="1569">
        <f>$G55+ROUND(IF($F55&lt;$E55,($F55*P55),IF($F55&lt;SUM($E55:$E56),(($E55*P55)+(($F55-$E55)*P56)),IF($F55&lt;SUM($E55:$E57),(($E55*P55)+($E56*P56)+(($F55-$E55-$E56)*P57)),IF($F55&lt;SUM($E55:$E58),(($E55*P55)+($E56*P56)+($E57*P57)+(($F55-SUM($E55:$E57))*P58)),IF($F55&lt;SUM($E55:$E59),(($E55*P55)+($E56*P56)+($E57*P57)+($E58*P58)+(($F55-SUM($E55:$E58))*P59)),(($E55*P55)+($E56*P56)+($E57*P57)+($E58*P57)+($E59*P59)+(($F55-SUM($E55:$E59))*P60))))))),2)</f>
        <v>13341.21</v>
      </c>
      <c r="R61" s="564">
        <f t="shared" si="10"/>
        <v>6.7464699096170646E-5</v>
      </c>
      <c r="S61" s="1619"/>
      <c r="T61" s="1756">
        <f>$G55+ROUND(IF($F55&lt;$E55,($F55*S55),IF($F55&lt;SUM($E55:$E56),(($E55*S55)+(($F55-$E55)*S56)),IF($F55&lt;SUM($E55:$E57),(($E55*S55)+($E56*S56)+(($F55-$E55-$E56)*S57)),IF($F55&lt;SUM($E55:$E58),(($E55*S55)+($E56*S56)+($E57*S57)+(($F55-SUM($E55:$E57))*S58)),IF($F55&lt;SUM($E55:$E59),(($E55*S55)+($E56*S56)+($E57*S57)+($E58*S58)+(($F55-SUM($E55:$E58))*S59)),(($E55*S55)+($E56*S56)+($E57*S57)+($E58*S57)+($E59*S59)+(($F55-SUM($E55:$E59))*S60))))))),2)</f>
        <v>14949.15</v>
      </c>
      <c r="U61" s="564">
        <f t="shared" si="12"/>
        <v>0.121</v>
      </c>
      <c r="V61" s="1565"/>
      <c r="W61" s="1569">
        <f>$G55+ROUND(IF($F55&lt;$E55,($F55*V55),IF($F55&lt;SUM($E55:$E56),(($E55*V55)+(($F55-$E55)*V56)),IF($F55&lt;SUM($E55:$E57),(($E55*V55)+($E56*V56)+(($F55-$E55-$E56)*V57)),IF($F55&lt;SUM($E55:$E58),(($E55*V55)+($E56*V56)+($E57*V57)+(($F55-SUM($E55:$E57))*V58)),IF($F55&lt;SUM($E55:$E59),(($E55*V55)+($E56*V56)+($E57*V57)+($E58*V58)+(($F55-SUM($E55:$E58))*V59)),(($E55*V55)+($E56*V56)+($E57*V57)+($E58*V57)+($E59*V59)+(($F55-SUM($E55:$E59))*V60))))))),2)</f>
        <v>14984.47</v>
      </c>
      <c r="X61" s="564">
        <f>ROUND((W61-I61)/I61,3)</f>
        <v>0.123</v>
      </c>
      <c r="Y61" s="1463"/>
      <c r="Z61" s="562"/>
      <c r="AA61" s="563">
        <f>$G55+ROUND(IF($F55&lt;$E55,($F55*Z55),IF($F55&lt;SUM($E55:$E56),(($E55*Z55)+(($F55-$E55)*Z56)),IF($F55&lt;SUM($E55:$E57),(($E55*Z55)+($E56*Z56)+(($F55-$E55-$E56)*Z57)),IF($F55&lt;SUM($E55:$E58),(($E55*Z55)+($E56*Z56)+($E57*Z57)+(($F55-SUM($E55:$E57))*Z58)),IF($F55&lt;SUM($E55:$E59),(($E55*Z55)+($E56*Z56)+($E57*Z57)+($E58*Z58)+(($F55-SUM($E55:$E58))*Z59)),(($E55*Z55)+($E56*Z56)+($E57*Z57)+($E58*Z57)+($E59*Z59)+(($F55-SUM($E55:$E59))*Z60))))))),2)</f>
        <v>13391.19</v>
      </c>
      <c r="AB61" s="564">
        <f>ROUND((AA61-I61)/I61,3)</f>
        <v>4.0000000000000001E-3</v>
      </c>
    </row>
    <row r="62" spans="1:29" x14ac:dyDescent="0.25">
      <c r="A62" s="479">
        <f t="shared" si="0"/>
        <v>56</v>
      </c>
      <c r="B62" s="505" t="s">
        <v>862</v>
      </c>
      <c r="C62" s="452" t="s">
        <v>6</v>
      </c>
      <c r="D62" s="506">
        <f>+'Washington volumes'!J53</f>
        <v>159428</v>
      </c>
      <c r="E62" s="506">
        <v>10000</v>
      </c>
      <c r="F62" s="556">
        <f>+'Washington volumes'!M53</f>
        <v>8626</v>
      </c>
      <c r="G62" s="1691">
        <v>1300</v>
      </c>
      <c r="H62" s="869">
        <f>+'Rates in summary'!D53</f>
        <v>0.30886999999999998</v>
      </c>
      <c r="I62" s="870"/>
      <c r="J62" s="869">
        <f>'Rates in summary'!D53+Temporaries!K53-Temporaries!AZ53</f>
        <v>0.30886999999999998</v>
      </c>
      <c r="K62" s="870"/>
      <c r="L62" s="1489"/>
      <c r="M62" s="869">
        <f>'Rates in summary'!D53+Temporaries!L53+Temporaries!V53-Temporaries!BA53</f>
        <v>0.309</v>
      </c>
      <c r="N62" s="870"/>
      <c r="O62" s="1489"/>
      <c r="P62" s="1618">
        <f>'Rates in summary'!D53+Temporaries!W53-Temporaries!BC53</f>
        <v>0.30880999999999997</v>
      </c>
      <c r="Q62" s="870"/>
      <c r="R62" s="1489"/>
      <c r="S62" s="1618">
        <f>'Rates in summary'!G53+'Rates in summary'!P53+Temporaries!J53</f>
        <v>0.34920999999999996</v>
      </c>
      <c r="T62" s="1755"/>
      <c r="U62" s="1489"/>
      <c r="V62" s="869">
        <f>+'Rates in summary'!Q53</f>
        <v>0.34927999999999998</v>
      </c>
      <c r="W62" s="870"/>
      <c r="X62" s="557"/>
      <c r="Y62" s="1477"/>
      <c r="Z62" s="454">
        <f>+'Rates in summary'!D53+Temporaries!K53-Temporaries!AZ53</f>
        <v>0.30886999999999998</v>
      </c>
      <c r="AA62" s="453"/>
      <c r="AB62" s="557"/>
      <c r="AC62" s="1477"/>
    </row>
    <row r="63" spans="1:29" x14ac:dyDescent="0.25">
      <c r="A63" s="479">
        <f t="shared" si="0"/>
        <v>57</v>
      </c>
      <c r="B63" s="505"/>
      <c r="C63" s="452" t="s">
        <v>7</v>
      </c>
      <c r="D63" s="506">
        <f>+'Washington volumes'!J54</f>
        <v>151104</v>
      </c>
      <c r="E63" s="506">
        <v>20000</v>
      </c>
      <c r="F63" s="556"/>
      <c r="G63" s="1691"/>
      <c r="H63" s="869">
        <f>+'Rates in summary'!D54</f>
        <v>0.29617999999999989</v>
      </c>
      <c r="I63" s="870"/>
      <c r="J63" s="869">
        <f>'Rates in summary'!D54+Temporaries!K54-Temporaries!AZ54</f>
        <v>0.29617999999999989</v>
      </c>
      <c r="K63" s="870"/>
      <c r="L63" s="1489"/>
      <c r="M63" s="869">
        <f>'Rates in summary'!D54+Temporaries!L54+Temporaries!V54-Temporaries!BA54</f>
        <v>0.2962999999999999</v>
      </c>
      <c r="N63" s="870"/>
      <c r="O63" s="1489"/>
      <c r="P63" s="1618">
        <f>'Rates in summary'!D54+Temporaries!W54-Temporaries!BC54</f>
        <v>0.29612999999999989</v>
      </c>
      <c r="Q63" s="870"/>
      <c r="R63" s="1489"/>
      <c r="S63" s="1618">
        <f>'Rates in summary'!G54+'Rates in summary'!P54+Temporaries!J54</f>
        <v>0.33651999999999987</v>
      </c>
      <c r="T63" s="1755"/>
      <c r="U63" s="1489"/>
      <c r="V63" s="869">
        <f>+'Rates in summary'!Q54</f>
        <v>0.33658999999999989</v>
      </c>
      <c r="W63" s="870"/>
      <c r="X63" s="557"/>
      <c r="Y63" s="1477"/>
      <c r="Z63" s="454">
        <f>+'Rates in summary'!D54+Temporaries!K54-Temporaries!AZ54</f>
        <v>0.29617999999999989</v>
      </c>
      <c r="AA63" s="453"/>
      <c r="AB63" s="557"/>
      <c r="AC63" s="1477"/>
    </row>
    <row r="64" spans="1:29" x14ac:dyDescent="0.25">
      <c r="A64" s="479">
        <f t="shared" si="0"/>
        <v>58</v>
      </c>
      <c r="B64" s="505"/>
      <c r="C64" s="452" t="s">
        <v>8</v>
      </c>
      <c r="D64" s="506">
        <f>+'Washington volumes'!J55</f>
        <v>0</v>
      </c>
      <c r="E64" s="506">
        <v>20000</v>
      </c>
      <c r="F64" s="556"/>
      <c r="G64" s="1691"/>
      <c r="H64" s="869">
        <f>+'Rates in summary'!D55</f>
        <v>0.27094000000000013</v>
      </c>
      <c r="I64" s="870"/>
      <c r="J64" s="869">
        <f>'Rates in summary'!D55+Temporaries!K55-Temporaries!AZ55</f>
        <v>0.27094000000000013</v>
      </c>
      <c r="K64" s="870"/>
      <c r="L64" s="1489"/>
      <c r="M64" s="869">
        <f>'Rates in summary'!D55+Temporaries!L55+Temporaries!V55-Temporaries!BA55</f>
        <v>0.27104000000000011</v>
      </c>
      <c r="N64" s="870"/>
      <c r="O64" s="1489"/>
      <c r="P64" s="1618">
        <f>'Rates in summary'!D55+Temporaries!W55-Temporaries!BC55</f>
        <v>0.27089000000000013</v>
      </c>
      <c r="Q64" s="870"/>
      <c r="R64" s="1489"/>
      <c r="S64" s="1618">
        <f>'Rates in summary'!G55+'Rates in summary'!P55+Temporaries!J55</f>
        <v>0.31128000000000011</v>
      </c>
      <c r="T64" s="1755"/>
      <c r="U64" s="1489"/>
      <c r="V64" s="869">
        <f>+'Rates in summary'!Q55</f>
        <v>0.31133000000000011</v>
      </c>
      <c r="W64" s="870"/>
      <c r="X64" s="557"/>
      <c r="Y64" s="453"/>
      <c r="Z64" s="454">
        <f>+'Rates in summary'!D55+Temporaries!K55-Temporaries!AZ55</f>
        <v>0.27094000000000013</v>
      </c>
      <c r="AA64" s="453"/>
      <c r="AB64" s="557"/>
      <c r="AC64" s="453"/>
    </row>
    <row r="65" spans="1:29" x14ac:dyDescent="0.25">
      <c r="A65" s="479">
        <f t="shared" si="0"/>
        <v>59</v>
      </c>
      <c r="B65" s="505"/>
      <c r="C65" s="452" t="s">
        <v>9</v>
      </c>
      <c r="D65" s="506">
        <f>+'Washington volumes'!J56</f>
        <v>0</v>
      </c>
      <c r="E65" s="506">
        <v>100000</v>
      </c>
      <c r="F65" s="556"/>
      <c r="G65" s="1691"/>
      <c r="H65" s="869">
        <f>+'Rates in summary'!D56</f>
        <v>0.25432999999999983</v>
      </c>
      <c r="I65" s="870"/>
      <c r="J65" s="869">
        <f>'Rates in summary'!D56+Temporaries!K56-Temporaries!AZ56</f>
        <v>0.25432999999999983</v>
      </c>
      <c r="K65" s="870"/>
      <c r="L65" s="1489"/>
      <c r="M65" s="869">
        <f>'Rates in summary'!D56+Temporaries!L56+Temporaries!V56-Temporaries!BA56</f>
        <v>0.25438999999999989</v>
      </c>
      <c r="N65" s="870"/>
      <c r="O65" s="1489"/>
      <c r="P65" s="1618">
        <f>'Rates in summary'!D56+Temporaries!W56-Temporaries!BC56</f>
        <v>0.25429999999999986</v>
      </c>
      <c r="Q65" s="870"/>
      <c r="R65" s="1489"/>
      <c r="S65" s="1618">
        <f>'Rates in summary'!G56+'Rates in summary'!P56+Temporaries!J56</f>
        <v>0.29466999999999982</v>
      </c>
      <c r="T65" s="1755"/>
      <c r="U65" s="1489"/>
      <c r="V65" s="869">
        <f>+'Rates in summary'!Q56</f>
        <v>0.29469999999999985</v>
      </c>
      <c r="W65" s="870"/>
      <c r="X65" s="557"/>
      <c r="Z65" s="454">
        <f>+'Rates in summary'!D56+Temporaries!K56-Temporaries!AZ56</f>
        <v>0.25432999999999983</v>
      </c>
      <c r="AA65" s="453"/>
      <c r="AB65" s="557"/>
    </row>
    <row r="66" spans="1:29" x14ac:dyDescent="0.25">
      <c r="A66" s="479">
        <f t="shared" si="0"/>
        <v>60</v>
      </c>
      <c r="B66" s="505"/>
      <c r="C66" s="452" t="s">
        <v>10</v>
      </c>
      <c r="D66" s="506">
        <f>+'Washington volumes'!J57</f>
        <v>0</v>
      </c>
      <c r="E66" s="506">
        <v>600000</v>
      </c>
      <c r="F66" s="556"/>
      <c r="G66" s="1691"/>
      <c r="H66" s="869">
        <f>+'Rates in summary'!D57</f>
        <v>0.23218000000000003</v>
      </c>
      <c r="I66" s="870"/>
      <c r="J66" s="869">
        <f>'Rates in summary'!D57+Temporaries!K57-Temporaries!AZ57</f>
        <v>0.23218000000000003</v>
      </c>
      <c r="K66" s="870"/>
      <c r="L66" s="1489"/>
      <c r="M66" s="869">
        <f>'Rates in summary'!D57+Temporaries!L57+Temporaries!V57-Temporaries!BA57</f>
        <v>0.23223000000000002</v>
      </c>
      <c r="N66" s="870"/>
      <c r="O66" s="1489"/>
      <c r="P66" s="1618">
        <f>'Rates in summary'!D57+Temporaries!W57-Temporaries!BC57</f>
        <v>0.23215000000000002</v>
      </c>
      <c r="Q66" s="870"/>
      <c r="R66" s="1489"/>
      <c r="S66" s="1618">
        <f>'Rates in summary'!G57+'Rates in summary'!P57+Temporaries!J57</f>
        <v>0.27252000000000004</v>
      </c>
      <c r="T66" s="1755"/>
      <c r="U66" s="1489"/>
      <c r="V66" s="869">
        <f>+'Rates in summary'!Q57</f>
        <v>0.27254</v>
      </c>
      <c r="W66" s="870"/>
      <c r="X66" s="557"/>
      <c r="Z66" s="454">
        <f>+'Rates in summary'!D57+Temporaries!K57-Temporaries!AZ57</f>
        <v>0.23218000000000003</v>
      </c>
      <c r="AA66" s="454"/>
      <c r="AB66" s="557"/>
    </row>
    <row r="67" spans="1:29" x14ac:dyDescent="0.25">
      <c r="A67" s="479">
        <f t="shared" si="0"/>
        <v>61</v>
      </c>
      <c r="B67" s="505"/>
      <c r="C67" s="452" t="s">
        <v>11</v>
      </c>
      <c r="D67" s="506">
        <f>+'Washington volumes'!J58</f>
        <v>0</v>
      </c>
      <c r="E67" s="555" t="s">
        <v>201</v>
      </c>
      <c r="F67" s="556"/>
      <c r="G67" s="1691"/>
      <c r="H67" s="869">
        <f>+'Rates in summary'!D58</f>
        <v>0.20451999999999992</v>
      </c>
      <c r="I67" s="870"/>
      <c r="J67" s="869">
        <f>'Rates in summary'!D58+Temporaries!K58-Temporaries!AZ58</f>
        <v>0.20451999999999992</v>
      </c>
      <c r="K67" s="870"/>
      <c r="L67" s="1489"/>
      <c r="M67" s="869">
        <f>'Rates in summary'!D58+Temporaries!L58+Temporaries!V58-Temporaries!BA58</f>
        <v>0.20452999999999991</v>
      </c>
      <c r="N67" s="870"/>
      <c r="O67" s="1489"/>
      <c r="P67" s="1618">
        <f>'Rates in summary'!D58+Temporaries!W58-Temporaries!BC58</f>
        <v>0.20450999999999994</v>
      </c>
      <c r="Q67" s="870"/>
      <c r="R67" s="1489"/>
      <c r="S67" s="1618">
        <f>'Rates in summary'!G58+'Rates in summary'!P58+Temporaries!J58</f>
        <v>0.24485999999999991</v>
      </c>
      <c r="T67" s="1755"/>
      <c r="U67" s="1489"/>
      <c r="V67" s="869">
        <f>+'Rates in summary'!Q58</f>
        <v>0.24485999999999991</v>
      </c>
      <c r="W67" s="870"/>
      <c r="X67" s="557"/>
      <c r="Z67" s="454">
        <f>+'Rates in summary'!D58+Temporaries!K58-Temporaries!AZ58</f>
        <v>0.20451999999999992</v>
      </c>
      <c r="AA67" s="454"/>
      <c r="AB67" s="557"/>
    </row>
    <row r="68" spans="1:29" x14ac:dyDescent="0.25">
      <c r="A68" s="479">
        <f t="shared" si="0"/>
        <v>62</v>
      </c>
      <c r="B68" s="510"/>
      <c r="C68" s="558" t="s">
        <v>205</v>
      </c>
      <c r="D68" s="559"/>
      <c r="E68" s="560"/>
      <c r="F68" s="561"/>
      <c r="G68" s="1692"/>
      <c r="H68" s="1565"/>
      <c r="I68" s="1569">
        <f>$G62+ROUND(IF($F62&lt;$E62,($F62*H62),IF($F62&lt;SUM($E62:$E63),(($E62*H62)+(($F62-$E62)*H63)),IF($F62&lt;SUM($E62:$E64),(($E62*H62)+($E63*H63)+(($F62-$E62-$E63)*H64)),IF($F62&lt;SUM($E62:$E65),(($E62*H62)+($E63*H63)+($E64*H64)+(($F62-SUM($E62:$E64))*H65)),IF($F62&lt;SUM($E62:$E66),(($E62*H62)+($E63*H63)+($E64*H64)+($E65*H65)+(($F62-SUM($E62:$E65))*H66)),(($E62*H62)+($E63*H63)+($E64*H64)+($E65*H64)+($E66*H66)+(($F62-SUM($E62:$E66))*H67))))))),2)</f>
        <v>3964.31</v>
      </c>
      <c r="J68" s="1565"/>
      <c r="K68" s="1569">
        <f>$G62+ROUND(IF($F62&lt;$E62,($F62*J62),IF($F62&lt;SUM($E62:$E63),(($E62*J62)+(($F62-$E62)*J63)),IF($F62&lt;SUM($E62:$E64),(($E62*J62)+($E63*J63)+(($F62-$E62-$E63)*J64)),IF($F62&lt;SUM($E62:$E65),(($E62*J62)+($E63*J63)+($E64*J64)+(($F62-SUM($E62:$E64))*J65)),IF($F62&lt;SUM($E62:$E66),(($E62*J62)+($E63*J63)+($E64*J64)+($E65*J65)+(($F62-SUM($E62:$E65))*J66)),(($E62*J62)+($E63*J63)+($E64*J64)+($E65*J64)+($E66*J66)+(($F62-SUM($E62:$E66))*J67))))))),2)</f>
        <v>3964.31</v>
      </c>
      <c r="L68" s="564">
        <f>ROUND((K68-I68)/I68,3)</f>
        <v>0</v>
      </c>
      <c r="M68" s="1565"/>
      <c r="N68" s="1569">
        <f>$G62+ROUND(IF($F62&lt;$E62,($F62*M62),IF($F62&lt;SUM($E62:$E63),(($E62*M62)+(($F62-$E62)*M63)),IF($F62&lt;SUM($E62:$E64),(($E62*M62)+($E63*M63)+(($F62-$E62-$E63)*M64)),IF($F62&lt;SUM($E62:$E65),(($E62*M62)+($E63*M63)+($E64*M64)+(($F62-SUM($E62:$E64))*M65)),IF($F62&lt;SUM($E62:$E66),(($E62*M62)+($E63*M63)+($E64*M64)+($E65*M65)+(($F62-SUM($E62:$E65))*M66)),(($E62*M62)+($E63*M63)+($E64*M64)+($E65*M64)+($E66*M66)+(($F62-SUM($E62:$E66))*M67))))))),2)</f>
        <v>3965.43</v>
      </c>
      <c r="O68" s="564">
        <f>ROUND((N68-I68)/I68,3)</f>
        <v>0</v>
      </c>
      <c r="P68" s="1619"/>
      <c r="Q68" s="1569">
        <f>$G62+ROUND(IF($F62&lt;$E62,($F62*P62),IF($F62&lt;SUM($E62:$E63),(($E62*P62)+(($F62-$E62)*P63)),IF($F62&lt;SUM($E62:$E64),(($E62*P62)+($E63*P63)+(($F62-$E62-$E63)*P64)),IF($F62&lt;SUM($E62:$E65),(($E62*P62)+($E63*P63)+($E64*P64)+(($F62-SUM($E62:$E64))*P65)),IF($F62&lt;SUM($E62:$E66),(($E62*P62)+($E63*P63)+($E64*P64)+($E65*P65)+(($F62-SUM($E62:$E65))*P66)),(($E62*P62)+($E63*P63)+($E64*P64)+($E65*P64)+($E66*P66)+(($F62-SUM($E62:$E66))*P67))))))),2)</f>
        <v>3963.8</v>
      </c>
      <c r="R68" s="564">
        <f t="shared" si="10"/>
        <v>-1.286478605355695E-4</v>
      </c>
      <c r="S68" s="1619"/>
      <c r="T68" s="1756">
        <f>$G62+ROUND(IF($F62&lt;$E62,($F62*S62),IF($F62&lt;SUM($E62:$E63),(($E62*S62)+(($F62-$E62)*S63)),IF($F62&lt;SUM($E62:$E64),(($E62*S62)+($E63*S63)+(($F62-$E62-$E63)*S64)),IF($F62&lt;SUM($E62:$E65),(($E62*S62)+($E63*S63)+($E64*S64)+(($F62-SUM($E62:$E64))*S65)),IF($F62&lt;SUM($E62:$E66),(($E62*S62)+($E63*S63)+($E64*S64)+($E65*S65)+(($F62-SUM($E62:$E65))*S66)),(($E62*S62)+($E63*S63)+($E64*S64)+($E65*S64)+($E66*S66)+(($F62-SUM($E62:$E66))*S67))))))),2)</f>
        <v>4312.29</v>
      </c>
      <c r="U68" s="564">
        <f t="shared" si="12"/>
        <v>8.7999999999999995E-2</v>
      </c>
      <c r="V68" s="1565"/>
      <c r="W68" s="1569">
        <f>$G62+ROUND(IF($F62&lt;$E62,($F62*V62),IF($F62&lt;SUM($E62:$E63),(($E62*V62)+(($F62-$E62)*V63)),IF($F62&lt;SUM($E62:$E64),(($E62*V62)+($E63*V63)+(($F62-$E62-$E63)*V64)),IF($F62&lt;SUM($E62:$E65),(($E62*V62)+($E63*V63)+($E64*V64)+(($F62-SUM($E62:$E64))*V65)),IF($F62&lt;SUM($E62:$E66),(($E62*V62)+($E63*V63)+($E64*V64)+($E65*V65)+(($F62-SUM($E62:$E65))*V66)),(($E62*V62)+($E63*V63)+($E64*V64)+($E65*V64)+($E66*V66)+(($F62-SUM($E62:$E66))*V67))))))),2)</f>
        <v>4312.8899999999994</v>
      </c>
      <c r="X68" s="564">
        <f>ROUND((W68-I68)/I68,3)</f>
        <v>8.7999999999999995E-2</v>
      </c>
      <c r="Y68" s="1463"/>
      <c r="Z68" s="562"/>
      <c r="AA68" s="563">
        <f>$G62+ROUND(IF($F62&lt;$E62,($F62*Z62),IF($F62&lt;SUM($E62:$E63),(($E62*Z62)+(($F62-$E62)*Z63)),IF($F62&lt;SUM($E62:$E64),(($E62*Z62)+($E63*Z63)+(($F62-$E62-$E63)*Z64)),IF($F62&lt;SUM($E62:$E65),(($E62*Z62)+($E63*Z63)+($E64*Z64)+(($F62-SUM($E62:$E64))*Z65)),IF($F62&lt;SUM($E62:$E66),(($E62*Z62)+($E63*Z63)+($E64*Z64)+($E65*Z65)+(($F62-SUM($E62:$E65))*Z66)),(($E62*Z62)+($E63*Z63)+($E64*Z64)+($E65*Z64)+($E66*Z66)+(($F62-SUM($E62:$E66))*Z67))))))),2)</f>
        <v>3964.31</v>
      </c>
      <c r="AB68" s="564">
        <f>ROUND((AA68-I68)/I68,3)</f>
        <v>0</v>
      </c>
    </row>
    <row r="69" spans="1:29" x14ac:dyDescent="0.25">
      <c r="A69" s="479">
        <f t="shared" si="0"/>
        <v>63</v>
      </c>
      <c r="B69" s="505" t="s">
        <v>166</v>
      </c>
      <c r="C69" s="452" t="s">
        <v>6</v>
      </c>
      <c r="D69" s="565">
        <f>+'Washington volumes'!J59</f>
        <v>881572</v>
      </c>
      <c r="E69" s="506">
        <v>10000</v>
      </c>
      <c r="F69" s="566">
        <f>+'Washington volumes'!M59</f>
        <v>82573</v>
      </c>
      <c r="G69" s="1691">
        <f>1300+250</f>
        <v>1550</v>
      </c>
      <c r="H69" s="1566">
        <f>+'Rates in summary'!D59</f>
        <v>0.11796999999999999</v>
      </c>
      <c r="I69" s="870"/>
      <c r="J69" s="869">
        <f>'Rates in summary'!D59+Temporaries!K59-Temporaries!AZ59</f>
        <v>0.11796999999999999</v>
      </c>
      <c r="K69" s="870"/>
      <c r="L69" s="1489"/>
      <c r="M69" s="869">
        <f>'Rates in summary'!D59+Temporaries!L59+Temporaries!V59-Temporaries!BA59</f>
        <v>0.11796999999999999</v>
      </c>
      <c r="N69" s="870"/>
      <c r="O69" s="1489"/>
      <c r="P69" s="1618">
        <f>'Rates in summary'!D59+Temporaries!W59-Temporaries!BC59</f>
        <v>0.11797999999999999</v>
      </c>
      <c r="Q69" s="870"/>
      <c r="R69" s="1489"/>
      <c r="S69" s="1618">
        <f>'Rates in summary'!G59+'Rates in summary'!P59+Temporaries!J59</f>
        <v>0.11796999999999999</v>
      </c>
      <c r="T69" s="1755"/>
      <c r="U69" s="1489"/>
      <c r="V69" s="869">
        <f>+'Rates in summary'!Q59</f>
        <v>0.11797999999999999</v>
      </c>
      <c r="W69" s="870"/>
      <c r="X69" s="567"/>
      <c r="Y69" s="1477"/>
      <c r="Z69" s="454">
        <f>+'Rates in summary'!D59+Temporaries!K59-Temporaries!AZ59</f>
        <v>0.11796999999999999</v>
      </c>
      <c r="AA69" s="453"/>
      <c r="AB69" s="567"/>
      <c r="AC69" s="1477"/>
    </row>
    <row r="70" spans="1:29" x14ac:dyDescent="0.25">
      <c r="A70" s="479">
        <f t="shared" si="0"/>
        <v>64</v>
      </c>
      <c r="B70" s="505"/>
      <c r="C70" s="452" t="s">
        <v>7</v>
      </c>
      <c r="D70" s="568">
        <f>+'Washington volumes'!J60</f>
        <v>1495748</v>
      </c>
      <c r="E70" s="506">
        <v>20000</v>
      </c>
      <c r="F70" s="569"/>
      <c r="G70" s="1572"/>
      <c r="H70" s="1567">
        <f>+'Rates in summary'!D60</f>
        <v>0.1056</v>
      </c>
      <c r="I70" s="870"/>
      <c r="J70" s="869">
        <f>'Rates in summary'!D60+Temporaries!K60-Temporaries!AZ60</f>
        <v>0.1056</v>
      </c>
      <c r="K70" s="870"/>
      <c r="L70" s="1489"/>
      <c r="M70" s="869">
        <f>'Rates in summary'!D60+Temporaries!L60+Temporaries!V60-Temporaries!BA60</f>
        <v>0.1056</v>
      </c>
      <c r="N70" s="870"/>
      <c r="O70" s="1489"/>
      <c r="P70" s="1618">
        <f>'Rates in summary'!D60+Temporaries!W60-Temporaries!BC60</f>
        <v>0.10561</v>
      </c>
      <c r="Q70" s="870"/>
      <c r="R70" s="1489"/>
      <c r="S70" s="1618">
        <f>'Rates in summary'!G60+'Rates in summary'!P60+Temporaries!J60</f>
        <v>0.1056</v>
      </c>
      <c r="T70" s="1755"/>
      <c r="U70" s="1489"/>
      <c r="V70" s="869">
        <f>+'Rates in summary'!Q60</f>
        <v>0.10561</v>
      </c>
      <c r="W70" s="870"/>
      <c r="X70" s="570"/>
      <c r="Y70" s="1477"/>
      <c r="Z70" s="454">
        <f>+'Rates in summary'!D60+Temporaries!K60-Temporaries!AZ60</f>
        <v>0.1056</v>
      </c>
      <c r="AA70" s="453"/>
      <c r="AB70" s="570"/>
      <c r="AC70" s="1477"/>
    </row>
    <row r="71" spans="1:29" x14ac:dyDescent="0.25">
      <c r="A71" s="479">
        <f t="shared" si="0"/>
        <v>65</v>
      </c>
      <c r="B71" s="505"/>
      <c r="C71" s="452" t="s">
        <v>8</v>
      </c>
      <c r="D71" s="568">
        <f>+'Washington volumes'!J61</f>
        <v>1185204</v>
      </c>
      <c r="E71" s="506">
        <v>20000</v>
      </c>
      <c r="F71" s="569"/>
      <c r="G71" s="1572"/>
      <c r="H71" s="1567">
        <f>+'Rates in summary'!D61</f>
        <v>8.0979999999999996E-2</v>
      </c>
      <c r="I71" s="870"/>
      <c r="J71" s="869">
        <f>'Rates in summary'!D61+Temporaries!K61-Temporaries!AZ61</f>
        <v>8.0979999999999996E-2</v>
      </c>
      <c r="K71" s="870"/>
      <c r="L71" s="1489"/>
      <c r="M71" s="869">
        <f>'Rates in summary'!D61+Temporaries!L61+Temporaries!V61-Temporaries!BA61</f>
        <v>8.0979999999999996E-2</v>
      </c>
      <c r="N71" s="870"/>
      <c r="O71" s="1489"/>
      <c r="P71" s="1618">
        <f>'Rates in summary'!D61+Temporaries!W61-Temporaries!BC61</f>
        <v>8.0979999999999996E-2</v>
      </c>
      <c r="Q71" s="870"/>
      <c r="R71" s="1489"/>
      <c r="S71" s="1618">
        <f>'Rates in summary'!G61+'Rates in summary'!P61+Temporaries!J61</f>
        <v>8.0979999999999996E-2</v>
      </c>
      <c r="T71" s="1755"/>
      <c r="U71" s="1489"/>
      <c r="V71" s="869">
        <f>+'Rates in summary'!Q61</f>
        <v>8.0979999999999996E-2</v>
      </c>
      <c r="W71" s="870"/>
      <c r="X71" s="570"/>
      <c r="Y71" s="453"/>
      <c r="Z71" s="454">
        <f>+'Rates in summary'!D61+Temporaries!K61-Temporaries!AZ61</f>
        <v>8.0979999999999996E-2</v>
      </c>
      <c r="AA71" s="453"/>
      <c r="AB71" s="570"/>
      <c r="AC71" s="1477"/>
    </row>
    <row r="72" spans="1:29" x14ac:dyDescent="0.25">
      <c r="A72" s="479">
        <f t="shared" si="0"/>
        <v>66</v>
      </c>
      <c r="B72" s="505"/>
      <c r="C72" s="452" t="s">
        <v>9</v>
      </c>
      <c r="D72" s="568">
        <f>+'Washington volumes'!J62</f>
        <v>4013728</v>
      </c>
      <c r="E72" s="506">
        <v>100000</v>
      </c>
      <c r="F72" s="569"/>
      <c r="G72" s="1572"/>
      <c r="H72" s="1567">
        <f>+'Rates in summary'!D62</f>
        <v>6.479E-2</v>
      </c>
      <c r="I72" s="870"/>
      <c r="J72" s="869">
        <f>'Rates in summary'!D62+Temporaries!K62-Temporaries!AZ62</f>
        <v>6.479E-2</v>
      </c>
      <c r="K72" s="870"/>
      <c r="L72" s="1489"/>
      <c r="M72" s="869">
        <f>'Rates in summary'!D62+Temporaries!L62+Temporaries!V62-Temporaries!BA62</f>
        <v>6.479E-2</v>
      </c>
      <c r="N72" s="870"/>
      <c r="O72" s="1489"/>
      <c r="P72" s="1618">
        <f>'Rates in summary'!D62+Temporaries!W62-Temporaries!BC62</f>
        <v>6.479E-2</v>
      </c>
      <c r="Q72" s="870"/>
      <c r="R72" s="1489"/>
      <c r="S72" s="1618">
        <f>'Rates in summary'!G62+'Rates in summary'!P62+Temporaries!J62</f>
        <v>6.479E-2</v>
      </c>
      <c r="T72" s="1755"/>
      <c r="U72" s="1489"/>
      <c r="V72" s="869">
        <f>+'Rates in summary'!Q62</f>
        <v>6.479E-2</v>
      </c>
      <c r="W72" s="870"/>
      <c r="X72" s="570"/>
      <c r="Y72" s="453"/>
      <c r="Z72" s="454">
        <f>+'Rates in summary'!D62+Temporaries!K62-Temporaries!AZ62</f>
        <v>6.479E-2</v>
      </c>
      <c r="AA72" s="453"/>
      <c r="AB72" s="570"/>
      <c r="AC72" s="453"/>
    </row>
    <row r="73" spans="1:29" x14ac:dyDescent="0.25">
      <c r="A73" s="479">
        <f t="shared" si="0"/>
        <v>67</v>
      </c>
      <c r="B73" s="505"/>
      <c r="C73" s="452" t="s">
        <v>10</v>
      </c>
      <c r="D73" s="568">
        <f>+'Washington volumes'!J63</f>
        <v>2332547</v>
      </c>
      <c r="E73" s="506">
        <v>600000</v>
      </c>
      <c r="F73" s="569"/>
      <c r="G73" s="1572"/>
      <c r="H73" s="1567">
        <f>+'Rates in summary'!D63</f>
        <v>4.3190000000000006E-2</v>
      </c>
      <c r="I73" s="870"/>
      <c r="J73" s="869">
        <f>'Rates in summary'!D63+Temporaries!K63-Temporaries!AZ63</f>
        <v>4.3190000000000006E-2</v>
      </c>
      <c r="K73" s="870"/>
      <c r="L73" s="1489"/>
      <c r="M73" s="869">
        <f>'Rates in summary'!D63+Temporaries!L63+Temporaries!V63-Temporaries!BA63</f>
        <v>4.3190000000000006E-2</v>
      </c>
      <c r="N73" s="870"/>
      <c r="O73" s="1489"/>
      <c r="P73" s="1618">
        <f>'Rates in summary'!D63+Temporaries!W63-Temporaries!BC63</f>
        <v>4.3200000000000002E-2</v>
      </c>
      <c r="Q73" s="870"/>
      <c r="R73" s="1489"/>
      <c r="S73" s="1618">
        <f>'Rates in summary'!G63+'Rates in summary'!P63+Temporaries!J63</f>
        <v>4.3190000000000006E-2</v>
      </c>
      <c r="T73" s="1755"/>
      <c r="U73" s="1489"/>
      <c r="V73" s="869">
        <f>+'Rates in summary'!Q63</f>
        <v>4.3200000000000009E-2</v>
      </c>
      <c r="W73" s="870"/>
      <c r="X73" s="570"/>
      <c r="Y73" s="453"/>
      <c r="Z73" s="454">
        <f>+'Rates in summary'!D63+Temporaries!K63-Temporaries!AZ63</f>
        <v>4.3190000000000006E-2</v>
      </c>
      <c r="AA73" s="454"/>
      <c r="AB73" s="570"/>
      <c r="AC73" s="453"/>
    </row>
    <row r="74" spans="1:29" x14ac:dyDescent="0.25">
      <c r="A74" s="479">
        <f t="shared" ref="A74:A87" si="15">+A73+1</f>
        <v>68</v>
      </c>
      <c r="B74" s="505"/>
      <c r="C74" s="452" t="s">
        <v>11</v>
      </c>
      <c r="D74" s="568">
        <f>+'Washington volumes'!J64</f>
        <v>0</v>
      </c>
      <c r="E74" s="555" t="s">
        <v>201</v>
      </c>
      <c r="F74" s="569"/>
      <c r="G74" s="1572"/>
      <c r="H74" s="1567">
        <f>+'Rates in summary'!D64</f>
        <v>1.619E-2</v>
      </c>
      <c r="I74" s="870"/>
      <c r="J74" s="869">
        <f>'Rates in summary'!D64+Temporaries!K64-Temporaries!AZ64</f>
        <v>1.619E-2</v>
      </c>
      <c r="K74" s="870"/>
      <c r="L74" s="1489"/>
      <c r="M74" s="869">
        <f>'Rates in summary'!D64+Temporaries!L64+Temporaries!V64-Temporaries!BA64</f>
        <v>1.619E-2</v>
      </c>
      <c r="N74" s="870"/>
      <c r="O74" s="1489"/>
      <c r="P74" s="1618">
        <f>'Rates in summary'!D64+Temporaries!W64-Temporaries!BC64</f>
        <v>1.619E-2</v>
      </c>
      <c r="Q74" s="870"/>
      <c r="R74" s="1489"/>
      <c r="S74" s="1618">
        <f>'Rates in summary'!G64+'Rates in summary'!P64+Temporaries!J64</f>
        <v>1.619E-2</v>
      </c>
      <c r="T74" s="1755"/>
      <c r="U74" s="1489"/>
      <c r="V74" s="869">
        <f>+'Rates in summary'!Q64</f>
        <v>1.619E-2</v>
      </c>
      <c r="W74" s="870"/>
      <c r="X74" s="570"/>
      <c r="Z74" s="454">
        <f>+'Rates in summary'!D64+Temporaries!K64-Temporaries!AZ64</f>
        <v>1.619E-2</v>
      </c>
      <c r="AA74" s="454"/>
      <c r="AB74" s="570"/>
    </row>
    <row r="75" spans="1:29" x14ac:dyDescent="0.25">
      <c r="A75" s="479">
        <f t="shared" si="15"/>
        <v>69</v>
      </c>
      <c r="B75" s="510"/>
      <c r="C75" s="558" t="s">
        <v>205</v>
      </c>
      <c r="D75" s="559"/>
      <c r="E75" s="560"/>
      <c r="F75" s="561"/>
      <c r="G75" s="1692"/>
      <c r="H75" s="1565"/>
      <c r="I75" s="1569">
        <f>$G69+ROUND(IF($F69&lt;$E69,($F69*H69),IF($F69&lt;SUM($E69:$E70),(($E69*H69)+(($F69-$E69)*H70)),IF($F69&lt;SUM($E69:$E71),(($E69*H69)+($E70*H70)+(($F69-$E69-$E70)*H71)),IF($F69&lt;SUM($E69:$E72),(($E69*H69)+($E70*H70)+($E71*H71)+(($F69-SUM($E69:$E71))*H72)),IF($F69&lt;SUM($E69:$E73),(($E69*H69)+($E70*H70)+($E71*H71)+($E72*H72)+(($F69-SUM($E69:$E72))*H73)),(($E69*H69)+($E70*H70)+($E71*H71)+($E72*H71)+($E73*H73)+(($F69-SUM($E69:$E73))*H74))))))),2)</f>
        <v>8571.7000000000007</v>
      </c>
      <c r="J75" s="1570"/>
      <c r="K75" s="1569">
        <f>$G69+ROUND(IF($F69&lt;$E69,($F69*J69),IF($F69&lt;SUM($E69:$E70),(($E69*J69)+(($F69-$E69)*J70)),IF($F69&lt;SUM($E69:$E71),(($E69*J69)+($E70*J70)+(($F69-$E69-$E70)*J71)),IF($F69&lt;SUM($E69:$E72),(($E69*J69)+($E70*J70)+($E71*J71)+(($F69-SUM($E69:$E71))*J72)),IF($F69&lt;SUM($E69:$E73),(($E69*J69)+($E70*J70)+($E71*J71)+($E72*J72)+(($F69-SUM($E69:$E72))*J73)),(($E69*J69)+($E70*J70)+($E71*J71)+($E72*J71)+($E73*J73)+(($F69-SUM($E69:$E73))*J74))))))),2)</f>
        <v>8571.7000000000007</v>
      </c>
      <c r="L75" s="1156">
        <f>ROUND((K75-I75)/I75,3)</f>
        <v>0</v>
      </c>
      <c r="M75" s="1570"/>
      <c r="N75" s="1569">
        <f>$G69+ROUND(IF($F69&lt;$E69,($F69*M69),IF($F69&lt;SUM($E69:$E70),(($E69*M69)+(($F69-$E69)*M70)),IF($F69&lt;SUM($E69:$E71),(($E69*M69)+($E70*M70)+(($F69-$E69-$E70)*M71)),IF($F69&lt;SUM($E69:$E72),(($E69*M69)+($E70*M70)+($E71*M71)+(($F69-SUM($E69:$E71))*M72)),IF($F69&lt;SUM($E69:$E73),(($E69*M69)+($E70*M70)+($E71*M71)+($E72*M72)+(($F69-SUM($E69:$E72))*M73)),(($E69*M69)+($E70*M70)+($E71*M71)+($E72*M71)+($E73*M73)+(($F69-SUM($E69:$E73))*M74))))))),2)</f>
        <v>8571.7000000000007</v>
      </c>
      <c r="O75" s="1156">
        <f>ROUND((N75-I75)/I75,3)</f>
        <v>0</v>
      </c>
      <c r="P75" s="1620"/>
      <c r="Q75" s="1569">
        <f>$G69+ROUND(IF($F69&lt;$E69,($F69*P69),IF($F69&lt;SUM($E69:$E70),(($E69*P69)+(($F69-$E69)*P70)),IF($F69&lt;SUM($E69:$E71),(($E69*P69)+($E70*P70)+(($F69-$E69-$E70)*P71)),IF($F69&lt;SUM($E69:$E72),(($E69*P69)+($E70*P70)+($E71*P71)+(($F69-SUM($E69:$E71))*P72)),IF($F69&lt;SUM($E69:$E73),(($E69*P69)+($E70*P70)+($E71*P71)+($E72*P72)+(($F69-SUM($E69:$E72))*P73)),(($E69*P69)+($E70*P70)+($E71*P71)+($E72*P71)+($E73*P73)+(($F69-SUM($E69:$E73))*P74))))))),2)</f>
        <v>8572</v>
      </c>
      <c r="R75" s="1156">
        <f t="shared" si="10"/>
        <v>3.4998891701677889E-5</v>
      </c>
      <c r="S75" s="1620"/>
      <c r="T75" s="1756">
        <f>$G69+ROUND(IF($F69&lt;$E69,($F69*S69),IF($F69&lt;SUM($E69:$E70),(($E69*S69)+(($F69-$E69)*S70)),IF($F69&lt;SUM($E69:$E71),(($E69*S69)+($E70*S70)+(($F69-$E69-$E70)*S71)),IF($F69&lt;SUM($E69:$E72),(($E69*S69)+($E70*S70)+($E71*S71)+(($F69-SUM($E69:$E71))*S72)),IF($F69&lt;SUM($E69:$E73),(($E69*S69)+($E70*S70)+($E71*S71)+($E72*S72)+(($F69-SUM($E69:$E72))*S73)),(($E69*S69)+($E70*S70)+($E71*S71)+($E72*S71)+($E73*S73)+(($F69-SUM($E69:$E73))*S74))))))),2)</f>
        <v>8571.7000000000007</v>
      </c>
      <c r="U75" s="1156">
        <f t="shared" si="12"/>
        <v>0</v>
      </c>
      <c r="V75" s="869"/>
      <c r="W75" s="1569">
        <f>$G69+ROUND(IF($F69&lt;$E69,($F69*V69),IF($F69&lt;SUM($E69:$E70),(($E69*V69)+(($F69-$E69)*V70)),IF($F69&lt;SUM($E69:$E71),(($E69*V69)+($E70*V70)+(($F69-$E69-$E70)*V71)),IF($F69&lt;SUM($E69:$E72),(($E69*V69)+($E70*V70)+($E71*V71)+(($F69-SUM($E69:$E71))*V72)),IF($F69&lt;SUM($E69:$E73),(($E69*V69)+($E70*V70)+($E71*V71)+($E72*V72)+(($F69-SUM($E69:$E72))*V73)),(($E69*V69)+($E70*V70)+($E71*V71)+($E72*V71)+($E73*V73)+(($F69-SUM($E69:$E73))*V74))))))),2)</f>
        <v>8572</v>
      </c>
      <c r="X75" s="564">
        <f>ROUND((W75-I75)/I75,3)</f>
        <v>0</v>
      </c>
      <c r="Y75" s="1463"/>
      <c r="Z75" s="562"/>
      <c r="AA75" s="563">
        <f>$G69+ROUND(IF($F69&lt;$E69,($F69*Z69),IF($F69&lt;SUM($E69:$E70),(($E69*Z69)+(($F69-$E69)*Z70)),IF($F69&lt;SUM($E69:$E71),(($E69*Z69)+($E70*Z70)+(($F69-$E69-$E70)*Z71)),IF($F69&lt;SUM($E69:$E72),(($E69*Z69)+($E70*Z70)+($E71*Z71)+(($F69-SUM($E69:$E71))*Z72)),IF($F69&lt;SUM($E69:$E73),(($E69*Z69)+($E70*Z70)+($E71*Z71)+($E72*Z72)+(($F69-SUM($E69:$E72))*Z73)),(($E69*Z69)+($E70*Z70)+($E71*Z71)+($E72*Z71)+($E73*Z73)+(($F69-SUM($E69:$E73))*Z74))))))),2)</f>
        <v>8571.7000000000007</v>
      </c>
      <c r="AB75" s="564">
        <f>ROUND((AA75-I75)/I75,3)</f>
        <v>0</v>
      </c>
    </row>
    <row r="76" spans="1:29" x14ac:dyDescent="0.25">
      <c r="A76" s="479">
        <f t="shared" si="15"/>
        <v>70</v>
      </c>
      <c r="B76" s="510" t="s">
        <v>167</v>
      </c>
      <c r="C76" s="455"/>
      <c r="D76" s="571">
        <f>+'Washington volumes'!J65</f>
        <v>0</v>
      </c>
      <c r="E76" s="572" t="s">
        <v>70</v>
      </c>
      <c r="F76" s="573">
        <f>+'Washington volumes'!M65</f>
        <v>0</v>
      </c>
      <c r="G76" s="1573">
        <v>38000</v>
      </c>
      <c r="H76" s="1568">
        <f>+'Rates in summary'!D65</f>
        <v>4.9800000000000001E-3</v>
      </c>
      <c r="I76" s="1051">
        <f>ROUND(+$G76+(H76*$F76),2)</f>
        <v>38000</v>
      </c>
      <c r="J76" s="1571">
        <f>'Rates in summary'!D65+Temporaries!K65-Temporaries!AZ65</f>
        <v>4.9800000000000001E-3</v>
      </c>
      <c r="K76" s="1051">
        <f>ROUND(+$G76+(J76*$F76),2)</f>
        <v>38000</v>
      </c>
      <c r="L76" s="1490">
        <f>ROUND((K76-I76)/I76,3)</f>
        <v>0</v>
      </c>
      <c r="M76" s="1571">
        <f>'Rates in summary'!D65+Temporaries!L65+Temporaries!V65-Temporaries!BA65</f>
        <v>4.9800000000000001E-3</v>
      </c>
      <c r="N76" s="1051">
        <f>ROUND(+$G76+(M76*$F76),2)</f>
        <v>38000</v>
      </c>
      <c r="O76" s="1490">
        <f>ROUND((N76-I76)/I76,3)</f>
        <v>0</v>
      </c>
      <c r="P76" s="1621">
        <f>'Rates in summary'!D65+Temporaries!W65-Temporaries!BC65</f>
        <v>4.9800000000000001E-3</v>
      </c>
      <c r="Q76" s="1051">
        <f>ROUND(+$G76+(P76*$F76),2)</f>
        <v>38000</v>
      </c>
      <c r="R76" s="1490">
        <f t="shared" si="10"/>
        <v>0</v>
      </c>
      <c r="S76" s="1621">
        <f>'Rates in summary'!G65+'Rates in summary'!P65+Temporaries!J65</f>
        <v>4.9800000000000001E-3</v>
      </c>
      <c r="T76" s="1061">
        <f>ROUND(+$G76+(S76*$F76),2)</f>
        <v>38000</v>
      </c>
      <c r="U76" s="1490">
        <f t="shared" si="12"/>
        <v>0</v>
      </c>
      <c r="V76" s="1568">
        <f>+'Rates in summary'!Q65</f>
        <v>4.9800000000000001E-3</v>
      </c>
      <c r="W76" s="1051">
        <f>ROUND(+$G76+(V76*$F76),2)</f>
        <v>38000</v>
      </c>
      <c r="X76" s="574" t="s">
        <v>70</v>
      </c>
      <c r="Z76" s="457">
        <f>+'Rates in summary'!D65+Temporaries!K65-Temporaries!AZ65</f>
        <v>4.9800000000000001E-3</v>
      </c>
      <c r="AA76" s="504">
        <f>ROUND(+$G76+(Z76*$F76),2)</f>
        <v>38000</v>
      </c>
      <c r="AB76" s="574" t="s">
        <v>70</v>
      </c>
    </row>
    <row r="77" spans="1:29" x14ac:dyDescent="0.25">
      <c r="A77" s="479">
        <f t="shared" si="15"/>
        <v>71</v>
      </c>
      <c r="B77" s="450" t="s">
        <v>168</v>
      </c>
      <c r="C77" s="447"/>
      <c r="D77" s="575">
        <f>+'Washington volumes'!J66</f>
        <v>0</v>
      </c>
      <c r="E77" s="572" t="s">
        <v>70</v>
      </c>
      <c r="F77" s="576">
        <f>+'Washington volumes'!M66</f>
        <v>0</v>
      </c>
      <c r="G77" s="1573">
        <v>38000</v>
      </c>
      <c r="H77" s="1500">
        <f>+'Rates in summary'!D66</f>
        <v>4.9800000000000001E-3</v>
      </c>
      <c r="I77" s="1051">
        <f>ROUND(+$G77+(H77*$F77),2)</f>
        <v>38000</v>
      </c>
      <c r="J77" s="1557">
        <f>'Rates in summary'!D66+Temporaries!K66-Temporaries!AZ66</f>
        <v>4.9800000000000001E-3</v>
      </c>
      <c r="K77" s="1051">
        <f>ROUND(+$G77+(J77*$F77),2)</f>
        <v>38000</v>
      </c>
      <c r="L77" s="554">
        <f>ROUND((K77-I77)/I77,3)</f>
        <v>0</v>
      </c>
      <c r="M77" s="1557">
        <f>'Rates in summary'!D66+Temporaries!L66+Temporaries!V66-Temporaries!BA66</f>
        <v>4.9800000000000001E-3</v>
      </c>
      <c r="N77" s="1051">
        <f>ROUND(+$G77+(M77*$F77),2)</f>
        <v>38000</v>
      </c>
      <c r="O77" s="554">
        <f>ROUND((N77-I77)/I77,3)</f>
        <v>0</v>
      </c>
      <c r="P77" s="1621">
        <f>'Rates in summary'!D66+Temporaries!W66-Temporaries!BC66</f>
        <v>4.9800000000000001E-3</v>
      </c>
      <c r="Q77" s="1051">
        <f>ROUND(+$G77+(P77*$F77),2)</f>
        <v>38000</v>
      </c>
      <c r="R77" s="554">
        <f t="shared" si="10"/>
        <v>0</v>
      </c>
      <c r="S77" s="1621">
        <f>'Rates in summary'!G66+'Rates in summary'!P66+Temporaries!J66</f>
        <v>4.9800000000000001E-3</v>
      </c>
      <c r="T77" s="1061">
        <f>ROUND(+$G77+(S77*$F77),2)</f>
        <v>38000</v>
      </c>
      <c r="U77" s="554">
        <f t="shared" si="12"/>
        <v>0</v>
      </c>
      <c r="V77" s="1568">
        <f>+'Rates in summary'!Q66</f>
        <v>4.9800000000000001E-3</v>
      </c>
      <c r="W77" s="1051">
        <f>ROUND(+$G77+(V77*$F77),2)</f>
        <v>38000</v>
      </c>
      <c r="X77" s="574" t="s">
        <v>70</v>
      </c>
      <c r="Z77" s="457">
        <f>+'Rates in summary'!D66+Temporaries!K66-Temporaries!AZ66</f>
        <v>4.9800000000000001E-3</v>
      </c>
      <c r="AA77" s="504">
        <f>ROUND(+$G77+(Z77*$F77),2)</f>
        <v>38000</v>
      </c>
      <c r="AB77" s="574" t="s">
        <v>70</v>
      </c>
    </row>
    <row r="78" spans="1:29" ht="13.8" thickBot="1" x14ac:dyDescent="0.3">
      <c r="A78" s="479">
        <f t="shared" si="15"/>
        <v>72</v>
      </c>
      <c r="B78" s="449" t="s">
        <v>217</v>
      </c>
      <c r="C78" s="447"/>
      <c r="D78" s="577"/>
      <c r="E78" s="572"/>
      <c r="F78" s="578"/>
      <c r="G78" s="579"/>
      <c r="H78" s="459"/>
      <c r="I78" s="504"/>
      <c r="J78" s="504"/>
      <c r="K78" s="504"/>
      <c r="L78" s="1491"/>
      <c r="M78" s="504"/>
      <c r="N78" s="504"/>
      <c r="O78" s="1491"/>
      <c r="P78" s="1662"/>
      <c r="Q78" s="504"/>
      <c r="R78" s="1491"/>
      <c r="S78" s="1622"/>
      <c r="T78" s="1622"/>
      <c r="U78" s="1491"/>
      <c r="V78" s="459"/>
      <c r="W78" s="504"/>
      <c r="X78" s="580"/>
      <c r="Z78" s="459"/>
      <c r="AA78" s="504"/>
      <c r="AB78" s="580"/>
    </row>
    <row r="79" spans="1:29" x14ac:dyDescent="0.25">
      <c r="A79" s="479">
        <f t="shared" si="15"/>
        <v>73</v>
      </c>
      <c r="B79" s="1773" t="s">
        <v>640</v>
      </c>
      <c r="C79" s="1772"/>
      <c r="D79" s="1772"/>
      <c r="E79" s="1772"/>
      <c r="F79" s="1772"/>
      <c r="G79" s="1772"/>
      <c r="H79" s="1772"/>
      <c r="I79" s="1772"/>
      <c r="J79" s="1772"/>
      <c r="K79" s="1772"/>
      <c r="L79" s="1772"/>
    </row>
    <row r="80" spans="1:29" x14ac:dyDescent="0.25">
      <c r="A80" s="479">
        <f t="shared" si="15"/>
        <v>74</v>
      </c>
      <c r="B80" s="1772"/>
      <c r="C80" s="1772"/>
      <c r="D80" s="1772"/>
      <c r="E80" s="1772"/>
      <c r="F80" s="1772"/>
      <c r="G80" s="1772"/>
      <c r="H80" s="1772"/>
      <c r="I80" s="1772"/>
      <c r="J80" s="1772"/>
      <c r="K80" s="1772"/>
      <c r="L80" s="1772"/>
    </row>
    <row r="81" spans="1:28" x14ac:dyDescent="0.25">
      <c r="A81" s="479">
        <f t="shared" si="15"/>
        <v>75</v>
      </c>
      <c r="B81" s="1770" t="s">
        <v>1152</v>
      </c>
      <c r="C81" s="1771"/>
      <c r="D81" s="1771"/>
      <c r="E81" s="1771"/>
      <c r="F81" s="1771"/>
      <c r="G81" s="1771"/>
      <c r="H81" s="1771"/>
      <c r="I81" s="1771"/>
      <c r="J81" s="1771"/>
      <c r="K81" s="1771"/>
      <c r="L81" s="1771"/>
      <c r="M81" s="515"/>
      <c r="N81" s="515"/>
      <c r="O81" s="515"/>
      <c r="P81" s="1623"/>
      <c r="Q81" s="515"/>
      <c r="R81" s="515"/>
      <c r="S81" s="1623"/>
      <c r="T81" s="1623"/>
      <c r="U81" s="515"/>
      <c r="W81" s="515"/>
      <c r="X81" s="581"/>
      <c r="AA81" s="515"/>
      <c r="AB81" s="581"/>
    </row>
    <row r="82" spans="1:28" ht="13.8" thickBot="1" x14ac:dyDescent="0.3">
      <c r="A82" s="479">
        <f t="shared" si="15"/>
        <v>76</v>
      </c>
      <c r="B82" s="1771"/>
      <c r="C82" s="1771"/>
      <c r="D82" s="1771"/>
      <c r="E82" s="1771"/>
      <c r="F82" s="1771"/>
      <c r="G82" s="1771"/>
      <c r="H82" s="1771"/>
      <c r="I82" s="1771"/>
      <c r="J82" s="1771"/>
      <c r="K82" s="1771"/>
      <c r="L82" s="1771"/>
      <c r="Y82" s="538"/>
    </row>
    <row r="83" spans="1:28" ht="19.5" customHeight="1" thickBot="1" x14ac:dyDescent="0.3">
      <c r="A83" s="479">
        <f t="shared" si="15"/>
        <v>77</v>
      </c>
      <c r="B83" s="1772"/>
      <c r="C83" s="1772"/>
      <c r="D83" s="1772"/>
      <c r="E83" s="1772"/>
      <c r="F83" s="1772"/>
      <c r="G83" s="1772"/>
      <c r="H83" s="1772"/>
      <c r="I83" s="1772"/>
      <c r="J83" s="1772"/>
      <c r="K83" s="1772"/>
      <c r="L83" s="1772"/>
      <c r="Y83" s="539" t="s">
        <v>184</v>
      </c>
      <c r="Z83" s="881" t="s">
        <v>1072</v>
      </c>
      <c r="AA83" s="543"/>
      <c r="AB83" s="1329"/>
    </row>
    <row r="84" spans="1:28" ht="13.8" thickBot="1" x14ac:dyDescent="0.3">
      <c r="A84" s="479">
        <v>78</v>
      </c>
      <c r="B84" s="460" t="s">
        <v>171</v>
      </c>
      <c r="Y84" s="1330" t="s">
        <v>106</v>
      </c>
      <c r="Z84" s="1327" t="s">
        <v>1073</v>
      </c>
      <c r="AA84" s="1331"/>
      <c r="AB84" s="1332"/>
    </row>
    <row r="85" spans="1:28" ht="13.8" thickBot="1" x14ac:dyDescent="0.3">
      <c r="A85" s="479">
        <f t="shared" si="15"/>
        <v>79</v>
      </c>
      <c r="B85" s="539" t="s">
        <v>172</v>
      </c>
      <c r="C85" s="462"/>
      <c r="D85" s="542"/>
      <c r="E85" s="464" t="s">
        <v>204</v>
      </c>
      <c r="F85" s="542"/>
      <c r="G85" s="464" t="s">
        <v>204</v>
      </c>
      <c r="H85" s="542"/>
      <c r="I85" s="543"/>
      <c r="J85" s="543"/>
      <c r="K85" s="543"/>
      <c r="L85" s="543"/>
      <c r="M85" s="543"/>
      <c r="N85" s="543"/>
      <c r="O85" s="543"/>
      <c r="P85" s="1501"/>
      <c r="Q85" s="543"/>
      <c r="R85" s="543"/>
      <c r="S85" s="1501"/>
      <c r="T85" s="1501"/>
      <c r="U85" s="543"/>
      <c r="V85" s="543"/>
      <c r="W85" s="543"/>
      <c r="X85" s="543"/>
      <c r="Y85" s="1328" t="s">
        <v>1071</v>
      </c>
      <c r="Z85" s="1313" t="s">
        <v>1074</v>
      </c>
      <c r="AA85" s="463"/>
      <c r="AB85" s="520"/>
    </row>
    <row r="86" spans="1:28" ht="13.8" thickBot="1" x14ac:dyDescent="0.3">
      <c r="A86" s="479">
        <f t="shared" si="15"/>
        <v>80</v>
      </c>
      <c r="Y86" s="538"/>
    </row>
    <row r="87" spans="1:28" ht="13.8" thickBot="1" x14ac:dyDescent="0.3">
      <c r="A87" s="479">
        <f t="shared" si="15"/>
        <v>81</v>
      </c>
      <c r="B87" s="539" t="s">
        <v>184</v>
      </c>
      <c r="C87" s="462"/>
      <c r="D87" s="463"/>
      <c r="E87" s="519"/>
      <c r="F87" s="519"/>
      <c r="G87" s="463"/>
      <c r="H87" s="464" t="s">
        <v>69</v>
      </c>
      <c r="I87" s="463"/>
      <c r="J87" s="463"/>
      <c r="K87" s="463"/>
      <c r="L87" s="463"/>
      <c r="M87" s="463"/>
      <c r="N87" s="463"/>
      <c r="O87" s="463"/>
      <c r="P87" s="530"/>
      <c r="Q87" s="463"/>
      <c r="R87" s="463"/>
      <c r="S87" s="530"/>
      <c r="T87" s="530"/>
      <c r="U87" s="463"/>
      <c r="V87" s="463"/>
      <c r="W87" s="463"/>
      <c r="X87" s="463"/>
    </row>
    <row r="88" spans="1:28" x14ac:dyDescent="0.25">
      <c r="A88" s="479"/>
    </row>
    <row r="89" spans="1:28" x14ac:dyDescent="0.25">
      <c r="A89" s="479"/>
    </row>
    <row r="90" spans="1:28" x14ac:dyDescent="0.25">
      <c r="Y90" s="538"/>
    </row>
    <row r="91" spans="1:28" x14ac:dyDescent="0.25">
      <c r="Y91" s="538"/>
    </row>
    <row r="92" spans="1:28" x14ac:dyDescent="0.25">
      <c r="Y92" s="538"/>
    </row>
    <row r="93" spans="1:28" x14ac:dyDescent="0.25">
      <c r="Y93" s="538"/>
    </row>
    <row r="94" spans="1:28" x14ac:dyDescent="0.25">
      <c r="Y94" s="538"/>
    </row>
  </sheetData>
  <mergeCells count="2">
    <mergeCell ref="B81:L83"/>
    <mergeCell ref="B79:L80"/>
  </mergeCells>
  <phoneticPr fontId="2" type="noConversion"/>
  <printOptions horizontalCentered="1"/>
  <pageMargins left="0.5" right="0.5" top="0.5" bottom="0.5" header="0.25" footer="0.25"/>
  <pageSetup scale="26" orientation="landscape" r:id="rId1"/>
  <headerFooter alignWithMargins="0">
    <oddHeader xml:space="preserve">&amp;RUG-181053 NWN Compliance Filing
Advice 19-07 / Work Paper
</oddHeader>
    <oddFooter xml:space="preserve">&amp;C&amp;F &amp;D &amp;T
&amp;A  </oddFooter>
  </headerFooter>
  <colBreaks count="4" manualBreakCount="4">
    <brk id="12" max="1048575" man="1"/>
    <brk id="18" max="1048575" man="1"/>
    <brk id="21" max="86" man="1"/>
    <brk id="24"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activeCell="E52" sqref="E52"/>
    </sheetView>
  </sheetViews>
  <sheetFormatPr defaultColWidth="10.6640625" defaultRowHeight="13.2" x14ac:dyDescent="0.25"/>
  <cols>
    <col min="1" max="1" width="21" style="1" customWidth="1"/>
    <col min="2" max="2" width="22" style="1" customWidth="1"/>
    <col min="3" max="3" width="18.6640625" style="1" customWidth="1"/>
    <col min="4" max="4" width="14.88671875" style="1" customWidth="1"/>
    <col min="5" max="5" width="16.109375" style="1" customWidth="1"/>
    <col min="6" max="16384" width="10.6640625" style="1"/>
  </cols>
  <sheetData>
    <row r="1" spans="1:6" ht="59.25" customHeight="1" x14ac:dyDescent="0.4">
      <c r="A1" s="321"/>
      <c r="B1" s="270"/>
      <c r="D1" s="346" t="s">
        <v>231</v>
      </c>
      <c r="E1" s="63"/>
      <c r="F1" s="274"/>
    </row>
    <row r="2" spans="1:6" ht="20.399999999999999" x14ac:dyDescent="0.25">
      <c r="A2" s="274"/>
      <c r="B2" s="270"/>
      <c r="D2" s="340"/>
      <c r="E2" s="340"/>
      <c r="F2" s="274"/>
    </row>
    <row r="3" spans="1:6" ht="21" x14ac:dyDescent="0.25">
      <c r="A3" s="47" t="s">
        <v>363</v>
      </c>
      <c r="B3" s="270"/>
      <c r="D3" s="274"/>
      <c r="E3" s="274"/>
      <c r="F3" s="274"/>
    </row>
    <row r="4" spans="1:6" ht="12.75" customHeight="1" x14ac:dyDescent="0.25">
      <c r="A4" s="47"/>
      <c r="B4" s="270"/>
      <c r="D4" s="274"/>
      <c r="E4" s="274"/>
      <c r="F4" s="274"/>
    </row>
    <row r="5" spans="1:6" ht="20.399999999999999" x14ac:dyDescent="0.3">
      <c r="A5" s="347" t="s">
        <v>591</v>
      </c>
      <c r="B5" s="348"/>
      <c r="C5" s="274"/>
      <c r="D5" s="322"/>
      <c r="E5" s="322"/>
      <c r="F5" s="274"/>
    </row>
    <row r="6" spans="1:6" ht="20.399999999999999" x14ac:dyDescent="0.25">
      <c r="A6" s="340" t="s">
        <v>1090</v>
      </c>
      <c r="B6" s="44"/>
      <c r="C6" s="44"/>
      <c r="D6" s="44"/>
      <c r="E6" s="44"/>
      <c r="F6" s="44"/>
    </row>
    <row r="7" spans="1:6" x14ac:dyDescent="0.25">
      <c r="A7" s="44"/>
      <c r="B7" s="44"/>
      <c r="C7" s="44"/>
      <c r="D7" s="44"/>
      <c r="E7" s="44"/>
      <c r="F7" s="44"/>
    </row>
    <row r="8" spans="1:6" x14ac:dyDescent="0.25">
      <c r="A8" s="233"/>
      <c r="B8" s="233" t="s">
        <v>592</v>
      </c>
      <c r="C8" s="233" t="s">
        <v>593</v>
      </c>
      <c r="D8" s="233" t="s">
        <v>593</v>
      </c>
      <c r="E8" s="233" t="s">
        <v>594</v>
      </c>
      <c r="F8" s="44"/>
    </row>
    <row r="9" spans="1:6" x14ac:dyDescent="0.25">
      <c r="A9" s="233" t="s">
        <v>313</v>
      </c>
      <c r="B9" s="233" t="s">
        <v>595</v>
      </c>
      <c r="C9" s="233" t="s">
        <v>596</v>
      </c>
      <c r="D9" s="233" t="s">
        <v>597</v>
      </c>
      <c r="E9" s="233" t="s">
        <v>585</v>
      </c>
      <c r="F9" s="44"/>
    </row>
    <row r="10" spans="1:6" x14ac:dyDescent="0.25">
      <c r="A10" s="235" t="s">
        <v>579</v>
      </c>
      <c r="B10" s="235" t="s">
        <v>194</v>
      </c>
      <c r="C10" s="235" t="s">
        <v>194</v>
      </c>
      <c r="D10" s="235" t="s">
        <v>598</v>
      </c>
      <c r="E10" s="235" t="s">
        <v>194</v>
      </c>
      <c r="F10" s="44"/>
    </row>
    <row r="11" spans="1:6" x14ac:dyDescent="0.25">
      <c r="A11" s="233"/>
      <c r="B11" s="233"/>
      <c r="C11" s="233"/>
      <c r="D11" s="233"/>
      <c r="E11" s="233"/>
      <c r="F11" s="44"/>
    </row>
    <row r="12" spans="1:6" s="274" customFormat="1" x14ac:dyDescent="0.25">
      <c r="A12" s="328">
        <v>37530</v>
      </c>
      <c r="B12" s="329">
        <v>339.89</v>
      </c>
      <c r="C12" s="330">
        <v>0.61178400000000011</v>
      </c>
      <c r="D12" s="330">
        <v>0.58368400000000009</v>
      </c>
      <c r="E12" s="330">
        <v>0.57481399999999994</v>
      </c>
      <c r="F12" s="44"/>
    </row>
    <row r="13" spans="1:6" s="274" customFormat="1" x14ac:dyDescent="0.25">
      <c r="A13" s="328">
        <v>37895</v>
      </c>
      <c r="B13" s="329">
        <v>401.21</v>
      </c>
      <c r="C13" s="330">
        <v>0.73927400000000021</v>
      </c>
      <c r="D13" s="330">
        <v>0.71117400000000019</v>
      </c>
      <c r="E13" s="330">
        <v>0.70230400000000004</v>
      </c>
      <c r="F13" s="44"/>
    </row>
    <row r="14" spans="1:6" x14ac:dyDescent="0.25">
      <c r="A14" s="328">
        <v>38169</v>
      </c>
      <c r="B14" s="29">
        <v>452.27725415544444</v>
      </c>
      <c r="C14" s="331">
        <v>0.83842400000000028</v>
      </c>
      <c r="D14" s="331">
        <v>0.80826400000000032</v>
      </c>
      <c r="E14" s="331">
        <v>0.79874400000000012</v>
      </c>
    </row>
    <row r="15" spans="1:6" x14ac:dyDescent="0.25">
      <c r="A15" s="328">
        <v>38292</v>
      </c>
      <c r="B15" s="29">
        <v>542.12</v>
      </c>
      <c r="C15" s="331">
        <v>1.0241</v>
      </c>
      <c r="D15" s="331">
        <v>0.99394000000000005</v>
      </c>
      <c r="E15" s="331">
        <v>0.98441999999999996</v>
      </c>
    </row>
    <row r="16" spans="1:6" x14ac:dyDescent="0.25">
      <c r="A16" s="328">
        <v>38626</v>
      </c>
      <c r="B16" s="29">
        <v>609.42688339999995</v>
      </c>
      <c r="C16" s="331">
        <v>1.1627059350567712</v>
      </c>
      <c r="D16" s="331">
        <v>1.1325659350567714</v>
      </c>
      <c r="E16" s="331">
        <v>1.1230459350567712</v>
      </c>
    </row>
    <row r="17" spans="1:5" x14ac:dyDescent="0.25">
      <c r="A17" s="328">
        <v>39022</v>
      </c>
      <c r="B17" s="29">
        <v>628.67999999999995</v>
      </c>
      <c r="C17" s="331">
        <v>1.20235</v>
      </c>
      <c r="D17" s="331">
        <v>1.1721900000000001</v>
      </c>
      <c r="E17" s="331">
        <v>1.1626700000000001</v>
      </c>
    </row>
    <row r="18" spans="1:5" x14ac:dyDescent="0.25">
      <c r="A18" s="328">
        <v>39387</v>
      </c>
      <c r="B18" s="29">
        <v>565.41</v>
      </c>
      <c r="C18" s="331">
        <v>1.0718700000000001</v>
      </c>
      <c r="D18" s="331">
        <v>1.0417099999999999</v>
      </c>
      <c r="E18" s="331">
        <v>1.0321899999999999</v>
      </c>
    </row>
    <row r="19" spans="1:5" x14ac:dyDescent="0.25">
      <c r="A19" s="1297">
        <v>39753</v>
      </c>
      <c r="B19" s="1293">
        <v>687.59906849999982</v>
      </c>
      <c r="C19" s="1294">
        <v>1.32362</v>
      </c>
      <c r="D19" s="1294">
        <v>1.2934600000000001</v>
      </c>
      <c r="E19" s="1294">
        <v>1.2839299999999998</v>
      </c>
    </row>
    <row r="21" spans="1:5" x14ac:dyDescent="0.25">
      <c r="A21" s="395">
        <f>+'Index &amp; Documentation'!D1</f>
        <v>39814</v>
      </c>
      <c r="B21" s="1860" t="s">
        <v>743</v>
      </c>
      <c r="C21" s="1860"/>
      <c r="D21" s="1860"/>
      <c r="E21" s="1860"/>
    </row>
    <row r="28" spans="1:5" x14ac:dyDescent="0.25">
      <c r="A28" s="349"/>
      <c r="B28" s="44"/>
      <c r="C28" s="240"/>
    </row>
    <row r="29" spans="1:5" x14ac:dyDescent="0.25">
      <c r="A29" s="1859" t="s">
        <v>599</v>
      </c>
      <c r="B29" s="1859"/>
      <c r="C29" s="1859"/>
    </row>
    <row r="30" spans="1:5" x14ac:dyDescent="0.25">
      <c r="A30" s="233" t="s">
        <v>313</v>
      </c>
      <c r="B30" s="233"/>
      <c r="C30" s="233"/>
    </row>
    <row r="31" spans="1:5" x14ac:dyDescent="0.25">
      <c r="A31" s="235" t="s">
        <v>579</v>
      </c>
      <c r="B31" s="233" t="s">
        <v>600</v>
      </c>
      <c r="C31" s="235" t="s">
        <v>22</v>
      </c>
    </row>
    <row r="32" spans="1:5" x14ac:dyDescent="0.25">
      <c r="A32" s="328">
        <v>27120</v>
      </c>
      <c r="B32" s="44"/>
      <c r="C32" s="330">
        <v>0.104</v>
      </c>
    </row>
    <row r="33" spans="1:3" ht="12" customHeight="1" x14ac:dyDescent="0.25">
      <c r="A33" s="118"/>
      <c r="B33" s="118"/>
      <c r="C33" s="118"/>
    </row>
  </sheetData>
  <mergeCells count="2">
    <mergeCell ref="A29:C29"/>
    <mergeCell ref="B21:E21"/>
  </mergeCells>
  <phoneticPr fontId="12" type="noConversion"/>
  <pageMargins left="0.75" right="0.75" top="1" bottom="1" header="0.5" footer="0.5"/>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39"/>
  <sheetViews>
    <sheetView showGridLines="0" workbookViewId="0">
      <selection activeCell="E52" sqref="E52"/>
    </sheetView>
  </sheetViews>
  <sheetFormatPr defaultColWidth="12" defaultRowHeight="13.2" x14ac:dyDescent="0.25"/>
  <cols>
    <col min="1" max="1" width="20.33203125" style="641" bestFit="1" customWidth="1"/>
    <col min="2" max="2" width="22.44140625" style="641" customWidth="1"/>
    <col min="3" max="3" width="9.6640625" style="641" customWidth="1"/>
    <col min="4" max="4" width="14.33203125" style="641" customWidth="1"/>
    <col min="5" max="5" width="18.109375" style="641" bestFit="1" customWidth="1"/>
    <col min="6" max="6" width="20.33203125" style="641" customWidth="1"/>
    <col min="7" max="16384" width="12" style="641"/>
  </cols>
  <sheetData>
    <row r="1" spans="1:7" ht="55.5" customHeight="1" x14ac:dyDescent="0.25">
      <c r="A1" s="640"/>
      <c r="B1" s="640"/>
      <c r="C1" s="640"/>
      <c r="D1" s="640"/>
      <c r="E1" s="640"/>
      <c r="F1" s="640"/>
    </row>
    <row r="2" spans="1:7" ht="12" customHeight="1" x14ac:dyDescent="0.25">
      <c r="A2" s="642"/>
      <c r="B2" s="643"/>
    </row>
    <row r="3" spans="1:7" ht="21" x14ac:dyDescent="0.25">
      <c r="A3" s="644" t="s">
        <v>231</v>
      </c>
      <c r="B3" s="1861" t="s">
        <v>681</v>
      </c>
      <c r="C3" s="1861"/>
      <c r="D3" s="1861"/>
      <c r="E3" s="1861"/>
      <c r="F3" s="1861"/>
      <c r="G3" s="645"/>
    </row>
    <row r="4" spans="1:7" ht="20.399999999999999" x14ac:dyDescent="0.25">
      <c r="B4" s="646" t="s">
        <v>1089</v>
      </c>
      <c r="C4" s="647"/>
      <c r="D4" s="647"/>
      <c r="E4" s="647"/>
      <c r="F4" s="647"/>
      <c r="G4" s="647"/>
    </row>
    <row r="5" spans="1:7" ht="13.8" x14ac:dyDescent="0.25">
      <c r="A5" s="640"/>
      <c r="B5" s="640"/>
      <c r="C5" s="640"/>
      <c r="D5" s="640"/>
      <c r="E5" s="648" t="s">
        <v>682</v>
      </c>
    </row>
    <row r="6" spans="1:7" ht="13.8" x14ac:dyDescent="0.25">
      <c r="A6" s="640"/>
      <c r="B6" s="648" t="s">
        <v>313</v>
      </c>
      <c r="C6" s="649"/>
      <c r="D6" s="649"/>
      <c r="E6" s="648" t="s">
        <v>683</v>
      </c>
    </row>
    <row r="7" spans="1:7" ht="13.8" x14ac:dyDescent="0.25">
      <c r="B7" s="650" t="s">
        <v>684</v>
      </c>
      <c r="C7" s="649"/>
      <c r="D7" s="649"/>
      <c r="E7" s="650" t="s">
        <v>198</v>
      </c>
    </row>
    <row r="8" spans="1:7" ht="13.8" x14ac:dyDescent="0.25">
      <c r="B8" s="648"/>
      <c r="C8" s="649"/>
      <c r="D8" s="649"/>
      <c r="E8" s="648"/>
    </row>
    <row r="9" spans="1:7" ht="13.8" x14ac:dyDescent="0.25">
      <c r="B9" s="651">
        <v>38169</v>
      </c>
      <c r="E9" s="652">
        <v>1.3528199999999999</v>
      </c>
    </row>
    <row r="10" spans="1:7" ht="13.8" x14ac:dyDescent="0.25">
      <c r="B10" s="651">
        <v>38292</v>
      </c>
      <c r="E10" s="652">
        <v>1.5503899999999999</v>
      </c>
    </row>
    <row r="11" spans="1:7" ht="13.8" x14ac:dyDescent="0.25">
      <c r="B11" s="651">
        <v>38626</v>
      </c>
      <c r="E11" s="652">
        <v>1.68926</v>
      </c>
    </row>
    <row r="12" spans="1:7" ht="13.8" x14ac:dyDescent="0.25">
      <c r="B12" s="651">
        <v>39022</v>
      </c>
      <c r="E12" s="652">
        <v>1.72902</v>
      </c>
    </row>
    <row r="13" spans="1:7" ht="13.8" x14ac:dyDescent="0.25">
      <c r="B13" s="651">
        <v>39387</v>
      </c>
      <c r="E13" s="652">
        <v>1.5985400000000001</v>
      </c>
    </row>
    <row r="14" spans="1:7" ht="13.8" x14ac:dyDescent="0.25">
      <c r="B14" s="651">
        <v>39753</v>
      </c>
      <c r="E14" s="652">
        <v>1.8504199999999997</v>
      </c>
    </row>
    <row r="15" spans="1:7" ht="13.8" x14ac:dyDescent="0.25">
      <c r="B15" s="651">
        <v>39814</v>
      </c>
      <c r="E15" s="652">
        <v>1.8456300000000001</v>
      </c>
    </row>
    <row r="16" spans="1:7" ht="13.8" x14ac:dyDescent="0.25">
      <c r="B16" s="651"/>
      <c r="E16" s="652"/>
    </row>
    <row r="17" spans="2:5" ht="13.8" x14ac:dyDescent="0.25">
      <c r="B17" s="1102">
        <v>40025</v>
      </c>
      <c r="C17" s="1101"/>
      <c r="D17" s="1101"/>
      <c r="E17" s="1135" t="s">
        <v>749</v>
      </c>
    </row>
    <row r="18" spans="2:5" ht="13.8" x14ac:dyDescent="0.25">
      <c r="B18" s="1101"/>
      <c r="C18" s="1101"/>
      <c r="D18" s="1101"/>
      <c r="E18" s="1101"/>
    </row>
    <row r="19" spans="2:5" ht="13.8" x14ac:dyDescent="0.25">
      <c r="B19" s="1101"/>
      <c r="C19" s="1101"/>
      <c r="D19" s="1101"/>
      <c r="E19" s="1101"/>
    </row>
    <row r="20" spans="2:5" ht="13.8" x14ac:dyDescent="0.25">
      <c r="B20" s="1101"/>
      <c r="C20" s="1101"/>
      <c r="D20" s="1101"/>
      <c r="E20" s="1101"/>
    </row>
    <row r="21" spans="2:5" ht="13.8" x14ac:dyDescent="0.25">
      <c r="B21" s="1101"/>
      <c r="C21" s="1101"/>
      <c r="D21" s="1101"/>
      <c r="E21" s="1101"/>
    </row>
    <row r="22" spans="2:5" ht="13.8" x14ac:dyDescent="0.25">
      <c r="B22" s="1101"/>
      <c r="C22" s="1101"/>
      <c r="D22" s="1101"/>
      <c r="E22" s="1101"/>
    </row>
    <row r="23" spans="2:5" ht="13.8" x14ac:dyDescent="0.25">
      <c r="B23" s="1101"/>
      <c r="C23" s="1101"/>
      <c r="D23" s="1101"/>
      <c r="E23" s="1101"/>
    </row>
    <row r="24" spans="2:5" ht="13.8" x14ac:dyDescent="0.25">
      <c r="B24" s="1101"/>
      <c r="C24" s="1101"/>
      <c r="D24" s="1101"/>
      <c r="E24" s="1101"/>
    </row>
    <row r="25" spans="2:5" ht="13.8" x14ac:dyDescent="0.25">
      <c r="B25" s="1101"/>
      <c r="C25" s="1101"/>
      <c r="D25" s="1101"/>
      <c r="E25" s="1101"/>
    </row>
    <row r="26" spans="2:5" ht="13.8" x14ac:dyDescent="0.25">
      <c r="B26" s="1101"/>
      <c r="C26" s="1101"/>
      <c r="D26" s="1101"/>
      <c r="E26" s="1101"/>
    </row>
    <row r="27" spans="2:5" ht="13.8" x14ac:dyDescent="0.25">
      <c r="B27" s="1101"/>
      <c r="C27" s="1101"/>
      <c r="D27" s="1101"/>
      <c r="E27" s="1101"/>
    </row>
    <row r="28" spans="2:5" ht="13.8" x14ac:dyDescent="0.25">
      <c r="B28" s="1101"/>
      <c r="C28" s="1101"/>
      <c r="D28" s="1101"/>
      <c r="E28" s="1101"/>
    </row>
    <row r="29" spans="2:5" ht="13.8" x14ac:dyDescent="0.25">
      <c r="B29" s="1101"/>
      <c r="C29" s="1101"/>
      <c r="D29" s="1101"/>
      <c r="E29" s="1101"/>
    </row>
    <row r="30" spans="2:5" ht="13.8" x14ac:dyDescent="0.25">
      <c r="B30" s="1101"/>
      <c r="C30" s="1101"/>
      <c r="D30" s="1101"/>
      <c r="E30" s="1101"/>
    </row>
    <row r="31" spans="2:5" ht="13.8" x14ac:dyDescent="0.25">
      <c r="B31" s="1101"/>
      <c r="C31" s="1101"/>
      <c r="D31" s="1101"/>
      <c r="E31" s="1101"/>
    </row>
    <row r="32" spans="2:5" ht="13.8" x14ac:dyDescent="0.25">
      <c r="B32" s="1101"/>
      <c r="C32" s="1101"/>
      <c r="D32" s="1101"/>
      <c r="E32" s="1101"/>
    </row>
    <row r="33" spans="2:5" ht="13.8" x14ac:dyDescent="0.25">
      <c r="B33" s="1101"/>
      <c r="C33" s="1101"/>
      <c r="D33" s="1101"/>
      <c r="E33" s="1101"/>
    </row>
    <row r="34" spans="2:5" ht="13.8" x14ac:dyDescent="0.25">
      <c r="B34" s="1101"/>
      <c r="C34" s="1101"/>
      <c r="D34" s="1101"/>
      <c r="E34" s="1101"/>
    </row>
    <row r="35" spans="2:5" ht="13.8" x14ac:dyDescent="0.25">
      <c r="B35" s="1101"/>
      <c r="C35" s="1101"/>
      <c r="D35" s="1101"/>
      <c r="E35" s="1101"/>
    </row>
    <row r="36" spans="2:5" ht="13.8" x14ac:dyDescent="0.25">
      <c r="B36" s="1101"/>
      <c r="C36" s="1101"/>
      <c r="D36" s="1101"/>
      <c r="E36" s="1101"/>
    </row>
    <row r="37" spans="2:5" ht="13.8" x14ac:dyDescent="0.25">
      <c r="B37" s="1101"/>
      <c r="C37" s="1101"/>
      <c r="D37" s="1101"/>
      <c r="E37" s="1101"/>
    </row>
    <row r="38" spans="2:5" ht="13.8" x14ac:dyDescent="0.25">
      <c r="B38" s="1101"/>
      <c r="C38" s="1101"/>
      <c r="D38" s="1101"/>
      <c r="E38" s="1101"/>
    </row>
    <row r="39" spans="2:5" ht="13.8" x14ac:dyDescent="0.25">
      <c r="B39" s="1101"/>
      <c r="C39" s="1101"/>
      <c r="D39" s="1101"/>
      <c r="E39" s="1101"/>
    </row>
  </sheetData>
  <mergeCells count="1">
    <mergeCell ref="B3:F3"/>
  </mergeCells>
  <phoneticPr fontId="11" type="noConversion"/>
  <pageMargins left="0.75" right="0.75" top="0.54" bottom="0.54" header="0.5" footer="0.5"/>
  <pageSetup scale="80"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showGridLines="0" topLeftCell="A31" zoomScaleNormal="100" workbookViewId="0">
      <selection activeCell="E52" sqref="E52"/>
    </sheetView>
  </sheetViews>
  <sheetFormatPr defaultColWidth="12" defaultRowHeight="13.2" x14ac:dyDescent="0.25"/>
  <cols>
    <col min="1" max="1" width="44.88671875" style="1" customWidth="1"/>
    <col min="2" max="2" width="37.6640625" style="1" customWidth="1"/>
    <col min="3" max="3" width="19.6640625" style="1" customWidth="1"/>
    <col min="4" max="4" width="3.88671875" style="1" customWidth="1"/>
    <col min="5" max="5" width="13.6640625" style="1" customWidth="1"/>
    <col min="6" max="16384" width="12" style="1"/>
  </cols>
  <sheetData>
    <row r="1" spans="1:12" ht="24.6" x14ac:dyDescent="0.25">
      <c r="B1" s="429"/>
      <c r="D1" s="1846" t="s">
        <v>568</v>
      </c>
      <c r="E1" s="1846"/>
      <c r="F1" s="45"/>
      <c r="G1" s="45"/>
      <c r="H1" s="45"/>
      <c r="I1" s="45"/>
      <c r="J1" s="45"/>
      <c r="K1" s="45"/>
      <c r="L1" s="45"/>
    </row>
    <row r="2" spans="1:12" ht="25.2" x14ac:dyDescent="0.25">
      <c r="A2" s="269"/>
      <c r="B2" s="1862" t="s">
        <v>569</v>
      </c>
      <c r="C2" s="1862"/>
      <c r="D2" s="1862"/>
      <c r="E2" s="1862"/>
      <c r="F2" s="45"/>
      <c r="G2" s="45"/>
      <c r="H2" s="45"/>
      <c r="I2" s="45"/>
      <c r="J2" s="45"/>
      <c r="K2" s="45"/>
      <c r="L2" s="45"/>
    </row>
    <row r="3" spans="1:12" ht="20.399999999999999" x14ac:dyDescent="0.25">
      <c r="B3" s="1862" t="s">
        <v>1088</v>
      </c>
      <c r="C3" s="1862"/>
      <c r="D3" s="1862"/>
      <c r="E3" s="1862"/>
      <c r="F3" s="45"/>
      <c r="G3" s="45"/>
      <c r="H3" s="45"/>
      <c r="I3" s="45"/>
      <c r="J3" s="45"/>
      <c r="K3" s="45"/>
      <c r="L3" s="45"/>
    </row>
    <row r="4" spans="1:12" ht="24.6" x14ac:dyDescent="0.25">
      <c r="A4" s="47" t="s">
        <v>231</v>
      </c>
      <c r="B4" s="429"/>
      <c r="C4" s="303"/>
      <c r="D4" s="303"/>
      <c r="E4" s="303"/>
      <c r="F4" s="45"/>
      <c r="G4" s="45"/>
      <c r="H4" s="45"/>
      <c r="I4" s="45"/>
      <c r="J4" s="45"/>
      <c r="K4" s="45"/>
      <c r="L4" s="45"/>
    </row>
    <row r="5" spans="1:12" x14ac:dyDescent="0.25">
      <c r="A5" s="63"/>
      <c r="B5" s="63"/>
      <c r="C5" s="63"/>
      <c r="D5" s="63"/>
      <c r="E5" s="63"/>
      <c r="F5" s="45"/>
      <c r="G5" s="45"/>
      <c r="H5" s="45"/>
      <c r="I5" s="45"/>
      <c r="J5" s="45"/>
      <c r="K5" s="45"/>
      <c r="L5" s="45"/>
    </row>
    <row r="6" spans="1:12" ht="13.8" thickBot="1" x14ac:dyDescent="0.3">
      <c r="A6" s="45"/>
      <c r="B6" s="44"/>
      <c r="C6" s="45"/>
      <c r="D6" s="45"/>
      <c r="E6" s="45"/>
      <c r="F6" s="45"/>
      <c r="G6" s="45"/>
      <c r="H6" s="45"/>
      <c r="I6" s="45"/>
      <c r="J6" s="45"/>
      <c r="K6" s="45"/>
      <c r="L6" s="45"/>
    </row>
    <row r="7" spans="1:12" ht="13.8" thickBot="1" x14ac:dyDescent="0.3">
      <c r="A7" s="304" t="s">
        <v>571</v>
      </c>
      <c r="B7" s="430"/>
      <c r="C7" s="306" t="s">
        <v>572</v>
      </c>
      <c r="D7" s="44" t="s">
        <v>538</v>
      </c>
      <c r="E7" s="45"/>
      <c r="F7" s="45"/>
      <c r="G7" s="45"/>
      <c r="H7" s="45"/>
      <c r="I7" s="45"/>
      <c r="J7" s="45"/>
      <c r="K7" s="45"/>
      <c r="L7" s="45"/>
    </row>
    <row r="8" spans="1:12" x14ac:dyDescent="0.25">
      <c r="A8" s="307"/>
      <c r="B8" s="431"/>
      <c r="C8" s="34"/>
      <c r="D8" s="45"/>
      <c r="E8" s="45"/>
      <c r="F8" s="45"/>
      <c r="G8" s="45"/>
      <c r="H8" s="45"/>
      <c r="I8" s="45"/>
      <c r="J8" s="45"/>
      <c r="K8" s="45"/>
      <c r="L8" s="45"/>
    </row>
    <row r="9" spans="1:12" x14ac:dyDescent="0.25">
      <c r="A9" s="308">
        <v>32143</v>
      </c>
      <c r="B9" s="431"/>
      <c r="C9" s="310">
        <v>0.21046000000000001</v>
      </c>
      <c r="D9" s="45"/>
      <c r="E9" s="45"/>
      <c r="F9" s="45"/>
      <c r="G9" s="45"/>
      <c r="H9" s="45"/>
      <c r="I9" s="45"/>
      <c r="J9" s="45"/>
      <c r="K9" s="45"/>
      <c r="L9" s="45"/>
    </row>
    <row r="10" spans="1:12" x14ac:dyDescent="0.25">
      <c r="A10" s="308">
        <v>32234</v>
      </c>
      <c r="B10" s="431"/>
      <c r="C10" s="310">
        <v>0.24506</v>
      </c>
      <c r="D10" s="45"/>
      <c r="E10" s="45"/>
      <c r="F10" s="45"/>
      <c r="G10" s="45"/>
      <c r="H10" s="45"/>
      <c r="I10" s="45"/>
      <c r="J10" s="45"/>
      <c r="K10" s="45"/>
      <c r="L10" s="45"/>
    </row>
    <row r="11" spans="1:12" ht="13.8" thickBot="1" x14ac:dyDescent="0.3">
      <c r="A11" s="311"/>
      <c r="B11" s="432"/>
      <c r="C11" s="312"/>
      <c r="D11" s="45"/>
      <c r="E11" s="45"/>
      <c r="F11" s="45"/>
      <c r="G11" s="45"/>
      <c r="H11" s="45"/>
      <c r="I11" s="45"/>
      <c r="J11" s="45"/>
      <c r="K11" s="45"/>
      <c r="L11" s="45"/>
    </row>
    <row r="12" spans="1:12" ht="13.8" thickBot="1" x14ac:dyDescent="0.3">
      <c r="A12" s="132"/>
      <c r="B12" s="431"/>
      <c r="C12" s="38"/>
      <c r="D12" s="45"/>
      <c r="E12" s="45"/>
      <c r="F12" s="45"/>
      <c r="G12" s="45"/>
      <c r="H12" s="45"/>
      <c r="I12" s="45"/>
      <c r="J12" s="45"/>
      <c r="K12" s="45"/>
      <c r="L12" s="45"/>
    </row>
    <row r="13" spans="1:12" ht="13.8" thickBot="1" x14ac:dyDescent="0.3">
      <c r="A13" s="304" t="s">
        <v>571</v>
      </c>
      <c r="B13" s="430"/>
      <c r="C13" s="306" t="s">
        <v>572</v>
      </c>
      <c r="D13" s="44" t="s">
        <v>542</v>
      </c>
      <c r="E13" s="45"/>
      <c r="F13" s="45"/>
      <c r="G13" s="45"/>
      <c r="H13" s="45"/>
      <c r="I13" s="45"/>
      <c r="J13" s="45"/>
      <c r="K13" s="45"/>
      <c r="L13" s="45"/>
    </row>
    <row r="14" spans="1:12" x14ac:dyDescent="0.25">
      <c r="A14" s="314"/>
      <c r="B14" s="431"/>
      <c r="C14" s="34"/>
      <c r="D14" s="45"/>
      <c r="E14" s="45"/>
      <c r="F14" s="45"/>
      <c r="G14" s="45"/>
      <c r="H14" s="45"/>
      <c r="I14" s="45"/>
      <c r="J14" s="45"/>
      <c r="K14" s="45"/>
      <c r="L14" s="45"/>
    </row>
    <row r="15" spans="1:12" x14ac:dyDescent="0.25">
      <c r="A15" s="315">
        <v>32509</v>
      </c>
      <c r="B15" s="431"/>
      <c r="C15" s="310">
        <v>0.16811000000000001</v>
      </c>
      <c r="D15" s="45"/>
      <c r="E15" s="45"/>
      <c r="F15" s="45"/>
      <c r="G15" s="45"/>
      <c r="H15" s="45"/>
      <c r="I15" s="45"/>
      <c r="J15" s="45"/>
      <c r="K15" s="45"/>
      <c r="L15" s="45"/>
    </row>
    <row r="16" spans="1:12" x14ac:dyDescent="0.25">
      <c r="A16" s="315">
        <v>32874</v>
      </c>
      <c r="B16" s="431"/>
      <c r="C16" s="310">
        <v>0.16211999999999999</v>
      </c>
      <c r="D16" s="233"/>
      <c r="E16" s="45"/>
      <c r="F16" s="45"/>
      <c r="G16" s="45"/>
      <c r="H16" s="45"/>
      <c r="I16" s="45"/>
      <c r="J16" s="45"/>
      <c r="K16" s="45"/>
      <c r="L16" s="45"/>
    </row>
    <row r="17" spans="1:12" x14ac:dyDescent="0.25">
      <c r="A17" s="315">
        <v>33239</v>
      </c>
      <c r="B17" s="431"/>
      <c r="C17" s="310">
        <v>0.15964999999999999</v>
      </c>
      <c r="D17" s="233"/>
      <c r="E17" s="45"/>
      <c r="F17" s="45"/>
      <c r="G17" s="45"/>
      <c r="H17" s="45"/>
      <c r="I17" s="45"/>
      <c r="J17" s="45"/>
      <c r="K17" s="45"/>
      <c r="L17" s="45"/>
    </row>
    <row r="18" spans="1:12" x14ac:dyDescent="0.25">
      <c r="A18" s="315">
        <v>33573</v>
      </c>
      <c r="B18" s="431"/>
      <c r="C18" s="433"/>
      <c r="D18" s="233"/>
      <c r="E18" s="45"/>
      <c r="F18" s="45"/>
      <c r="G18" s="45"/>
      <c r="H18" s="45"/>
      <c r="I18" s="45"/>
      <c r="J18" s="45"/>
      <c r="K18" s="45"/>
      <c r="L18" s="45"/>
    </row>
    <row r="19" spans="1:12" x14ac:dyDescent="0.25">
      <c r="A19" s="308"/>
      <c r="B19" s="431" t="s">
        <v>656</v>
      </c>
      <c r="C19" s="310">
        <v>0.15556</v>
      </c>
      <c r="D19" s="233" t="s">
        <v>544</v>
      </c>
      <c r="E19" s="45"/>
      <c r="F19" s="45"/>
      <c r="G19" s="45"/>
      <c r="H19" s="45"/>
      <c r="I19" s="45"/>
      <c r="J19" s="45"/>
      <c r="K19" s="45"/>
      <c r="L19" s="45"/>
    </row>
    <row r="20" spans="1:12" x14ac:dyDescent="0.25">
      <c r="A20" s="308"/>
      <c r="B20" s="431" t="s">
        <v>657</v>
      </c>
      <c r="C20" s="310">
        <v>0.15479000000000001</v>
      </c>
      <c r="D20" s="45"/>
      <c r="E20" s="45"/>
      <c r="F20" s="45"/>
      <c r="G20" s="45"/>
      <c r="H20" s="45"/>
      <c r="I20" s="45"/>
      <c r="J20" s="45"/>
      <c r="K20" s="45"/>
      <c r="L20" s="45"/>
    </row>
    <row r="21" spans="1:12" x14ac:dyDescent="0.25">
      <c r="A21" s="315">
        <v>33939</v>
      </c>
      <c r="B21" s="431"/>
      <c r="C21" s="433"/>
      <c r="D21" s="233"/>
      <c r="E21" s="45"/>
      <c r="F21" s="45"/>
      <c r="G21" s="45"/>
      <c r="H21" s="45"/>
      <c r="I21" s="45"/>
      <c r="J21" s="45"/>
      <c r="K21" s="45"/>
      <c r="L21" s="45"/>
    </row>
    <row r="22" spans="1:12" x14ac:dyDescent="0.25">
      <c r="A22" s="308"/>
      <c r="B22" s="431" t="s">
        <v>656</v>
      </c>
      <c r="C22" s="310">
        <v>0.16558999999999999</v>
      </c>
      <c r="D22" s="233"/>
      <c r="E22" s="45"/>
      <c r="F22" s="45"/>
      <c r="G22" s="45"/>
      <c r="H22" s="45"/>
      <c r="I22" s="45"/>
      <c r="J22" s="45"/>
      <c r="K22" s="45"/>
      <c r="L22" s="45"/>
    </row>
    <row r="23" spans="1:12" x14ac:dyDescent="0.25">
      <c r="A23" s="308"/>
      <c r="B23" s="431" t="s">
        <v>657</v>
      </c>
      <c r="C23" s="310">
        <v>0.16699</v>
      </c>
      <c r="D23" s="233"/>
      <c r="E23" s="45"/>
      <c r="F23" s="45"/>
      <c r="G23" s="45"/>
      <c r="H23" s="45"/>
      <c r="I23" s="45"/>
      <c r="J23" s="45"/>
      <c r="K23" s="45"/>
      <c r="L23" s="45"/>
    </row>
    <row r="24" spans="1:12" x14ac:dyDescent="0.25">
      <c r="A24" s="315">
        <v>34121</v>
      </c>
      <c r="B24" s="431"/>
      <c r="C24" s="433"/>
      <c r="D24" s="233"/>
      <c r="E24" s="45"/>
      <c r="F24" s="45"/>
      <c r="G24" s="45"/>
      <c r="H24" s="45"/>
      <c r="I24" s="45"/>
      <c r="J24" s="45"/>
      <c r="K24" s="45"/>
      <c r="L24" s="45"/>
    </row>
    <row r="25" spans="1:12" x14ac:dyDescent="0.25">
      <c r="A25" s="308"/>
      <c r="B25" s="431" t="s">
        <v>656</v>
      </c>
      <c r="C25" s="434">
        <v>0.15901999999999999</v>
      </c>
      <c r="D25" s="45"/>
      <c r="E25" s="45"/>
      <c r="F25" s="45"/>
      <c r="G25" s="45"/>
      <c r="H25" s="45"/>
      <c r="I25" s="45"/>
      <c r="J25" s="45"/>
      <c r="K25" s="45"/>
      <c r="L25" s="45"/>
    </row>
    <row r="26" spans="1:12" x14ac:dyDescent="0.25">
      <c r="A26" s="308"/>
      <c r="B26" s="431" t="s">
        <v>657</v>
      </c>
      <c r="C26" s="434">
        <v>0.16037000000000001</v>
      </c>
      <c r="D26" s="45"/>
      <c r="E26" s="45"/>
      <c r="F26" s="45"/>
      <c r="G26" s="45"/>
      <c r="H26" s="45"/>
      <c r="I26" s="45"/>
      <c r="J26" s="45"/>
      <c r="K26" s="45"/>
      <c r="L26" s="45"/>
    </row>
    <row r="27" spans="1:12" x14ac:dyDescent="0.25">
      <c r="A27" s="315">
        <v>34304</v>
      </c>
      <c r="B27" s="431"/>
      <c r="C27" s="433"/>
      <c r="D27" s="45"/>
      <c r="E27" s="45"/>
      <c r="F27" s="45"/>
      <c r="G27" s="45"/>
      <c r="H27" s="45"/>
      <c r="I27" s="45"/>
      <c r="J27" s="45"/>
      <c r="K27" s="45"/>
      <c r="L27" s="45"/>
    </row>
    <row r="28" spans="1:12" x14ac:dyDescent="0.25">
      <c r="A28" s="308"/>
      <c r="B28" s="431" t="s">
        <v>656</v>
      </c>
      <c r="C28" s="310">
        <v>0.17068</v>
      </c>
      <c r="D28" s="45"/>
      <c r="E28" s="45"/>
      <c r="F28" s="45"/>
      <c r="G28" s="45"/>
      <c r="H28" s="45"/>
      <c r="I28" s="45"/>
      <c r="J28" s="45"/>
      <c r="K28" s="45"/>
      <c r="L28" s="45"/>
    </row>
    <row r="29" spans="1:12" x14ac:dyDescent="0.25">
      <c r="A29" s="308"/>
      <c r="B29" s="431" t="s">
        <v>657</v>
      </c>
      <c r="C29" s="310">
        <v>0.17105999999999999</v>
      </c>
      <c r="D29" s="45"/>
      <c r="E29" s="45"/>
      <c r="F29" s="45"/>
      <c r="G29" s="45"/>
      <c r="H29" s="45"/>
      <c r="I29" s="45"/>
      <c r="J29" s="45"/>
      <c r="K29" s="45"/>
      <c r="L29" s="45"/>
    </row>
    <row r="30" spans="1:12" x14ac:dyDescent="0.25">
      <c r="A30" s="315">
        <v>34669</v>
      </c>
      <c r="B30" s="431"/>
      <c r="C30" s="433"/>
      <c r="D30" s="45"/>
      <c r="E30" s="45"/>
      <c r="F30" s="45"/>
      <c r="G30" s="45"/>
      <c r="H30" s="45"/>
      <c r="I30" s="45"/>
      <c r="J30" s="45"/>
      <c r="K30" s="45"/>
      <c r="L30" s="45"/>
    </row>
    <row r="31" spans="1:12" x14ac:dyDescent="0.25">
      <c r="A31" s="308"/>
      <c r="B31" s="431" t="s">
        <v>656</v>
      </c>
      <c r="C31" s="310">
        <v>0.14555000000000001</v>
      </c>
      <c r="D31" s="45"/>
      <c r="E31" s="45"/>
      <c r="F31" s="45"/>
      <c r="G31" s="45"/>
      <c r="H31" s="45"/>
      <c r="I31" s="45"/>
      <c r="J31" s="45"/>
      <c r="K31" s="45"/>
      <c r="L31" s="45"/>
    </row>
    <row r="32" spans="1:12" x14ac:dyDescent="0.25">
      <c r="A32" s="308"/>
      <c r="B32" s="431" t="s">
        <v>657</v>
      </c>
      <c r="C32" s="310">
        <v>0.14557</v>
      </c>
      <c r="D32" s="45"/>
      <c r="E32" s="45"/>
      <c r="F32" s="45"/>
      <c r="G32" s="45"/>
      <c r="H32" s="45"/>
      <c r="I32" s="45"/>
      <c r="J32" s="45"/>
      <c r="K32" s="45"/>
      <c r="L32" s="45"/>
    </row>
    <row r="33" spans="1:12" x14ac:dyDescent="0.25">
      <c r="A33" s="315">
        <v>35034</v>
      </c>
      <c r="B33" s="431"/>
      <c r="C33" s="433"/>
      <c r="D33" s="45"/>
      <c r="E33" s="45"/>
      <c r="F33" s="45"/>
      <c r="G33" s="45"/>
      <c r="H33" s="45"/>
      <c r="I33" s="45"/>
      <c r="J33" s="45"/>
      <c r="K33" s="45"/>
      <c r="L33" s="45"/>
    </row>
    <row r="34" spans="1:12" x14ac:dyDescent="0.25">
      <c r="A34" s="308"/>
      <c r="B34" s="431" t="s">
        <v>656</v>
      </c>
      <c r="C34" s="310">
        <v>0.10563</v>
      </c>
      <c r="D34" s="45"/>
      <c r="E34" s="45"/>
      <c r="F34" s="45"/>
      <c r="G34" s="45"/>
      <c r="H34" s="45"/>
      <c r="I34" s="45"/>
      <c r="J34" s="45"/>
      <c r="K34" s="45"/>
      <c r="L34" s="45"/>
    </row>
    <row r="35" spans="1:12" x14ac:dyDescent="0.25">
      <c r="A35" s="308"/>
      <c r="B35" s="431" t="s">
        <v>657</v>
      </c>
      <c r="C35" s="310">
        <v>0.1055</v>
      </c>
      <c r="D35" s="45"/>
      <c r="E35" s="44"/>
      <c r="F35" s="45"/>
      <c r="G35" s="45"/>
      <c r="H35" s="45"/>
      <c r="I35" s="45"/>
      <c r="J35" s="45"/>
      <c r="K35" s="45"/>
      <c r="L35" s="45"/>
    </row>
    <row r="36" spans="1:12" x14ac:dyDescent="0.25">
      <c r="A36" s="315">
        <v>35096</v>
      </c>
      <c r="B36" s="431"/>
      <c r="C36" s="433"/>
      <c r="D36" s="45"/>
      <c r="E36" s="44"/>
      <c r="F36" s="45"/>
      <c r="G36" s="45"/>
      <c r="H36" s="45"/>
      <c r="I36" s="45"/>
      <c r="J36" s="45"/>
      <c r="K36" s="45"/>
      <c r="L36" s="45"/>
    </row>
    <row r="37" spans="1:12" x14ac:dyDescent="0.25">
      <c r="A37" s="307"/>
      <c r="B37" s="431" t="s">
        <v>656</v>
      </c>
      <c r="C37" s="310">
        <v>0.10648000000000001</v>
      </c>
      <c r="D37" s="45"/>
      <c r="E37" s="44"/>
      <c r="F37" s="45"/>
      <c r="G37" s="45"/>
      <c r="H37" s="45"/>
      <c r="I37" s="45"/>
      <c r="J37" s="45"/>
      <c r="K37" s="45"/>
      <c r="L37" s="45"/>
    </row>
    <row r="38" spans="1:12" x14ac:dyDescent="0.25">
      <c r="A38" s="307"/>
      <c r="B38" s="431" t="s">
        <v>657</v>
      </c>
      <c r="C38" s="310">
        <v>0.10589999999999999</v>
      </c>
      <c r="D38" s="45"/>
      <c r="E38" s="44"/>
      <c r="F38" s="45"/>
      <c r="G38" s="45"/>
      <c r="H38" s="45"/>
      <c r="I38" s="45"/>
      <c r="J38" s="45"/>
      <c r="K38" s="45"/>
      <c r="L38" s="45"/>
    </row>
    <row r="39" spans="1:12" x14ac:dyDescent="0.25">
      <c r="A39" s="315">
        <v>35400</v>
      </c>
      <c r="B39" s="431"/>
      <c r="C39" s="433"/>
      <c r="D39" s="45"/>
      <c r="E39" s="44"/>
      <c r="F39" s="45"/>
      <c r="G39" s="45"/>
      <c r="H39" s="45"/>
      <c r="I39" s="45"/>
      <c r="J39" s="45"/>
      <c r="K39" s="45"/>
      <c r="L39" s="45"/>
    </row>
    <row r="40" spans="1:12" x14ac:dyDescent="0.25">
      <c r="A40" s="307"/>
      <c r="B40" s="431" t="s">
        <v>656</v>
      </c>
      <c r="C40" s="310">
        <v>9.4969999999999999E-2</v>
      </c>
      <c r="D40" s="45"/>
      <c r="E40" s="44"/>
      <c r="F40" s="45"/>
      <c r="G40" s="45"/>
      <c r="H40" s="45"/>
      <c r="I40" s="45"/>
      <c r="J40" s="45"/>
      <c r="K40" s="45"/>
      <c r="L40" s="45"/>
    </row>
    <row r="41" spans="1:12" x14ac:dyDescent="0.25">
      <c r="A41" s="307"/>
      <c r="B41" s="431" t="s">
        <v>657</v>
      </c>
      <c r="C41" s="310">
        <v>9.4789999999999999E-2</v>
      </c>
      <c r="D41" s="45"/>
      <c r="E41" s="44"/>
      <c r="F41" s="45"/>
      <c r="G41" s="45"/>
      <c r="H41" s="45"/>
      <c r="I41" s="45"/>
      <c r="J41" s="45"/>
      <c r="K41" s="45"/>
      <c r="L41" s="45"/>
    </row>
    <row r="42" spans="1:12" x14ac:dyDescent="0.25">
      <c r="A42" s="315">
        <v>35765</v>
      </c>
      <c r="B42" s="431"/>
      <c r="C42" s="433"/>
      <c r="D42" s="45"/>
      <c r="E42" s="44"/>
      <c r="F42" s="45"/>
      <c r="G42" s="45"/>
      <c r="H42" s="45"/>
      <c r="I42" s="45"/>
      <c r="J42" s="45"/>
      <c r="K42" s="45"/>
      <c r="L42" s="45"/>
    </row>
    <row r="43" spans="1:12" x14ac:dyDescent="0.25">
      <c r="A43" s="307"/>
      <c r="B43" s="431" t="s">
        <v>656</v>
      </c>
      <c r="C43" s="310">
        <v>0.14734</v>
      </c>
      <c r="D43" s="45"/>
      <c r="E43" s="44"/>
      <c r="F43" s="45"/>
      <c r="G43" s="45"/>
      <c r="H43" s="45"/>
      <c r="I43" s="45"/>
      <c r="J43" s="45"/>
      <c r="K43" s="45"/>
      <c r="L43" s="45"/>
    </row>
    <row r="44" spans="1:12" x14ac:dyDescent="0.25">
      <c r="A44" s="307"/>
      <c r="B44" s="431" t="s">
        <v>657</v>
      </c>
      <c r="C44" s="310">
        <v>0.14793000000000001</v>
      </c>
      <c r="D44" s="45"/>
      <c r="E44" s="44"/>
      <c r="F44" s="45"/>
      <c r="G44" s="45"/>
      <c r="H44" s="45"/>
      <c r="I44" s="45"/>
      <c r="J44" s="45"/>
      <c r="K44" s="45"/>
      <c r="L44" s="45"/>
    </row>
    <row r="45" spans="1:12" x14ac:dyDescent="0.25">
      <c r="A45" s="307"/>
      <c r="B45" s="249"/>
      <c r="C45" s="37"/>
      <c r="D45" s="45"/>
      <c r="E45" s="44"/>
      <c r="F45" s="45"/>
      <c r="G45" s="45"/>
      <c r="H45" s="45"/>
      <c r="I45" s="45"/>
      <c r="J45" s="45"/>
      <c r="K45" s="45"/>
      <c r="L45" s="45"/>
    </row>
    <row r="46" spans="1:12" x14ac:dyDescent="0.25">
      <c r="A46" s="315">
        <v>36130</v>
      </c>
      <c r="B46" s="431" t="s">
        <v>656</v>
      </c>
      <c r="C46" s="310">
        <v>0.15701000000000001</v>
      </c>
      <c r="D46" s="45"/>
      <c r="E46" s="44"/>
      <c r="F46" s="45"/>
      <c r="G46" s="45"/>
      <c r="H46" s="45"/>
      <c r="I46" s="45"/>
      <c r="J46" s="45"/>
      <c r="K46" s="45"/>
      <c r="L46" s="45"/>
    </row>
    <row r="47" spans="1:12" x14ac:dyDescent="0.25">
      <c r="A47" s="307"/>
      <c r="B47" s="431" t="s">
        <v>657</v>
      </c>
      <c r="C47" s="310">
        <v>0.15559000000000001</v>
      </c>
      <c r="D47" s="45"/>
      <c r="E47" s="44"/>
      <c r="F47" s="45"/>
      <c r="G47" s="45"/>
      <c r="H47" s="45"/>
      <c r="I47" s="45"/>
      <c r="J47" s="45"/>
      <c r="K47" s="45"/>
      <c r="L47" s="45"/>
    </row>
    <row r="48" spans="1:12" x14ac:dyDescent="0.25">
      <c r="A48" s="307"/>
      <c r="B48" s="431"/>
      <c r="C48" s="37"/>
      <c r="D48" s="45"/>
      <c r="E48" s="44"/>
      <c r="F48" s="45"/>
      <c r="G48" s="45"/>
      <c r="H48" s="45"/>
      <c r="I48" s="45"/>
      <c r="J48" s="45"/>
      <c r="K48" s="45"/>
      <c r="L48" s="45"/>
    </row>
    <row r="49" spans="1:12" x14ac:dyDescent="0.25">
      <c r="A49" s="315">
        <v>36495</v>
      </c>
      <c r="B49" s="431" t="s">
        <v>656</v>
      </c>
      <c r="C49" s="310">
        <v>0.20188999999999999</v>
      </c>
      <c r="D49" s="45"/>
      <c r="E49" s="44"/>
      <c r="F49" s="45"/>
      <c r="G49" s="45"/>
      <c r="H49" s="45"/>
      <c r="I49" s="45"/>
      <c r="J49" s="45"/>
      <c r="K49" s="45"/>
      <c r="L49" s="45"/>
    </row>
    <row r="50" spans="1:12" x14ac:dyDescent="0.25">
      <c r="A50" s="307"/>
      <c r="B50" s="431" t="s">
        <v>657</v>
      </c>
      <c r="C50" s="310">
        <v>0.19786000000000001</v>
      </c>
      <c r="D50" s="45"/>
      <c r="E50" s="44"/>
      <c r="F50" s="45"/>
      <c r="G50" s="45"/>
      <c r="H50" s="45"/>
      <c r="I50" s="45"/>
      <c r="J50" s="45"/>
      <c r="K50" s="45"/>
      <c r="L50" s="45"/>
    </row>
    <row r="51" spans="1:12" x14ac:dyDescent="0.25">
      <c r="A51" s="307"/>
      <c r="B51" s="431"/>
      <c r="C51" s="37"/>
      <c r="D51" s="45"/>
      <c r="E51" s="44"/>
      <c r="F51" s="45"/>
      <c r="G51" s="45"/>
      <c r="H51" s="45"/>
      <c r="I51" s="45"/>
      <c r="J51" s="45"/>
      <c r="K51" s="45"/>
      <c r="L51" s="45"/>
    </row>
    <row r="52" spans="1:12" x14ac:dyDescent="0.25">
      <c r="A52" s="315">
        <v>36739</v>
      </c>
      <c r="B52" s="431" t="s">
        <v>656</v>
      </c>
      <c r="C52" s="310">
        <v>0.32921</v>
      </c>
      <c r="D52" s="45"/>
      <c r="E52" s="44"/>
      <c r="F52" s="45"/>
      <c r="G52" s="45"/>
      <c r="H52" s="45"/>
      <c r="I52" s="45"/>
      <c r="J52" s="45"/>
      <c r="K52" s="45"/>
      <c r="L52" s="45"/>
    </row>
    <row r="53" spans="1:12" x14ac:dyDescent="0.25">
      <c r="A53" s="307"/>
      <c r="B53" s="431" t="s">
        <v>657</v>
      </c>
      <c r="C53" s="310">
        <v>0.33649000000000001</v>
      </c>
      <c r="D53" s="45"/>
      <c r="E53" s="44"/>
      <c r="F53" s="45"/>
      <c r="G53" s="45"/>
      <c r="H53" s="45"/>
      <c r="I53" s="45"/>
      <c r="J53" s="45"/>
      <c r="K53" s="45"/>
      <c r="L53" s="45"/>
    </row>
    <row r="54" spans="1:12" x14ac:dyDescent="0.25">
      <c r="A54" s="307"/>
      <c r="B54" s="431"/>
      <c r="C54" s="37"/>
      <c r="D54" s="45"/>
      <c r="E54" s="44"/>
      <c r="F54" s="45"/>
      <c r="G54" s="45"/>
      <c r="H54" s="45"/>
      <c r="I54" s="45"/>
      <c r="J54" s="45"/>
      <c r="K54" s="45"/>
      <c r="L54" s="45"/>
    </row>
    <row r="55" spans="1:12" x14ac:dyDescent="0.25">
      <c r="A55" s="315">
        <v>37165</v>
      </c>
      <c r="B55" s="431" t="s">
        <v>658</v>
      </c>
      <c r="C55" s="310">
        <v>0.52014000000000005</v>
      </c>
      <c r="D55" s="45"/>
      <c r="E55" s="44"/>
      <c r="F55" s="45"/>
      <c r="G55" s="45"/>
      <c r="H55" s="45"/>
      <c r="I55" s="45"/>
      <c r="J55" s="45"/>
      <c r="K55" s="45"/>
      <c r="L55" s="45"/>
    </row>
    <row r="56" spans="1:12" x14ac:dyDescent="0.25">
      <c r="A56" s="307"/>
      <c r="B56" s="431" t="s">
        <v>659</v>
      </c>
      <c r="C56" s="310">
        <v>0.51493999999999995</v>
      </c>
      <c r="D56" s="45"/>
      <c r="E56" s="44"/>
      <c r="F56" s="45"/>
      <c r="G56" s="45"/>
      <c r="H56" s="45"/>
      <c r="I56" s="45"/>
      <c r="J56" s="45"/>
      <c r="K56" s="45"/>
      <c r="L56" s="45"/>
    </row>
    <row r="57" spans="1:12" x14ac:dyDescent="0.25">
      <c r="A57" s="307"/>
      <c r="B57" s="431"/>
      <c r="C57" s="37"/>
      <c r="D57" s="45"/>
      <c r="E57" s="44"/>
      <c r="F57" s="45"/>
      <c r="G57" s="45"/>
      <c r="H57" s="45"/>
      <c r="I57" s="45"/>
      <c r="J57" s="45"/>
      <c r="K57" s="45"/>
      <c r="L57" s="45"/>
    </row>
    <row r="58" spans="1:12" x14ac:dyDescent="0.25">
      <c r="A58" s="315">
        <v>37530</v>
      </c>
      <c r="B58" s="431" t="s">
        <v>658</v>
      </c>
      <c r="C58" s="310">
        <v>0.38643</v>
      </c>
      <c r="D58" s="45"/>
      <c r="E58" s="44"/>
      <c r="F58" s="45"/>
      <c r="G58" s="45"/>
      <c r="H58" s="45"/>
      <c r="I58" s="45"/>
      <c r="J58" s="45"/>
      <c r="K58" s="45"/>
      <c r="L58" s="45"/>
    </row>
    <row r="59" spans="1:12" x14ac:dyDescent="0.25">
      <c r="A59" s="315"/>
      <c r="B59" s="431" t="s">
        <v>659</v>
      </c>
      <c r="C59" s="310">
        <v>0.38256000000000001</v>
      </c>
      <c r="D59" s="45"/>
      <c r="E59" s="44"/>
      <c r="F59" s="45"/>
      <c r="G59" s="45"/>
      <c r="H59" s="45"/>
      <c r="I59" s="45"/>
      <c r="J59" s="45"/>
      <c r="K59" s="45"/>
      <c r="L59" s="45"/>
    </row>
    <row r="60" spans="1:12" x14ac:dyDescent="0.25">
      <c r="A60" s="315"/>
      <c r="B60" s="431"/>
      <c r="C60" s="310"/>
      <c r="D60" s="45"/>
      <c r="E60" s="44"/>
      <c r="F60" s="45"/>
      <c r="G60" s="45"/>
      <c r="H60" s="45"/>
      <c r="I60" s="45"/>
      <c r="J60" s="45"/>
      <c r="K60" s="45"/>
      <c r="L60" s="45"/>
    </row>
    <row r="61" spans="1:12" x14ac:dyDescent="0.25">
      <c r="A61" s="315">
        <v>37895</v>
      </c>
      <c r="B61" s="431" t="s">
        <v>658</v>
      </c>
      <c r="C61" s="310">
        <v>0.42480000000000001</v>
      </c>
      <c r="D61" s="45"/>
      <c r="E61" s="44"/>
      <c r="F61" s="45"/>
      <c r="G61" s="45"/>
      <c r="H61" s="45"/>
      <c r="I61" s="45"/>
      <c r="J61" s="45"/>
      <c r="K61" s="45"/>
      <c r="L61" s="45"/>
    </row>
    <row r="62" spans="1:12" x14ac:dyDescent="0.25">
      <c r="A62" s="315"/>
      <c r="B62" s="431" t="s">
        <v>659</v>
      </c>
      <c r="C62" s="310">
        <v>0.42054999999999998</v>
      </c>
      <c r="D62" s="45"/>
      <c r="E62" s="45"/>
      <c r="F62" s="45"/>
      <c r="G62" s="45"/>
      <c r="H62" s="45"/>
      <c r="I62" s="45"/>
      <c r="J62" s="45"/>
      <c r="K62" s="45"/>
      <c r="L62" s="45"/>
    </row>
    <row r="63" spans="1:12" x14ac:dyDescent="0.25">
      <c r="A63" s="315"/>
      <c r="B63" s="132"/>
      <c r="C63" s="310"/>
      <c r="D63" s="45"/>
      <c r="E63" s="45"/>
      <c r="F63" s="45"/>
      <c r="G63" s="45"/>
      <c r="H63" s="45"/>
      <c r="I63" s="45"/>
      <c r="J63" s="45"/>
      <c r="K63" s="45"/>
      <c r="L63" s="45"/>
    </row>
    <row r="64" spans="1:12" x14ac:dyDescent="0.25">
      <c r="A64" s="315">
        <v>38261</v>
      </c>
      <c r="B64" s="431" t="s">
        <v>658</v>
      </c>
      <c r="C64" s="310">
        <v>0.54779</v>
      </c>
      <c r="D64" s="45"/>
      <c r="E64" s="45"/>
      <c r="F64" s="45"/>
      <c r="G64" s="45"/>
      <c r="H64" s="45"/>
      <c r="I64" s="45"/>
      <c r="J64" s="45"/>
      <c r="K64" s="45"/>
      <c r="L64" s="45"/>
    </row>
    <row r="65" spans="1:12" x14ac:dyDescent="0.25">
      <c r="A65" s="315"/>
      <c r="B65" s="431" t="s">
        <v>659</v>
      </c>
      <c r="C65" s="310">
        <v>0.54230999999999996</v>
      </c>
      <c r="D65" s="45"/>
      <c r="E65" s="45"/>
      <c r="F65" s="45"/>
      <c r="G65" s="45"/>
      <c r="H65" s="45"/>
      <c r="I65" s="45"/>
      <c r="J65" s="45"/>
      <c r="K65" s="45"/>
      <c r="L65" s="45"/>
    </row>
    <row r="66" spans="1:12" x14ac:dyDescent="0.25">
      <c r="A66" s="315"/>
      <c r="B66" s="132"/>
      <c r="C66" s="310"/>
      <c r="D66" s="45"/>
      <c r="E66" s="45"/>
      <c r="F66" s="45"/>
      <c r="G66" s="45"/>
      <c r="H66" s="45"/>
      <c r="I66" s="45"/>
      <c r="J66" s="45"/>
      <c r="K66" s="45"/>
      <c r="L66" s="45"/>
    </row>
    <row r="67" spans="1:12" x14ac:dyDescent="0.25">
      <c r="A67" s="315">
        <v>38626</v>
      </c>
      <c r="B67" s="431" t="s">
        <v>658</v>
      </c>
      <c r="C67" s="310">
        <v>0.74371023107836565</v>
      </c>
      <c r="D67" s="45"/>
      <c r="E67" s="45"/>
      <c r="F67" s="45"/>
      <c r="G67" s="45"/>
      <c r="H67" s="45"/>
      <c r="I67" s="45"/>
      <c r="J67" s="45"/>
      <c r="K67" s="45"/>
      <c r="L67" s="45"/>
    </row>
    <row r="68" spans="1:12" x14ac:dyDescent="0.25">
      <c r="A68" s="315"/>
      <c r="B68" s="431" t="s">
        <v>659</v>
      </c>
      <c r="C68" s="310">
        <v>0.74036999999999997</v>
      </c>
      <c r="D68" s="45"/>
      <c r="E68" s="45"/>
      <c r="F68" s="45"/>
      <c r="G68" s="45"/>
      <c r="H68" s="45"/>
      <c r="I68" s="45"/>
      <c r="J68" s="45"/>
      <c r="K68" s="45"/>
      <c r="L68" s="45"/>
    </row>
    <row r="69" spans="1:12" x14ac:dyDescent="0.25">
      <c r="A69" s="315"/>
      <c r="B69" s="132"/>
      <c r="C69" s="310"/>
      <c r="D69" s="45"/>
      <c r="E69" s="45"/>
      <c r="F69" s="45"/>
      <c r="G69" s="45"/>
      <c r="H69" s="45"/>
      <c r="I69" s="45"/>
      <c r="J69" s="45"/>
      <c r="K69" s="45"/>
      <c r="L69" s="45"/>
    </row>
    <row r="70" spans="1:12" x14ac:dyDescent="0.25">
      <c r="A70" s="315">
        <v>39022</v>
      </c>
      <c r="B70" s="431" t="s">
        <v>658</v>
      </c>
      <c r="C70" s="310">
        <v>0.77059999999999995</v>
      </c>
      <c r="D70" s="45"/>
      <c r="E70" s="45"/>
      <c r="F70" s="45"/>
      <c r="G70" s="45"/>
      <c r="H70" s="45"/>
      <c r="I70" s="45"/>
      <c r="J70" s="45"/>
      <c r="K70" s="45"/>
      <c r="L70" s="45"/>
    </row>
    <row r="71" spans="1:12" x14ac:dyDescent="0.25">
      <c r="A71" s="315"/>
      <c r="B71" s="431" t="s">
        <v>659</v>
      </c>
      <c r="C71" s="310">
        <v>0.76751999999999998</v>
      </c>
      <c r="D71" s="45"/>
      <c r="E71" s="45"/>
      <c r="F71" s="45"/>
      <c r="G71" s="45"/>
      <c r="H71" s="45"/>
      <c r="I71" s="45"/>
      <c r="J71" s="45"/>
      <c r="K71" s="45"/>
      <c r="L71" s="45"/>
    </row>
    <row r="72" spans="1:12" x14ac:dyDescent="0.25">
      <c r="A72" s="315"/>
      <c r="B72" s="132"/>
      <c r="C72" s="310"/>
      <c r="D72" s="45"/>
      <c r="E72" s="45"/>
      <c r="F72" s="45"/>
      <c r="G72" s="45"/>
      <c r="H72" s="45"/>
      <c r="I72" s="45"/>
      <c r="J72" s="45"/>
      <c r="K72" s="45"/>
      <c r="L72" s="45"/>
    </row>
    <row r="73" spans="1:12" ht="13.8" thickBot="1" x14ac:dyDescent="0.3">
      <c r="A73" s="638">
        <v>43770</v>
      </c>
      <c r="B73" s="432" t="s">
        <v>658</v>
      </c>
      <c r="C73" s="639">
        <f>Inputs!B16</f>
        <v>0.20291000000000001</v>
      </c>
      <c r="D73" s="45"/>
      <c r="E73" s="45"/>
      <c r="F73" s="45"/>
      <c r="G73" s="45"/>
      <c r="H73" s="45"/>
      <c r="I73" s="45"/>
      <c r="J73" s="45"/>
      <c r="K73" s="45"/>
      <c r="L73" s="45"/>
    </row>
    <row r="74" spans="1:12" x14ac:dyDescent="0.25">
      <c r="A74" s="316"/>
      <c r="B74" s="38"/>
      <c r="C74" s="224"/>
      <c r="D74" s="45"/>
      <c r="E74" s="45"/>
      <c r="F74" s="45"/>
      <c r="G74" s="45"/>
      <c r="H74" s="45"/>
      <c r="I74" s="45"/>
      <c r="J74" s="45"/>
      <c r="K74" s="45"/>
      <c r="L74" s="45"/>
    </row>
    <row r="75" spans="1:12" x14ac:dyDescent="0.25">
      <c r="A75" s="316"/>
      <c r="B75" s="38"/>
      <c r="C75" s="224"/>
      <c r="D75" s="45"/>
      <c r="E75" s="45"/>
      <c r="F75" s="45"/>
      <c r="G75" s="45"/>
      <c r="H75" s="45"/>
      <c r="I75" s="45"/>
      <c r="J75" s="45"/>
      <c r="K75" s="45"/>
      <c r="L75" s="45"/>
    </row>
    <row r="76" spans="1:12" x14ac:dyDescent="0.25">
      <c r="A76" s="637" t="s">
        <v>573</v>
      </c>
      <c r="B76" s="38"/>
      <c r="C76" s="224"/>
      <c r="D76" s="45"/>
      <c r="E76" s="45"/>
      <c r="F76" s="45"/>
      <c r="G76" s="45"/>
      <c r="H76" s="45"/>
      <c r="I76" s="45"/>
      <c r="J76" s="45"/>
      <c r="K76" s="45"/>
      <c r="L76" s="45"/>
    </row>
    <row r="77" spans="1:12" x14ac:dyDescent="0.25">
      <c r="A77" s="637" t="s">
        <v>678</v>
      </c>
      <c r="B77" s="38"/>
      <c r="C77" s="224"/>
      <c r="D77" s="45"/>
      <c r="E77" s="45"/>
      <c r="F77" s="45"/>
      <c r="G77" s="45"/>
      <c r="H77" s="45"/>
      <c r="I77" s="45"/>
      <c r="J77" s="45"/>
      <c r="K77" s="45"/>
      <c r="L77" s="45"/>
    </row>
    <row r="78" spans="1:12" x14ac:dyDescent="0.25">
      <c r="A78" s="44" t="s">
        <v>660</v>
      </c>
      <c r="B78" s="45"/>
      <c r="C78" s="45"/>
      <c r="D78" s="45"/>
      <c r="E78" s="45"/>
      <c r="F78" s="45"/>
      <c r="G78" s="45"/>
      <c r="H78" s="45"/>
      <c r="I78" s="45"/>
      <c r="J78" s="45"/>
      <c r="K78" s="45"/>
      <c r="L78" s="45"/>
    </row>
    <row r="79" spans="1:12" x14ac:dyDescent="0.25">
      <c r="A79" s="45"/>
      <c r="B79" s="45"/>
      <c r="C79" s="45"/>
      <c r="D79" s="45"/>
      <c r="E79" s="45"/>
      <c r="F79" s="45"/>
      <c r="G79" s="45"/>
      <c r="H79" s="45"/>
      <c r="I79" s="45"/>
      <c r="J79" s="45"/>
      <c r="K79" s="45"/>
      <c r="L79" s="45"/>
    </row>
    <row r="80" spans="1:12" x14ac:dyDescent="0.25">
      <c r="A80" s="1863" t="s">
        <v>575</v>
      </c>
      <c r="B80" s="1863"/>
      <c r="C80" s="318" t="s">
        <v>567</v>
      </c>
      <c r="D80" s="45"/>
      <c r="E80" s="320">
        <v>39325</v>
      </c>
      <c r="F80" s="45"/>
      <c r="G80" s="45"/>
      <c r="H80" s="45"/>
      <c r="I80" s="45"/>
      <c r="J80" s="45"/>
      <c r="K80" s="45"/>
      <c r="L80" s="45"/>
    </row>
    <row r="81" spans="1:12" x14ac:dyDescent="0.25">
      <c r="A81" s="45"/>
      <c r="B81" s="45"/>
      <c r="C81" s="45"/>
      <c r="D81" s="45"/>
      <c r="E81" s="45"/>
      <c r="F81" s="45"/>
      <c r="G81" s="45"/>
      <c r="H81" s="45"/>
      <c r="I81" s="45"/>
      <c r="J81" s="45"/>
      <c r="K81" s="45"/>
      <c r="L81" s="45"/>
    </row>
    <row r="82" spans="1:12" x14ac:dyDescent="0.25">
      <c r="A82" s="45"/>
      <c r="D82" s="45"/>
      <c r="E82" s="45"/>
      <c r="F82" s="45"/>
      <c r="G82" s="45"/>
      <c r="H82" s="45"/>
      <c r="I82" s="45"/>
      <c r="J82" s="45"/>
      <c r="K82" s="45"/>
      <c r="L82" s="45"/>
    </row>
    <row r="83" spans="1:12" x14ac:dyDescent="0.25">
      <c r="A83" s="45"/>
      <c r="B83" s="45"/>
      <c r="C83" s="45"/>
      <c r="D83" s="45"/>
      <c r="F83" s="45"/>
      <c r="G83" s="45"/>
      <c r="H83" s="45"/>
      <c r="I83" s="45"/>
      <c r="J83" s="45"/>
      <c r="K83" s="45"/>
      <c r="L83" s="45"/>
    </row>
    <row r="84" spans="1:12" x14ac:dyDescent="0.25">
      <c r="A84" s="45"/>
      <c r="B84" s="45"/>
      <c r="C84" s="45"/>
      <c r="D84" s="45"/>
      <c r="E84" s="45"/>
      <c r="F84" s="45"/>
      <c r="G84" s="45"/>
      <c r="H84" s="45"/>
      <c r="I84" s="45"/>
      <c r="J84" s="45"/>
      <c r="K84" s="45"/>
      <c r="L84" s="45"/>
    </row>
    <row r="85" spans="1:12" x14ac:dyDescent="0.25">
      <c r="A85" s="45"/>
      <c r="B85" s="45"/>
      <c r="C85" s="45"/>
      <c r="D85" s="44"/>
      <c r="E85" s="45"/>
      <c r="F85" s="45"/>
      <c r="G85" s="45"/>
      <c r="H85" s="45"/>
      <c r="I85" s="45"/>
      <c r="J85" s="45"/>
      <c r="K85" s="45"/>
      <c r="L85" s="45"/>
    </row>
    <row r="86" spans="1:12" x14ac:dyDescent="0.25">
      <c r="A86" s="45"/>
      <c r="B86" s="45"/>
      <c r="C86" s="45"/>
      <c r="E86" s="45"/>
      <c r="F86" s="45"/>
      <c r="G86" s="45"/>
      <c r="H86" s="45"/>
      <c r="I86" s="45"/>
      <c r="J86" s="45"/>
      <c r="K86" s="45"/>
      <c r="L86" s="45"/>
    </row>
    <row r="87" spans="1:12" x14ac:dyDescent="0.25">
      <c r="A87" s="45"/>
      <c r="B87" s="45"/>
      <c r="C87" s="45"/>
      <c r="D87" s="45"/>
      <c r="E87" s="45"/>
      <c r="F87" s="45"/>
      <c r="G87" s="45"/>
      <c r="H87" s="45"/>
      <c r="I87" s="45"/>
      <c r="J87" s="45"/>
      <c r="K87" s="45"/>
      <c r="L87" s="45"/>
    </row>
    <row r="88" spans="1:12" x14ac:dyDescent="0.25">
      <c r="A88" s="45"/>
      <c r="B88" s="45"/>
      <c r="C88" s="45"/>
      <c r="D88" s="45"/>
      <c r="E88" s="45"/>
      <c r="F88" s="45"/>
      <c r="G88" s="45"/>
      <c r="H88" s="45"/>
      <c r="I88" s="45"/>
      <c r="J88" s="45"/>
      <c r="K88" s="45"/>
      <c r="L88" s="45"/>
    </row>
    <row r="89" spans="1:12" x14ac:dyDescent="0.25">
      <c r="A89" s="45"/>
      <c r="B89" s="45"/>
      <c r="C89" s="45"/>
      <c r="D89" s="45"/>
      <c r="E89" s="45"/>
      <c r="F89" s="45"/>
      <c r="G89" s="45"/>
      <c r="H89" s="45"/>
      <c r="I89" s="45"/>
      <c r="J89" s="45"/>
      <c r="K89" s="45"/>
      <c r="L89" s="45"/>
    </row>
    <row r="90" spans="1:12" x14ac:dyDescent="0.25">
      <c r="A90" s="45"/>
      <c r="B90" s="45"/>
      <c r="C90" s="45"/>
      <c r="D90" s="45"/>
      <c r="E90" s="45"/>
      <c r="F90" s="45"/>
      <c r="G90" s="45"/>
      <c r="H90" s="45"/>
      <c r="I90" s="45"/>
      <c r="J90" s="45"/>
      <c r="K90" s="45"/>
      <c r="L90" s="45"/>
    </row>
    <row r="91" spans="1:12" x14ac:dyDescent="0.25">
      <c r="A91" s="45"/>
      <c r="B91" s="45"/>
      <c r="C91" s="45"/>
      <c r="D91" s="45"/>
      <c r="E91" s="45"/>
      <c r="F91" s="45"/>
      <c r="G91" s="45"/>
      <c r="H91" s="45"/>
      <c r="I91" s="45"/>
      <c r="J91" s="45"/>
      <c r="K91" s="45"/>
      <c r="L91" s="45"/>
    </row>
    <row r="92" spans="1:12" x14ac:dyDescent="0.25">
      <c r="A92" s="45"/>
      <c r="B92" s="45"/>
      <c r="C92" s="45"/>
      <c r="D92" s="45"/>
      <c r="E92" s="45"/>
      <c r="F92" s="45"/>
      <c r="G92" s="45"/>
      <c r="H92" s="45"/>
      <c r="I92" s="45"/>
      <c r="J92" s="45"/>
      <c r="K92" s="45"/>
      <c r="L92" s="45"/>
    </row>
    <row r="93" spans="1:12" x14ac:dyDescent="0.25">
      <c r="A93" s="45"/>
      <c r="B93" s="45"/>
      <c r="C93" s="45"/>
      <c r="D93" s="45"/>
      <c r="E93" s="45"/>
      <c r="F93" s="45"/>
      <c r="G93" s="45"/>
      <c r="H93" s="45"/>
      <c r="I93" s="45"/>
      <c r="J93" s="45"/>
      <c r="K93" s="45"/>
      <c r="L93" s="45"/>
    </row>
    <row r="94" spans="1:12" x14ac:dyDescent="0.25">
      <c r="A94" s="45"/>
      <c r="B94" s="45"/>
      <c r="C94" s="45"/>
      <c r="D94" s="45"/>
      <c r="E94" s="45"/>
      <c r="F94" s="45"/>
      <c r="G94" s="45"/>
      <c r="H94" s="45"/>
      <c r="I94" s="45"/>
      <c r="J94" s="45"/>
      <c r="K94" s="45"/>
      <c r="L94" s="45"/>
    </row>
    <row r="95" spans="1:12" x14ac:dyDescent="0.25">
      <c r="A95" s="45"/>
      <c r="B95" s="45"/>
      <c r="C95" s="45"/>
      <c r="D95" s="45"/>
      <c r="E95" s="45"/>
      <c r="F95" s="45"/>
      <c r="G95" s="45"/>
      <c r="H95" s="45"/>
      <c r="I95" s="45"/>
      <c r="J95" s="45"/>
      <c r="K95" s="45"/>
      <c r="L95" s="45"/>
    </row>
    <row r="96" spans="1:12" x14ac:dyDescent="0.25">
      <c r="A96" s="45"/>
      <c r="B96" s="45"/>
      <c r="C96" s="45"/>
      <c r="D96" s="45"/>
      <c r="E96" s="45"/>
      <c r="F96" s="45"/>
      <c r="G96" s="45"/>
      <c r="H96" s="45"/>
      <c r="I96" s="45"/>
      <c r="J96" s="45"/>
      <c r="K96" s="45"/>
      <c r="L96" s="45"/>
    </row>
    <row r="97" spans="1:12" x14ac:dyDescent="0.25">
      <c r="A97" s="45"/>
      <c r="B97" s="45"/>
      <c r="C97" s="45"/>
      <c r="D97" s="45"/>
      <c r="E97" s="45"/>
      <c r="F97" s="45"/>
      <c r="G97" s="45"/>
      <c r="H97" s="45"/>
      <c r="I97" s="45"/>
      <c r="J97" s="45"/>
      <c r="K97" s="45"/>
      <c r="L97" s="45"/>
    </row>
    <row r="98" spans="1:12" x14ac:dyDescent="0.25">
      <c r="A98" s="45"/>
      <c r="B98" s="45"/>
      <c r="C98" s="45"/>
      <c r="D98" s="45"/>
      <c r="E98" s="45"/>
      <c r="F98" s="45"/>
      <c r="G98" s="45"/>
      <c r="H98" s="45"/>
      <c r="I98" s="45"/>
      <c r="J98" s="45"/>
      <c r="K98" s="45"/>
      <c r="L98" s="45"/>
    </row>
    <row r="99" spans="1:12" x14ac:dyDescent="0.25">
      <c r="A99" s="45"/>
      <c r="B99" s="45"/>
      <c r="C99" s="45"/>
      <c r="D99" s="45"/>
      <c r="E99" s="45"/>
      <c r="F99" s="45"/>
      <c r="G99" s="45"/>
      <c r="H99" s="45"/>
      <c r="I99" s="45"/>
      <c r="J99" s="45"/>
      <c r="K99" s="45"/>
      <c r="L99" s="45"/>
    </row>
    <row r="100" spans="1:12" x14ac:dyDescent="0.25">
      <c r="A100" s="45"/>
      <c r="B100" s="45"/>
      <c r="C100" s="45"/>
      <c r="D100" s="45"/>
      <c r="E100" s="45"/>
      <c r="F100" s="45"/>
      <c r="G100" s="45"/>
      <c r="H100" s="45"/>
      <c r="I100" s="45"/>
      <c r="J100" s="45"/>
      <c r="K100" s="45"/>
      <c r="L100" s="45"/>
    </row>
    <row r="101" spans="1:12" x14ac:dyDescent="0.25">
      <c r="A101" s="45"/>
      <c r="B101" s="45"/>
      <c r="C101" s="45"/>
      <c r="D101" s="45"/>
      <c r="E101" s="45"/>
      <c r="F101" s="45"/>
      <c r="G101" s="45"/>
      <c r="H101" s="45"/>
      <c r="I101" s="45"/>
      <c r="J101" s="45"/>
      <c r="K101" s="45"/>
      <c r="L101" s="45"/>
    </row>
    <row r="102" spans="1:12" x14ac:dyDescent="0.25">
      <c r="A102" s="45"/>
      <c r="B102" s="45"/>
      <c r="C102" s="45"/>
      <c r="D102" s="45"/>
      <c r="E102" s="45"/>
      <c r="F102" s="45"/>
      <c r="G102" s="45"/>
      <c r="H102" s="45"/>
      <c r="I102" s="45"/>
      <c r="J102" s="45"/>
      <c r="K102" s="45"/>
      <c r="L102" s="45"/>
    </row>
    <row r="103" spans="1:12" x14ac:dyDescent="0.25">
      <c r="A103" s="45"/>
      <c r="B103" s="45"/>
      <c r="C103" s="45"/>
      <c r="D103" s="45"/>
      <c r="E103" s="45"/>
      <c r="F103" s="45"/>
      <c r="G103" s="45"/>
      <c r="H103" s="45"/>
      <c r="I103" s="45"/>
      <c r="J103" s="45"/>
      <c r="K103" s="45"/>
      <c r="L103" s="45"/>
    </row>
    <row r="104" spans="1:12" x14ac:dyDescent="0.25">
      <c r="A104" s="45"/>
      <c r="B104" s="45"/>
      <c r="C104" s="45"/>
      <c r="D104" s="45"/>
      <c r="E104" s="45"/>
      <c r="F104" s="45"/>
      <c r="G104" s="45"/>
      <c r="H104" s="45"/>
      <c r="I104" s="45"/>
      <c r="J104" s="45"/>
      <c r="K104" s="45"/>
      <c r="L104" s="45"/>
    </row>
    <row r="105" spans="1:12" x14ac:dyDescent="0.25">
      <c r="A105" s="45"/>
      <c r="B105" s="45"/>
      <c r="C105" s="45"/>
      <c r="D105" s="45"/>
      <c r="E105" s="45"/>
      <c r="F105" s="45"/>
      <c r="G105" s="45"/>
      <c r="H105" s="45"/>
      <c r="I105" s="45"/>
      <c r="J105" s="45"/>
      <c r="K105" s="45"/>
      <c r="L105" s="45"/>
    </row>
    <row r="106" spans="1:12" x14ac:dyDescent="0.25">
      <c r="A106" s="45"/>
      <c r="B106" s="45"/>
      <c r="C106" s="45"/>
      <c r="D106" s="45"/>
      <c r="E106" s="45"/>
      <c r="F106" s="45"/>
      <c r="G106" s="45"/>
      <c r="H106" s="45"/>
      <c r="I106" s="45"/>
      <c r="J106" s="45"/>
      <c r="K106" s="45"/>
      <c r="L106" s="45"/>
    </row>
    <row r="107" spans="1:12" x14ac:dyDescent="0.25">
      <c r="A107" s="45"/>
      <c r="B107" s="45"/>
      <c r="C107" s="45"/>
      <c r="D107" s="45"/>
      <c r="E107" s="45"/>
      <c r="F107" s="45"/>
      <c r="G107" s="45"/>
      <c r="H107" s="45"/>
      <c r="I107" s="45"/>
      <c r="J107" s="45"/>
      <c r="K107" s="45"/>
      <c r="L107" s="45"/>
    </row>
    <row r="108" spans="1:12" x14ac:dyDescent="0.25">
      <c r="A108" s="45"/>
      <c r="B108" s="45"/>
      <c r="C108" s="45"/>
      <c r="D108" s="45"/>
      <c r="E108" s="45"/>
      <c r="F108" s="45"/>
      <c r="G108" s="45"/>
      <c r="H108" s="45"/>
      <c r="I108" s="45"/>
      <c r="J108" s="45"/>
      <c r="K108" s="45"/>
      <c r="L108" s="45"/>
    </row>
    <row r="109" spans="1:12" x14ac:dyDescent="0.25">
      <c r="A109" s="45"/>
      <c r="B109" s="45"/>
      <c r="C109" s="45"/>
      <c r="D109" s="45"/>
      <c r="E109" s="45"/>
      <c r="F109" s="45"/>
      <c r="G109" s="45"/>
      <c r="H109" s="45"/>
      <c r="I109" s="45"/>
      <c r="J109" s="45"/>
      <c r="K109" s="45"/>
      <c r="L109" s="45"/>
    </row>
    <row r="110" spans="1:12" x14ac:dyDescent="0.25">
      <c r="A110" s="45"/>
      <c r="B110" s="45"/>
      <c r="C110" s="45"/>
      <c r="D110" s="45"/>
      <c r="E110" s="45"/>
      <c r="F110" s="45"/>
      <c r="G110" s="45"/>
      <c r="H110" s="45"/>
      <c r="I110" s="45"/>
      <c r="J110" s="45"/>
      <c r="K110" s="45"/>
      <c r="L110" s="45"/>
    </row>
    <row r="111" spans="1:12" x14ac:dyDescent="0.25">
      <c r="A111" s="45"/>
      <c r="B111" s="45"/>
      <c r="C111" s="45"/>
      <c r="D111" s="45"/>
      <c r="E111" s="45"/>
      <c r="F111" s="45"/>
      <c r="G111" s="45"/>
      <c r="H111" s="45"/>
      <c r="I111" s="45"/>
      <c r="J111" s="45"/>
      <c r="K111" s="45"/>
      <c r="L111" s="45"/>
    </row>
    <row r="112" spans="1:12" x14ac:dyDescent="0.25">
      <c r="A112" s="45"/>
      <c r="B112" s="45"/>
      <c r="C112" s="45"/>
      <c r="D112" s="45"/>
      <c r="E112" s="45"/>
      <c r="F112" s="45"/>
      <c r="G112" s="45"/>
      <c r="H112" s="45"/>
      <c r="I112" s="45"/>
      <c r="J112" s="45"/>
      <c r="K112" s="45"/>
      <c r="L112" s="45"/>
    </row>
    <row r="113" spans="1:12" x14ac:dyDescent="0.25">
      <c r="A113" s="45"/>
      <c r="B113" s="45"/>
      <c r="C113" s="45"/>
      <c r="D113" s="45"/>
      <c r="E113" s="45"/>
      <c r="F113" s="45"/>
      <c r="G113" s="45"/>
      <c r="H113" s="45"/>
      <c r="I113" s="45"/>
      <c r="J113" s="45"/>
      <c r="K113" s="45"/>
      <c r="L113" s="45"/>
    </row>
    <row r="114" spans="1:12" x14ac:dyDescent="0.25">
      <c r="A114" s="45"/>
      <c r="B114" s="45"/>
      <c r="C114" s="45"/>
      <c r="D114" s="45"/>
      <c r="E114" s="45"/>
      <c r="F114" s="45"/>
      <c r="G114" s="45"/>
      <c r="H114" s="45"/>
      <c r="I114" s="45"/>
      <c r="J114" s="45"/>
      <c r="K114" s="45"/>
      <c r="L114" s="45"/>
    </row>
    <row r="115" spans="1:12" x14ac:dyDescent="0.25">
      <c r="A115" s="45"/>
      <c r="B115" s="45"/>
      <c r="C115" s="45"/>
      <c r="D115" s="45"/>
      <c r="E115" s="45"/>
      <c r="F115" s="45"/>
      <c r="G115" s="45"/>
      <c r="H115" s="45"/>
      <c r="I115" s="45"/>
      <c r="J115" s="45"/>
      <c r="K115" s="45"/>
      <c r="L115" s="45"/>
    </row>
    <row r="116" spans="1:12" x14ac:dyDescent="0.25">
      <c r="A116" s="45"/>
      <c r="B116" s="45"/>
      <c r="C116" s="45"/>
      <c r="D116" s="45"/>
      <c r="E116" s="45"/>
      <c r="F116" s="45"/>
      <c r="G116" s="45"/>
      <c r="H116" s="45"/>
      <c r="I116" s="45"/>
      <c r="J116" s="45"/>
      <c r="K116" s="45"/>
      <c r="L116" s="45"/>
    </row>
    <row r="117" spans="1:12" x14ac:dyDescent="0.25">
      <c r="A117" s="45"/>
      <c r="B117" s="45"/>
      <c r="C117" s="45"/>
      <c r="D117" s="45"/>
      <c r="E117" s="45"/>
      <c r="F117" s="45"/>
      <c r="G117" s="45"/>
      <c r="H117" s="45"/>
      <c r="I117" s="45"/>
      <c r="J117" s="45"/>
      <c r="K117" s="45"/>
      <c r="L117" s="45"/>
    </row>
    <row r="118" spans="1:12" x14ac:dyDescent="0.25">
      <c r="A118" s="45"/>
      <c r="B118" s="45"/>
      <c r="C118" s="45"/>
      <c r="D118" s="45"/>
      <c r="E118" s="45"/>
      <c r="F118" s="45"/>
      <c r="G118" s="45"/>
      <c r="H118" s="45"/>
      <c r="I118" s="45"/>
      <c r="J118" s="45"/>
      <c r="K118" s="45"/>
      <c r="L118" s="45"/>
    </row>
    <row r="119" spans="1:12" x14ac:dyDescent="0.25">
      <c r="A119" s="45"/>
      <c r="B119" s="45"/>
      <c r="C119" s="45"/>
      <c r="D119" s="45"/>
      <c r="E119" s="45"/>
      <c r="F119" s="45"/>
      <c r="G119" s="45"/>
      <c r="H119" s="45"/>
      <c r="I119" s="45"/>
      <c r="J119" s="45"/>
      <c r="K119" s="45"/>
      <c r="L119" s="45"/>
    </row>
    <row r="120" spans="1:12" x14ac:dyDescent="0.25">
      <c r="A120" s="45"/>
      <c r="B120" s="45"/>
      <c r="C120" s="45"/>
      <c r="D120" s="45"/>
      <c r="E120" s="45"/>
      <c r="F120" s="45"/>
      <c r="G120" s="45"/>
      <c r="H120" s="45"/>
      <c r="I120" s="45"/>
      <c r="J120" s="45"/>
      <c r="K120" s="45"/>
      <c r="L120" s="45"/>
    </row>
    <row r="121" spans="1:12" x14ac:dyDescent="0.25">
      <c r="A121" s="45"/>
      <c r="B121" s="45"/>
      <c r="C121" s="45"/>
      <c r="D121" s="45"/>
      <c r="E121" s="45"/>
      <c r="F121" s="45"/>
      <c r="G121" s="45"/>
      <c r="H121" s="45"/>
      <c r="I121" s="45"/>
      <c r="J121" s="45"/>
      <c r="K121" s="45"/>
      <c r="L121" s="45"/>
    </row>
    <row r="122" spans="1:12" x14ac:dyDescent="0.25">
      <c r="A122" s="45"/>
      <c r="B122" s="45"/>
      <c r="C122" s="45"/>
      <c r="D122" s="45"/>
      <c r="E122" s="45"/>
      <c r="F122" s="45"/>
      <c r="G122" s="45"/>
      <c r="H122" s="45"/>
      <c r="I122" s="45"/>
      <c r="J122" s="45"/>
      <c r="K122" s="45"/>
      <c r="L122" s="45"/>
    </row>
    <row r="123" spans="1:12" x14ac:dyDescent="0.25">
      <c r="A123" s="45"/>
      <c r="B123" s="45"/>
      <c r="C123" s="45"/>
      <c r="D123" s="45"/>
      <c r="E123" s="45"/>
      <c r="F123" s="45"/>
      <c r="G123" s="45"/>
      <c r="H123" s="45"/>
      <c r="I123" s="45"/>
      <c r="J123" s="45"/>
      <c r="K123" s="45"/>
      <c r="L123" s="45"/>
    </row>
    <row r="124" spans="1:12" x14ac:dyDescent="0.25">
      <c r="A124" s="45"/>
      <c r="B124" s="45"/>
      <c r="C124" s="45"/>
      <c r="D124" s="45"/>
      <c r="E124" s="45"/>
      <c r="F124" s="45"/>
      <c r="G124" s="45"/>
      <c r="H124" s="45"/>
      <c r="I124" s="45"/>
      <c r="J124" s="45"/>
      <c r="K124" s="45"/>
      <c r="L124" s="45"/>
    </row>
    <row r="125" spans="1:12" x14ac:dyDescent="0.25">
      <c r="A125" s="45"/>
      <c r="B125" s="45"/>
      <c r="C125" s="45"/>
      <c r="D125" s="45"/>
      <c r="E125" s="45"/>
      <c r="F125" s="45"/>
      <c r="G125" s="45"/>
      <c r="H125" s="45"/>
      <c r="I125" s="45"/>
      <c r="J125" s="45"/>
      <c r="K125" s="45"/>
      <c r="L125" s="45"/>
    </row>
    <row r="126" spans="1:12" x14ac:dyDescent="0.25">
      <c r="A126" s="45"/>
      <c r="B126" s="45"/>
      <c r="C126" s="45"/>
      <c r="D126" s="45"/>
      <c r="E126" s="45"/>
      <c r="F126" s="45"/>
      <c r="G126" s="45"/>
      <c r="H126" s="45"/>
      <c r="I126" s="45"/>
      <c r="J126" s="45"/>
      <c r="K126" s="45"/>
      <c r="L126" s="45"/>
    </row>
    <row r="127" spans="1:12" x14ac:dyDescent="0.25">
      <c r="A127" s="45"/>
      <c r="B127" s="45"/>
      <c r="C127" s="45"/>
      <c r="D127" s="45"/>
      <c r="E127" s="45"/>
      <c r="F127" s="45"/>
      <c r="G127" s="45"/>
      <c r="H127" s="45"/>
      <c r="I127" s="45"/>
      <c r="J127" s="45"/>
      <c r="K127" s="45"/>
      <c r="L127" s="45"/>
    </row>
    <row r="128" spans="1:12" x14ac:dyDescent="0.25">
      <c r="A128" s="45"/>
      <c r="B128" s="45"/>
      <c r="C128" s="45"/>
      <c r="D128" s="45"/>
      <c r="E128" s="45"/>
      <c r="F128" s="45"/>
      <c r="G128" s="45"/>
      <c r="H128" s="45"/>
      <c r="I128" s="45"/>
      <c r="J128" s="45"/>
      <c r="K128" s="45"/>
      <c r="L128" s="45"/>
    </row>
    <row r="129" spans="1:12" x14ac:dyDescent="0.25">
      <c r="A129" s="45"/>
      <c r="B129" s="45"/>
      <c r="C129" s="45"/>
      <c r="D129" s="45"/>
      <c r="E129" s="45"/>
      <c r="F129" s="45"/>
      <c r="G129" s="45"/>
      <c r="H129" s="45"/>
      <c r="I129" s="45"/>
      <c r="J129" s="45"/>
      <c r="K129" s="45"/>
      <c r="L129" s="45"/>
    </row>
    <row r="130" spans="1:12" x14ac:dyDescent="0.25">
      <c r="A130" s="45"/>
      <c r="B130" s="45"/>
      <c r="C130" s="45"/>
      <c r="D130" s="45"/>
      <c r="E130" s="45"/>
      <c r="F130" s="45"/>
      <c r="G130" s="45"/>
      <c r="H130" s="45"/>
      <c r="I130" s="45"/>
      <c r="J130" s="45"/>
      <c r="K130" s="45"/>
      <c r="L130" s="45"/>
    </row>
    <row r="131" spans="1:12" x14ac:dyDescent="0.25">
      <c r="A131" s="45"/>
      <c r="B131" s="45"/>
      <c r="C131" s="45"/>
      <c r="D131" s="45"/>
      <c r="E131" s="45"/>
      <c r="F131" s="45"/>
      <c r="G131" s="45"/>
      <c r="H131" s="45"/>
      <c r="I131" s="45"/>
      <c r="J131" s="45"/>
      <c r="K131" s="45"/>
      <c r="L131" s="45"/>
    </row>
    <row r="132" spans="1:12" x14ac:dyDescent="0.25">
      <c r="A132" s="45"/>
      <c r="B132" s="45"/>
      <c r="C132" s="45"/>
      <c r="D132" s="45"/>
      <c r="E132" s="45"/>
      <c r="F132" s="45"/>
      <c r="G132" s="45"/>
      <c r="H132" s="45"/>
      <c r="I132" s="45"/>
      <c r="J132" s="45"/>
      <c r="K132" s="45"/>
      <c r="L132" s="45"/>
    </row>
    <row r="133" spans="1:12" x14ac:dyDescent="0.25">
      <c r="A133" s="45"/>
      <c r="B133" s="45"/>
      <c r="C133" s="45"/>
      <c r="D133" s="45"/>
      <c r="E133" s="45"/>
      <c r="F133" s="45"/>
      <c r="G133" s="45"/>
      <c r="H133" s="45"/>
      <c r="I133" s="45"/>
      <c r="J133" s="45"/>
      <c r="K133" s="45"/>
      <c r="L133" s="45"/>
    </row>
    <row r="134" spans="1:12" x14ac:dyDescent="0.25">
      <c r="A134" s="45"/>
      <c r="B134" s="45"/>
      <c r="C134" s="45"/>
      <c r="D134" s="45"/>
      <c r="E134" s="45"/>
      <c r="F134" s="45"/>
      <c r="G134" s="45"/>
      <c r="H134" s="45"/>
      <c r="I134" s="45"/>
      <c r="J134" s="45"/>
      <c r="K134" s="45"/>
      <c r="L134" s="45"/>
    </row>
    <row r="135" spans="1:12" x14ac:dyDescent="0.25">
      <c r="A135" s="45"/>
      <c r="B135" s="45"/>
      <c r="C135" s="45"/>
      <c r="D135" s="45"/>
      <c r="E135" s="45"/>
      <c r="F135" s="45"/>
      <c r="G135" s="45"/>
      <c r="H135" s="45"/>
      <c r="I135" s="45"/>
      <c r="J135" s="45"/>
      <c r="K135" s="45"/>
      <c r="L135" s="45"/>
    </row>
    <row r="136" spans="1:12" x14ac:dyDescent="0.25">
      <c r="A136" s="45"/>
      <c r="B136" s="45"/>
      <c r="C136" s="45"/>
      <c r="D136" s="45"/>
      <c r="E136" s="45"/>
      <c r="F136" s="45"/>
      <c r="G136" s="45"/>
      <c r="H136" s="45"/>
      <c r="I136" s="45"/>
      <c r="J136" s="45"/>
      <c r="K136" s="45"/>
      <c r="L136" s="45"/>
    </row>
    <row r="137" spans="1:12" x14ac:dyDescent="0.25">
      <c r="A137" s="45"/>
      <c r="B137" s="45"/>
      <c r="C137" s="45"/>
      <c r="D137" s="45"/>
      <c r="E137" s="45"/>
      <c r="F137" s="45"/>
      <c r="G137" s="45"/>
      <c r="H137" s="45"/>
      <c r="I137" s="45"/>
      <c r="J137" s="45"/>
      <c r="K137" s="45"/>
      <c r="L137" s="45"/>
    </row>
    <row r="138" spans="1:12" x14ac:dyDescent="0.25">
      <c r="A138" s="45"/>
      <c r="B138" s="45"/>
      <c r="C138" s="45"/>
      <c r="D138" s="45"/>
      <c r="E138" s="45"/>
      <c r="F138" s="45"/>
      <c r="G138" s="45"/>
      <c r="H138" s="45"/>
      <c r="I138" s="45"/>
      <c r="J138" s="45"/>
      <c r="K138" s="45"/>
      <c r="L138" s="45"/>
    </row>
    <row r="139" spans="1:12" x14ac:dyDescent="0.25">
      <c r="A139" s="45"/>
      <c r="B139" s="45"/>
      <c r="C139" s="45"/>
      <c r="D139" s="45"/>
      <c r="E139" s="45"/>
      <c r="F139" s="45"/>
      <c r="G139" s="45"/>
      <c r="H139" s="45"/>
      <c r="I139" s="45"/>
      <c r="J139" s="45"/>
      <c r="K139" s="45"/>
      <c r="L139" s="45"/>
    </row>
    <row r="140" spans="1:12" x14ac:dyDescent="0.25">
      <c r="A140" s="45"/>
      <c r="B140" s="45"/>
      <c r="C140" s="45"/>
      <c r="D140" s="45"/>
      <c r="E140" s="45"/>
      <c r="F140" s="45"/>
      <c r="G140" s="45"/>
      <c r="H140" s="45"/>
      <c r="I140" s="45"/>
      <c r="J140" s="45"/>
      <c r="K140" s="45"/>
      <c r="L140" s="45"/>
    </row>
    <row r="141" spans="1:12" x14ac:dyDescent="0.25">
      <c r="A141" s="45"/>
      <c r="B141" s="45"/>
      <c r="C141" s="45"/>
      <c r="D141" s="45"/>
      <c r="E141" s="45"/>
      <c r="F141" s="45"/>
      <c r="G141" s="45"/>
      <c r="H141" s="45"/>
      <c r="I141" s="45"/>
      <c r="J141" s="45"/>
      <c r="K141" s="45"/>
      <c r="L141" s="45"/>
    </row>
    <row r="142" spans="1:12" x14ac:dyDescent="0.25">
      <c r="A142" s="45"/>
      <c r="B142" s="45"/>
      <c r="C142" s="45"/>
      <c r="D142" s="45"/>
      <c r="E142" s="45"/>
      <c r="F142" s="45"/>
      <c r="G142" s="45"/>
      <c r="H142" s="45"/>
      <c r="I142" s="45"/>
      <c r="J142" s="45"/>
      <c r="K142" s="45"/>
      <c r="L142" s="45"/>
    </row>
    <row r="143" spans="1:12" x14ac:dyDescent="0.25">
      <c r="A143" s="45"/>
      <c r="B143" s="45"/>
      <c r="C143" s="45"/>
      <c r="D143" s="45"/>
      <c r="E143" s="45"/>
      <c r="F143" s="45"/>
      <c r="G143" s="45"/>
      <c r="H143" s="45"/>
      <c r="I143" s="45"/>
      <c r="J143" s="45"/>
      <c r="K143" s="45"/>
      <c r="L143" s="45"/>
    </row>
    <row r="144" spans="1:12" x14ac:dyDescent="0.25">
      <c r="A144" s="45"/>
      <c r="B144" s="45"/>
      <c r="C144" s="45"/>
      <c r="D144" s="45"/>
      <c r="E144" s="45"/>
      <c r="F144" s="45"/>
      <c r="G144" s="45"/>
      <c r="H144" s="45"/>
      <c r="I144" s="45"/>
      <c r="J144" s="45"/>
      <c r="K144" s="45"/>
      <c r="L144" s="45"/>
    </row>
    <row r="145" spans="1:12" x14ac:dyDescent="0.25">
      <c r="A145" s="45"/>
      <c r="B145" s="45"/>
      <c r="C145" s="45"/>
      <c r="D145" s="45"/>
      <c r="E145" s="45"/>
      <c r="F145" s="45"/>
      <c r="G145" s="45"/>
      <c r="H145" s="45"/>
      <c r="I145" s="45"/>
      <c r="J145" s="45"/>
      <c r="K145" s="45"/>
      <c r="L145" s="45"/>
    </row>
    <row r="146" spans="1:12" x14ac:dyDescent="0.25">
      <c r="A146" s="45"/>
      <c r="B146" s="45"/>
      <c r="C146" s="45"/>
      <c r="D146" s="45"/>
      <c r="E146" s="45"/>
      <c r="F146" s="45"/>
      <c r="G146" s="45"/>
      <c r="H146" s="45"/>
      <c r="I146" s="45"/>
      <c r="J146" s="45"/>
      <c r="K146" s="45"/>
      <c r="L146" s="45"/>
    </row>
    <row r="147" spans="1:12" x14ac:dyDescent="0.25">
      <c r="A147" s="45"/>
      <c r="B147" s="45"/>
      <c r="C147" s="45"/>
      <c r="D147" s="45"/>
      <c r="E147" s="45"/>
      <c r="F147" s="45"/>
      <c r="G147" s="45"/>
      <c r="H147" s="45"/>
      <c r="I147" s="45"/>
      <c r="J147" s="45"/>
      <c r="K147" s="45"/>
      <c r="L147" s="45"/>
    </row>
    <row r="148" spans="1:12" x14ac:dyDescent="0.25">
      <c r="A148" s="45"/>
      <c r="B148" s="45"/>
      <c r="C148" s="45"/>
      <c r="D148" s="45"/>
      <c r="E148" s="45"/>
      <c r="F148" s="45"/>
      <c r="G148" s="45"/>
      <c r="H148" s="45"/>
      <c r="I148" s="45"/>
      <c r="J148" s="45"/>
      <c r="K148" s="45"/>
      <c r="L148" s="45"/>
    </row>
    <row r="149" spans="1:12" x14ac:dyDescent="0.25">
      <c r="A149" s="45"/>
      <c r="B149" s="45"/>
      <c r="C149" s="45"/>
      <c r="D149" s="45"/>
      <c r="E149" s="45"/>
      <c r="F149" s="45"/>
      <c r="G149" s="45"/>
      <c r="H149" s="45"/>
      <c r="I149" s="45"/>
      <c r="J149" s="45"/>
      <c r="K149" s="45"/>
      <c r="L149" s="45"/>
    </row>
    <row r="150" spans="1:12" x14ac:dyDescent="0.25">
      <c r="A150" s="45"/>
      <c r="B150" s="45"/>
      <c r="C150" s="45"/>
      <c r="D150" s="45"/>
      <c r="E150" s="45"/>
      <c r="F150" s="45"/>
      <c r="G150" s="45"/>
      <c r="H150" s="45"/>
      <c r="I150" s="45"/>
      <c r="J150" s="45"/>
      <c r="K150" s="45"/>
      <c r="L150" s="45"/>
    </row>
    <row r="151" spans="1:12" x14ac:dyDescent="0.25">
      <c r="A151" s="45"/>
      <c r="B151" s="45"/>
      <c r="C151" s="45"/>
      <c r="D151" s="45"/>
      <c r="E151" s="45"/>
      <c r="F151" s="45"/>
      <c r="G151" s="45"/>
      <c r="H151" s="45"/>
      <c r="I151" s="45"/>
      <c r="J151" s="45"/>
      <c r="K151" s="45"/>
      <c r="L151" s="45"/>
    </row>
    <row r="152" spans="1:12" x14ac:dyDescent="0.25">
      <c r="A152" s="45"/>
      <c r="B152" s="45"/>
      <c r="C152" s="45"/>
      <c r="D152" s="45"/>
      <c r="E152" s="45"/>
      <c r="F152" s="45"/>
      <c r="G152" s="45"/>
      <c r="H152" s="45"/>
      <c r="I152" s="45"/>
      <c r="J152" s="45"/>
      <c r="K152" s="45"/>
      <c r="L152" s="45"/>
    </row>
    <row r="153" spans="1:12" x14ac:dyDescent="0.25">
      <c r="A153" s="45"/>
      <c r="B153" s="45"/>
      <c r="C153" s="45"/>
      <c r="D153" s="45"/>
      <c r="E153" s="45"/>
      <c r="F153" s="45"/>
      <c r="G153" s="45"/>
      <c r="H153" s="45"/>
      <c r="I153" s="45"/>
      <c r="J153" s="45"/>
      <c r="K153" s="45"/>
      <c r="L153" s="45"/>
    </row>
    <row r="154" spans="1:12" x14ac:dyDescent="0.25">
      <c r="A154" s="45"/>
      <c r="B154" s="45"/>
      <c r="C154" s="45"/>
      <c r="D154" s="45"/>
      <c r="E154" s="45"/>
      <c r="F154" s="45"/>
      <c r="G154" s="45"/>
      <c r="H154" s="45"/>
      <c r="I154" s="45"/>
      <c r="J154" s="45"/>
      <c r="K154" s="45"/>
      <c r="L154" s="45"/>
    </row>
    <row r="155" spans="1:12" x14ac:dyDescent="0.25">
      <c r="A155" s="45"/>
      <c r="B155" s="45"/>
      <c r="C155" s="45"/>
      <c r="D155" s="45"/>
      <c r="E155" s="45"/>
      <c r="F155" s="45"/>
      <c r="G155" s="45"/>
      <c r="H155" s="45"/>
      <c r="I155" s="45"/>
      <c r="J155" s="45"/>
      <c r="K155" s="45"/>
      <c r="L155" s="45"/>
    </row>
    <row r="156" spans="1:12" x14ac:dyDescent="0.25">
      <c r="A156" s="45"/>
      <c r="B156" s="45"/>
      <c r="C156" s="45"/>
      <c r="D156" s="45"/>
      <c r="E156" s="45"/>
      <c r="F156" s="45"/>
      <c r="G156" s="45"/>
      <c r="H156" s="45"/>
      <c r="I156" s="45"/>
      <c r="J156" s="45"/>
      <c r="K156" s="45"/>
      <c r="L156" s="45"/>
    </row>
    <row r="157" spans="1:12" x14ac:dyDescent="0.25">
      <c r="A157" s="45"/>
      <c r="B157" s="45"/>
      <c r="C157" s="45"/>
      <c r="D157" s="45"/>
      <c r="E157" s="45"/>
      <c r="F157" s="45"/>
      <c r="G157" s="45"/>
      <c r="H157" s="45"/>
      <c r="I157" s="45"/>
      <c r="J157" s="45"/>
      <c r="K157" s="45"/>
      <c r="L157" s="45"/>
    </row>
    <row r="158" spans="1:12" x14ac:dyDescent="0.25">
      <c r="A158" s="45"/>
      <c r="B158" s="45"/>
      <c r="C158" s="45"/>
      <c r="D158" s="45"/>
      <c r="E158" s="45"/>
      <c r="F158" s="45"/>
      <c r="G158" s="45"/>
      <c r="H158" s="45"/>
      <c r="I158" s="45"/>
      <c r="J158" s="45"/>
      <c r="K158" s="45"/>
      <c r="L158" s="45"/>
    </row>
    <row r="159" spans="1:12" x14ac:dyDescent="0.25">
      <c r="A159" s="45"/>
      <c r="B159" s="45"/>
      <c r="C159" s="45"/>
      <c r="D159" s="45"/>
      <c r="E159" s="45"/>
      <c r="F159" s="45"/>
      <c r="G159" s="45"/>
      <c r="H159" s="45"/>
      <c r="I159" s="45"/>
      <c r="J159" s="45"/>
      <c r="K159" s="45"/>
      <c r="L159" s="45"/>
    </row>
    <row r="160" spans="1:12" x14ac:dyDescent="0.25">
      <c r="A160" s="45"/>
      <c r="B160" s="45"/>
      <c r="C160" s="45"/>
      <c r="D160" s="45"/>
      <c r="E160" s="45"/>
      <c r="F160" s="45"/>
      <c r="G160" s="45"/>
      <c r="H160" s="45"/>
      <c r="I160" s="45"/>
      <c r="J160" s="45"/>
      <c r="K160" s="45"/>
      <c r="L160" s="45"/>
    </row>
    <row r="161" spans="1:12" x14ac:dyDescent="0.25">
      <c r="A161" s="45"/>
      <c r="B161" s="45"/>
      <c r="C161" s="45"/>
      <c r="D161" s="45"/>
      <c r="E161" s="45"/>
      <c r="F161" s="45"/>
      <c r="G161" s="45"/>
      <c r="H161" s="45"/>
      <c r="I161" s="45"/>
      <c r="J161" s="45"/>
      <c r="K161" s="45"/>
      <c r="L161" s="45"/>
    </row>
    <row r="162" spans="1:12" x14ac:dyDescent="0.25">
      <c r="A162" s="45"/>
      <c r="B162" s="45"/>
      <c r="C162" s="45"/>
      <c r="D162" s="45"/>
      <c r="E162" s="45"/>
      <c r="F162" s="45"/>
      <c r="G162" s="45"/>
      <c r="H162" s="45"/>
      <c r="I162" s="45"/>
      <c r="J162" s="45"/>
      <c r="K162" s="45"/>
      <c r="L162" s="45"/>
    </row>
    <row r="163" spans="1:12" x14ac:dyDescent="0.25">
      <c r="A163" s="45"/>
      <c r="B163" s="45"/>
      <c r="C163" s="45"/>
      <c r="D163" s="45"/>
      <c r="E163" s="45"/>
      <c r="F163" s="45"/>
      <c r="G163" s="45"/>
      <c r="H163" s="45"/>
      <c r="I163" s="45"/>
      <c r="J163" s="45"/>
      <c r="K163" s="45"/>
      <c r="L163" s="45"/>
    </row>
    <row r="164" spans="1:12" x14ac:dyDescent="0.25">
      <c r="A164" s="45"/>
      <c r="B164" s="45"/>
      <c r="C164" s="45"/>
      <c r="D164" s="45"/>
      <c r="E164" s="45"/>
      <c r="F164" s="45"/>
      <c r="G164" s="45"/>
      <c r="H164" s="45"/>
      <c r="I164" s="45"/>
      <c r="J164" s="45"/>
      <c r="K164" s="45"/>
      <c r="L164" s="45"/>
    </row>
    <row r="165" spans="1:12" x14ac:dyDescent="0.25">
      <c r="A165" s="45"/>
      <c r="B165" s="45"/>
      <c r="C165" s="45"/>
      <c r="D165" s="45"/>
      <c r="E165" s="45"/>
      <c r="F165" s="45"/>
      <c r="G165" s="45"/>
      <c r="H165" s="45"/>
      <c r="I165" s="45"/>
      <c r="J165" s="45"/>
      <c r="K165" s="45"/>
      <c r="L165" s="45"/>
    </row>
    <row r="166" spans="1:12" x14ac:dyDescent="0.25">
      <c r="A166" s="45"/>
      <c r="B166" s="45"/>
      <c r="C166" s="45"/>
      <c r="D166" s="45"/>
      <c r="E166" s="45"/>
      <c r="F166" s="45"/>
      <c r="G166" s="45"/>
      <c r="H166" s="45"/>
      <c r="I166" s="45"/>
      <c r="J166" s="45"/>
      <c r="K166" s="45"/>
      <c r="L166" s="45"/>
    </row>
    <row r="167" spans="1:12" x14ac:dyDescent="0.25">
      <c r="A167" s="45"/>
      <c r="B167" s="45"/>
      <c r="C167" s="45"/>
      <c r="D167" s="45"/>
      <c r="E167" s="45"/>
      <c r="F167" s="45"/>
      <c r="G167" s="45"/>
      <c r="H167" s="45"/>
      <c r="I167" s="45"/>
      <c r="J167" s="45"/>
      <c r="K167" s="45"/>
      <c r="L167" s="45"/>
    </row>
    <row r="168" spans="1:12" x14ac:dyDescent="0.25">
      <c r="A168" s="45"/>
      <c r="B168" s="45"/>
      <c r="C168" s="45"/>
      <c r="D168" s="45"/>
      <c r="E168" s="45"/>
      <c r="F168" s="45"/>
      <c r="G168" s="45"/>
      <c r="H168" s="45"/>
      <c r="I168" s="45"/>
      <c r="J168" s="45"/>
      <c r="K168" s="45"/>
      <c r="L168" s="45"/>
    </row>
    <row r="169" spans="1:12" x14ac:dyDescent="0.25">
      <c r="A169" s="45"/>
      <c r="B169" s="45"/>
      <c r="C169" s="45"/>
      <c r="D169" s="45"/>
      <c r="E169" s="45"/>
      <c r="F169" s="45"/>
      <c r="G169" s="45"/>
      <c r="H169" s="45"/>
      <c r="I169" s="45"/>
      <c r="J169" s="45"/>
      <c r="K169" s="45"/>
      <c r="L169" s="45"/>
    </row>
    <row r="170" spans="1:12" x14ac:dyDescent="0.25">
      <c r="A170" s="45"/>
      <c r="B170" s="45"/>
      <c r="C170" s="45"/>
      <c r="D170" s="45"/>
      <c r="E170" s="45"/>
      <c r="F170" s="45"/>
      <c r="G170" s="45"/>
      <c r="H170" s="45"/>
      <c r="I170" s="45"/>
      <c r="J170" s="45"/>
      <c r="K170" s="45"/>
      <c r="L170" s="45"/>
    </row>
    <row r="171" spans="1:12" x14ac:dyDescent="0.25">
      <c r="A171" s="45"/>
      <c r="B171" s="45"/>
      <c r="C171" s="45"/>
      <c r="D171" s="45"/>
      <c r="E171" s="45"/>
      <c r="F171" s="45"/>
      <c r="G171" s="45"/>
      <c r="H171" s="45"/>
      <c r="I171" s="45"/>
      <c r="J171" s="45"/>
      <c r="K171" s="45"/>
      <c r="L171" s="45"/>
    </row>
    <row r="172" spans="1:12" x14ac:dyDescent="0.25">
      <c r="A172" s="45"/>
      <c r="B172" s="45"/>
      <c r="C172" s="45"/>
      <c r="D172" s="45"/>
      <c r="E172" s="45"/>
      <c r="F172" s="45"/>
      <c r="G172" s="45"/>
      <c r="H172" s="45"/>
      <c r="I172" s="45"/>
      <c r="J172" s="45"/>
      <c r="K172" s="45"/>
      <c r="L172" s="45"/>
    </row>
    <row r="173" spans="1:12" x14ac:dyDescent="0.25">
      <c r="A173" s="45"/>
      <c r="B173" s="45"/>
      <c r="C173" s="45"/>
      <c r="D173" s="45"/>
      <c r="E173" s="45"/>
      <c r="F173" s="45"/>
      <c r="G173" s="45"/>
      <c r="H173" s="45"/>
      <c r="I173" s="45"/>
      <c r="J173" s="45"/>
      <c r="K173" s="45"/>
      <c r="L173" s="45"/>
    </row>
    <row r="174" spans="1:12" x14ac:dyDescent="0.25">
      <c r="A174" s="45"/>
      <c r="B174" s="45"/>
      <c r="C174" s="45"/>
      <c r="D174" s="45"/>
      <c r="E174" s="45"/>
      <c r="F174" s="45"/>
      <c r="G174" s="45"/>
      <c r="H174" s="45"/>
      <c r="I174" s="45"/>
      <c r="J174" s="45"/>
      <c r="K174" s="45"/>
      <c r="L174" s="45"/>
    </row>
    <row r="175" spans="1:12" x14ac:dyDescent="0.25">
      <c r="A175" s="45"/>
      <c r="B175" s="45"/>
      <c r="C175" s="45"/>
      <c r="D175" s="45"/>
      <c r="E175" s="45"/>
      <c r="F175" s="45"/>
      <c r="G175" s="45"/>
      <c r="H175" s="45"/>
      <c r="I175" s="45"/>
      <c r="J175" s="45"/>
      <c r="K175" s="45"/>
      <c r="L175" s="45"/>
    </row>
    <row r="176" spans="1:12" x14ac:dyDescent="0.25">
      <c r="A176" s="45"/>
      <c r="B176" s="45"/>
      <c r="C176" s="45"/>
      <c r="D176" s="45"/>
      <c r="E176" s="45"/>
      <c r="F176" s="45"/>
      <c r="G176" s="45"/>
      <c r="H176" s="45"/>
      <c r="I176" s="45"/>
      <c r="J176" s="45"/>
      <c r="K176" s="45"/>
      <c r="L176" s="45"/>
    </row>
    <row r="177" spans="1:12" x14ac:dyDescent="0.25">
      <c r="A177" s="45"/>
      <c r="B177" s="45"/>
      <c r="C177" s="45"/>
      <c r="D177" s="45"/>
      <c r="E177" s="45"/>
      <c r="F177" s="45"/>
      <c r="G177" s="45"/>
      <c r="H177" s="45"/>
      <c r="I177" s="45"/>
      <c r="J177" s="45"/>
      <c r="K177" s="45"/>
      <c r="L177" s="45"/>
    </row>
    <row r="178" spans="1:12" x14ac:dyDescent="0.25">
      <c r="A178" s="45"/>
      <c r="B178" s="45"/>
      <c r="C178" s="45"/>
      <c r="D178" s="45"/>
      <c r="E178" s="45"/>
      <c r="F178" s="45"/>
      <c r="G178" s="45"/>
      <c r="H178" s="45"/>
      <c r="I178" s="45"/>
      <c r="J178" s="45"/>
      <c r="K178" s="45"/>
      <c r="L178" s="45"/>
    </row>
    <row r="179" spans="1:12" x14ac:dyDescent="0.25">
      <c r="A179" s="45"/>
      <c r="B179" s="45"/>
      <c r="C179" s="45"/>
      <c r="D179" s="45"/>
      <c r="E179" s="45"/>
      <c r="F179" s="45"/>
      <c r="G179" s="45"/>
      <c r="H179" s="45"/>
      <c r="I179" s="45"/>
      <c r="J179" s="45"/>
      <c r="K179" s="45"/>
      <c r="L179" s="45"/>
    </row>
    <row r="180" spans="1:12" x14ac:dyDescent="0.25">
      <c r="A180" s="45"/>
      <c r="B180" s="45"/>
      <c r="C180" s="45"/>
      <c r="D180" s="45"/>
      <c r="E180" s="45"/>
      <c r="F180" s="45"/>
      <c r="G180" s="45"/>
      <c r="H180" s="45"/>
      <c r="I180" s="45"/>
      <c r="J180" s="45"/>
      <c r="K180" s="45"/>
      <c r="L180" s="45"/>
    </row>
    <row r="181" spans="1:12" x14ac:dyDescent="0.25">
      <c r="A181" s="45"/>
      <c r="B181" s="45"/>
      <c r="C181" s="45"/>
      <c r="D181" s="45"/>
      <c r="E181" s="45"/>
      <c r="F181" s="45"/>
      <c r="G181" s="45"/>
      <c r="H181" s="45"/>
      <c r="I181" s="45"/>
      <c r="J181" s="45"/>
      <c r="K181" s="45"/>
      <c r="L181" s="45"/>
    </row>
    <row r="182" spans="1:12" x14ac:dyDescent="0.25">
      <c r="A182" s="45"/>
      <c r="B182" s="45"/>
      <c r="C182" s="45"/>
      <c r="D182" s="45"/>
      <c r="E182" s="45"/>
      <c r="F182" s="45"/>
      <c r="G182" s="45"/>
      <c r="H182" s="45"/>
      <c r="I182" s="45"/>
      <c r="J182" s="45"/>
      <c r="K182" s="45"/>
      <c r="L182" s="45"/>
    </row>
    <row r="183" spans="1:12" x14ac:dyDescent="0.25">
      <c r="A183" s="45"/>
      <c r="B183" s="45"/>
      <c r="C183" s="45"/>
      <c r="D183" s="45"/>
      <c r="E183" s="45"/>
      <c r="F183" s="45"/>
      <c r="G183" s="45"/>
      <c r="H183" s="45"/>
      <c r="I183" s="45"/>
      <c r="J183" s="45"/>
      <c r="K183" s="45"/>
      <c r="L183" s="45"/>
    </row>
    <row r="184" spans="1:12" x14ac:dyDescent="0.25">
      <c r="A184" s="45"/>
      <c r="B184" s="45"/>
      <c r="C184" s="45"/>
      <c r="D184" s="45"/>
      <c r="E184" s="45"/>
      <c r="F184" s="45"/>
      <c r="G184" s="45"/>
      <c r="H184" s="45"/>
      <c r="I184" s="45"/>
      <c r="J184" s="45"/>
      <c r="K184" s="45"/>
      <c r="L184" s="45"/>
    </row>
    <row r="185" spans="1:12" x14ac:dyDescent="0.25">
      <c r="A185" s="45"/>
      <c r="B185" s="45"/>
      <c r="C185" s="45"/>
      <c r="D185" s="45"/>
      <c r="E185" s="45"/>
      <c r="F185" s="45"/>
      <c r="G185" s="45"/>
      <c r="H185" s="45"/>
      <c r="I185" s="45"/>
      <c r="J185" s="45"/>
      <c r="K185" s="45"/>
      <c r="L185" s="45"/>
    </row>
    <row r="186" spans="1:12" x14ac:dyDescent="0.25">
      <c r="A186" s="45"/>
      <c r="B186" s="45"/>
      <c r="C186" s="45"/>
      <c r="D186" s="45"/>
      <c r="E186" s="45"/>
      <c r="F186" s="45"/>
      <c r="G186" s="45"/>
      <c r="H186" s="45"/>
      <c r="I186" s="45"/>
      <c r="J186" s="45"/>
      <c r="K186" s="45"/>
      <c r="L186" s="45"/>
    </row>
    <row r="187" spans="1:12" x14ac:dyDescent="0.25">
      <c r="A187" s="45"/>
      <c r="B187" s="45"/>
      <c r="C187" s="45"/>
      <c r="D187" s="45"/>
      <c r="E187" s="45"/>
      <c r="F187" s="45"/>
      <c r="G187" s="45"/>
      <c r="H187" s="45"/>
      <c r="I187" s="45"/>
      <c r="J187" s="45"/>
      <c r="K187" s="45"/>
      <c r="L187" s="45"/>
    </row>
    <row r="188" spans="1:12" x14ac:dyDescent="0.25">
      <c r="A188" s="45"/>
      <c r="B188" s="45"/>
      <c r="C188" s="45"/>
      <c r="D188" s="45"/>
      <c r="E188" s="45"/>
      <c r="F188" s="45"/>
      <c r="G188" s="45"/>
      <c r="H188" s="45"/>
      <c r="I188" s="45"/>
      <c r="J188" s="45"/>
      <c r="K188" s="45"/>
      <c r="L188" s="45"/>
    </row>
    <row r="189" spans="1:12" x14ac:dyDescent="0.25">
      <c r="A189" s="45"/>
      <c r="B189" s="45"/>
      <c r="C189" s="45"/>
      <c r="D189" s="45"/>
      <c r="E189" s="45"/>
      <c r="F189" s="45"/>
      <c r="G189" s="45"/>
      <c r="H189" s="45"/>
      <c r="I189" s="45"/>
      <c r="J189" s="45"/>
      <c r="K189" s="45"/>
      <c r="L189" s="45"/>
    </row>
    <row r="190" spans="1:12" x14ac:dyDescent="0.25">
      <c r="A190" s="45"/>
      <c r="B190" s="45"/>
      <c r="C190" s="45"/>
      <c r="D190" s="45"/>
      <c r="E190" s="45"/>
      <c r="F190" s="45"/>
      <c r="G190" s="45"/>
      <c r="H190" s="45"/>
      <c r="I190" s="45"/>
      <c r="J190" s="45"/>
      <c r="K190" s="45"/>
      <c r="L190" s="45"/>
    </row>
    <row r="191" spans="1:12" x14ac:dyDescent="0.25">
      <c r="A191" s="45"/>
      <c r="B191" s="45"/>
      <c r="C191" s="45"/>
      <c r="D191" s="45"/>
      <c r="E191" s="45"/>
      <c r="F191" s="45"/>
      <c r="G191" s="45"/>
      <c r="H191" s="45"/>
      <c r="I191" s="45"/>
      <c r="J191" s="45"/>
      <c r="K191" s="45"/>
      <c r="L191" s="45"/>
    </row>
    <row r="192" spans="1:12" x14ac:dyDescent="0.25">
      <c r="A192" s="45"/>
      <c r="B192" s="45"/>
      <c r="C192" s="45"/>
      <c r="D192" s="45"/>
      <c r="E192" s="45"/>
      <c r="F192" s="45"/>
      <c r="G192" s="45"/>
      <c r="H192" s="45"/>
      <c r="I192" s="45"/>
      <c r="J192" s="45"/>
      <c r="K192" s="45"/>
      <c r="L192" s="45"/>
    </row>
    <row r="193" spans="1:12" x14ac:dyDescent="0.25">
      <c r="A193" s="45"/>
      <c r="B193" s="45"/>
      <c r="C193" s="45"/>
      <c r="D193" s="45"/>
      <c r="E193" s="45"/>
      <c r="F193" s="45"/>
      <c r="G193" s="45"/>
      <c r="H193" s="45"/>
      <c r="I193" s="45"/>
      <c r="J193" s="45"/>
      <c r="K193" s="45"/>
      <c r="L193" s="45"/>
    </row>
    <row r="194" spans="1:12" x14ac:dyDescent="0.25">
      <c r="A194" s="45"/>
      <c r="B194" s="45"/>
      <c r="C194" s="45"/>
      <c r="D194" s="45"/>
      <c r="E194" s="45"/>
      <c r="F194" s="45"/>
      <c r="G194" s="45"/>
      <c r="H194" s="45"/>
      <c r="I194" s="45"/>
      <c r="J194" s="45"/>
      <c r="K194" s="45"/>
      <c r="L194" s="45"/>
    </row>
    <row r="195" spans="1:12" x14ac:dyDescent="0.25">
      <c r="A195" s="45"/>
      <c r="B195" s="45"/>
      <c r="C195" s="45"/>
      <c r="D195" s="45"/>
      <c r="E195" s="45"/>
      <c r="F195" s="45"/>
      <c r="G195" s="45"/>
      <c r="H195" s="45"/>
      <c r="I195" s="45"/>
      <c r="J195" s="45"/>
      <c r="K195" s="45"/>
      <c r="L195" s="45"/>
    </row>
    <row r="196" spans="1:12" x14ac:dyDescent="0.25">
      <c r="A196" s="45"/>
      <c r="B196" s="45"/>
      <c r="C196" s="45"/>
      <c r="D196" s="45"/>
      <c r="E196" s="45"/>
      <c r="F196" s="45"/>
      <c r="G196" s="45"/>
      <c r="H196" s="45"/>
      <c r="I196" s="45"/>
      <c r="J196" s="45"/>
      <c r="K196" s="45"/>
      <c r="L196" s="45"/>
    </row>
    <row r="197" spans="1:12" x14ac:dyDescent="0.25">
      <c r="A197" s="45"/>
      <c r="B197" s="45"/>
      <c r="C197" s="45"/>
      <c r="D197" s="45"/>
      <c r="E197" s="45"/>
      <c r="F197" s="45"/>
      <c r="G197" s="45"/>
      <c r="H197" s="45"/>
      <c r="I197" s="45"/>
      <c r="J197" s="45"/>
      <c r="K197" s="45"/>
      <c r="L197" s="45"/>
    </row>
    <row r="198" spans="1:12" x14ac:dyDescent="0.25">
      <c r="A198" s="45"/>
      <c r="B198" s="45"/>
      <c r="C198" s="45"/>
      <c r="D198" s="45"/>
      <c r="E198" s="45"/>
      <c r="F198" s="45"/>
      <c r="G198" s="45"/>
      <c r="H198" s="45"/>
      <c r="I198" s="45"/>
      <c r="J198" s="45"/>
      <c r="K198" s="45"/>
      <c r="L198" s="45"/>
    </row>
    <row r="199" spans="1:12" x14ac:dyDescent="0.25">
      <c r="A199" s="45"/>
      <c r="B199" s="45"/>
      <c r="C199" s="45"/>
      <c r="D199" s="45"/>
      <c r="E199" s="45"/>
      <c r="F199" s="45"/>
      <c r="G199" s="45"/>
      <c r="H199" s="45"/>
      <c r="I199" s="45"/>
      <c r="J199" s="45"/>
      <c r="K199" s="45"/>
      <c r="L199" s="45"/>
    </row>
    <row r="200" spans="1:12" x14ac:dyDescent="0.25">
      <c r="A200" s="45"/>
      <c r="B200" s="45"/>
      <c r="C200" s="45"/>
      <c r="D200" s="45"/>
      <c r="E200" s="45"/>
      <c r="F200" s="45"/>
      <c r="G200" s="45"/>
      <c r="H200" s="45"/>
      <c r="I200" s="45"/>
      <c r="J200" s="45"/>
      <c r="K200" s="45"/>
      <c r="L200" s="45"/>
    </row>
    <row r="201" spans="1:12" x14ac:dyDescent="0.25">
      <c r="A201" s="45"/>
      <c r="B201" s="45"/>
      <c r="C201" s="45"/>
      <c r="D201" s="45"/>
      <c r="E201" s="45"/>
      <c r="F201" s="45"/>
      <c r="G201" s="45"/>
      <c r="H201" s="45"/>
      <c r="I201" s="45"/>
      <c r="J201" s="45"/>
      <c r="K201" s="45"/>
      <c r="L201" s="45"/>
    </row>
    <row r="202" spans="1:12" x14ac:dyDescent="0.25">
      <c r="A202" s="45"/>
      <c r="B202" s="45"/>
      <c r="C202" s="45"/>
      <c r="D202" s="45"/>
      <c r="E202" s="45"/>
      <c r="F202" s="45"/>
      <c r="G202" s="45"/>
      <c r="H202" s="45"/>
      <c r="I202" s="45"/>
      <c r="J202" s="45"/>
      <c r="K202" s="45"/>
      <c r="L202" s="45"/>
    </row>
    <row r="203" spans="1:12" x14ac:dyDescent="0.25">
      <c r="A203" s="45"/>
      <c r="B203" s="45"/>
      <c r="C203" s="45"/>
      <c r="D203" s="45"/>
      <c r="E203" s="45"/>
      <c r="F203" s="45"/>
      <c r="G203" s="45"/>
      <c r="H203" s="45"/>
      <c r="I203" s="45"/>
      <c r="J203" s="45"/>
      <c r="K203" s="45"/>
      <c r="L203" s="45"/>
    </row>
    <row r="204" spans="1:12" x14ac:dyDescent="0.25">
      <c r="A204" s="45"/>
      <c r="B204" s="45"/>
      <c r="C204" s="45"/>
      <c r="D204" s="45"/>
      <c r="E204" s="45"/>
      <c r="F204" s="45"/>
      <c r="G204" s="45"/>
      <c r="H204" s="45"/>
      <c r="I204" s="45"/>
      <c r="J204" s="45"/>
      <c r="K204" s="45"/>
      <c r="L204" s="45"/>
    </row>
    <row r="205" spans="1:12" x14ac:dyDescent="0.25">
      <c r="A205" s="45"/>
      <c r="B205" s="45"/>
      <c r="C205" s="45"/>
      <c r="D205" s="45"/>
      <c r="E205" s="45"/>
      <c r="F205" s="45"/>
      <c r="G205" s="45"/>
      <c r="H205" s="45"/>
      <c r="I205" s="45"/>
      <c r="J205" s="45"/>
      <c r="K205" s="45"/>
      <c r="L205" s="45"/>
    </row>
    <row r="206" spans="1:12" x14ac:dyDescent="0.25">
      <c r="A206" s="45"/>
      <c r="B206" s="45"/>
      <c r="C206" s="45"/>
      <c r="D206" s="45"/>
      <c r="E206" s="45"/>
      <c r="F206" s="45"/>
      <c r="G206" s="45"/>
      <c r="H206" s="45"/>
      <c r="I206" s="45"/>
      <c r="J206" s="45"/>
      <c r="K206" s="45"/>
      <c r="L206" s="45"/>
    </row>
    <row r="207" spans="1:12" x14ac:dyDescent="0.25">
      <c r="A207" s="45"/>
      <c r="B207" s="45"/>
      <c r="C207" s="45"/>
      <c r="D207" s="45"/>
      <c r="E207" s="45"/>
      <c r="F207" s="45"/>
      <c r="G207" s="45"/>
      <c r="H207" s="45"/>
      <c r="I207" s="45"/>
      <c r="J207" s="45"/>
      <c r="K207" s="45"/>
      <c r="L207" s="45"/>
    </row>
    <row r="208" spans="1:12" x14ac:dyDescent="0.25">
      <c r="A208" s="45"/>
      <c r="B208" s="45"/>
      <c r="C208" s="45"/>
      <c r="D208" s="45"/>
      <c r="E208" s="45"/>
      <c r="F208" s="45"/>
      <c r="G208" s="45"/>
      <c r="H208" s="45"/>
      <c r="I208" s="45"/>
      <c r="J208" s="45"/>
      <c r="K208" s="45"/>
      <c r="L208" s="45"/>
    </row>
    <row r="209" spans="1:12" x14ac:dyDescent="0.25">
      <c r="A209" s="45"/>
      <c r="B209" s="45"/>
      <c r="C209" s="45"/>
      <c r="D209" s="45"/>
      <c r="E209" s="45"/>
      <c r="F209" s="45"/>
      <c r="G209" s="45"/>
      <c r="H209" s="45"/>
      <c r="I209" s="45"/>
      <c r="J209" s="45"/>
      <c r="K209" s="45"/>
      <c r="L209" s="45"/>
    </row>
    <row r="210" spans="1:12" x14ac:dyDescent="0.25">
      <c r="A210" s="45"/>
      <c r="B210" s="45"/>
      <c r="C210" s="45"/>
      <c r="D210" s="45"/>
      <c r="E210" s="45"/>
      <c r="F210" s="45"/>
      <c r="G210" s="45"/>
      <c r="H210" s="45"/>
      <c r="I210" s="45"/>
      <c r="J210" s="45"/>
      <c r="K210" s="45"/>
      <c r="L210" s="45"/>
    </row>
    <row r="211" spans="1:12" x14ac:dyDescent="0.25">
      <c r="A211" s="45"/>
      <c r="B211" s="45"/>
      <c r="C211" s="45"/>
      <c r="D211" s="45"/>
      <c r="E211" s="45"/>
      <c r="F211" s="45"/>
      <c r="G211" s="45"/>
      <c r="H211" s="45"/>
      <c r="I211" s="45"/>
      <c r="J211" s="45"/>
      <c r="K211" s="45"/>
      <c r="L211" s="45"/>
    </row>
    <row r="212" spans="1:12" x14ac:dyDescent="0.25">
      <c r="A212" s="45"/>
      <c r="B212" s="45"/>
      <c r="C212" s="45"/>
      <c r="D212" s="45"/>
      <c r="E212" s="45"/>
      <c r="F212" s="45"/>
      <c r="G212" s="45"/>
      <c r="H212" s="45"/>
      <c r="I212" s="45"/>
      <c r="J212" s="45"/>
      <c r="K212" s="45"/>
      <c r="L212" s="45"/>
    </row>
    <row r="213" spans="1:12" x14ac:dyDescent="0.25">
      <c r="A213" s="45"/>
      <c r="B213" s="45"/>
      <c r="C213" s="45"/>
      <c r="D213" s="45"/>
      <c r="E213" s="45"/>
      <c r="F213" s="45"/>
      <c r="G213" s="45"/>
      <c r="H213" s="45"/>
      <c r="I213" s="45"/>
      <c r="J213" s="45"/>
      <c r="K213" s="45"/>
      <c r="L213" s="45"/>
    </row>
    <row r="214" spans="1:12" x14ac:dyDescent="0.25">
      <c r="A214" s="45"/>
      <c r="B214" s="45"/>
      <c r="C214" s="45"/>
      <c r="D214" s="45"/>
      <c r="E214" s="45"/>
      <c r="F214" s="45"/>
      <c r="G214" s="45"/>
      <c r="H214" s="45"/>
      <c r="I214" s="45"/>
      <c r="J214" s="45"/>
      <c r="K214" s="45"/>
      <c r="L214" s="45"/>
    </row>
    <row r="215" spans="1:12" x14ac:dyDescent="0.25">
      <c r="A215" s="45"/>
      <c r="B215" s="45"/>
      <c r="C215" s="45"/>
      <c r="D215" s="45"/>
      <c r="E215" s="45"/>
      <c r="F215" s="45"/>
      <c r="G215" s="45"/>
      <c r="H215" s="45"/>
      <c r="I215" s="45"/>
      <c r="J215" s="45"/>
      <c r="K215" s="45"/>
      <c r="L215" s="45"/>
    </row>
    <row r="216" spans="1:12" x14ac:dyDescent="0.25">
      <c r="A216" s="45"/>
      <c r="B216" s="45"/>
      <c r="C216" s="45"/>
      <c r="D216" s="45"/>
      <c r="E216" s="45"/>
      <c r="F216" s="45"/>
      <c r="G216" s="45"/>
      <c r="H216" s="45"/>
      <c r="I216" s="45"/>
      <c r="J216" s="45"/>
      <c r="K216" s="45"/>
      <c r="L216" s="45"/>
    </row>
    <row r="217" spans="1:12" x14ac:dyDescent="0.25">
      <c r="A217" s="45"/>
      <c r="B217" s="45"/>
      <c r="C217" s="45"/>
      <c r="D217" s="45"/>
      <c r="E217" s="45"/>
      <c r="F217" s="45"/>
      <c r="G217" s="45"/>
      <c r="H217" s="45"/>
      <c r="I217" s="45"/>
      <c r="J217" s="45"/>
      <c r="K217" s="45"/>
      <c r="L217" s="45"/>
    </row>
    <row r="218" spans="1:12" x14ac:dyDescent="0.25">
      <c r="A218" s="45"/>
      <c r="B218" s="45"/>
      <c r="C218" s="45"/>
      <c r="D218" s="45"/>
      <c r="E218" s="45"/>
      <c r="F218" s="45"/>
      <c r="G218" s="45"/>
      <c r="H218" s="45"/>
      <c r="I218" s="45"/>
      <c r="J218" s="45"/>
      <c r="K218" s="45"/>
      <c r="L218" s="45"/>
    </row>
    <row r="219" spans="1:12" x14ac:dyDescent="0.25">
      <c r="A219" s="45"/>
      <c r="B219" s="45"/>
      <c r="C219" s="45"/>
      <c r="D219" s="45"/>
      <c r="E219" s="45"/>
      <c r="F219" s="45"/>
      <c r="G219" s="45"/>
      <c r="H219" s="45"/>
      <c r="I219" s="45"/>
      <c r="J219" s="45"/>
      <c r="K219" s="45"/>
      <c r="L219" s="45"/>
    </row>
    <row r="220" spans="1:12" x14ac:dyDescent="0.25">
      <c r="A220" s="45"/>
      <c r="B220" s="45"/>
      <c r="C220" s="45"/>
      <c r="D220" s="45"/>
      <c r="E220" s="45"/>
      <c r="F220" s="45"/>
      <c r="G220" s="45"/>
      <c r="H220" s="45"/>
      <c r="I220" s="45"/>
      <c r="J220" s="45"/>
      <c r="K220" s="45"/>
      <c r="L220" s="45"/>
    </row>
    <row r="221" spans="1:12" x14ac:dyDescent="0.25">
      <c r="A221" s="45"/>
      <c r="B221" s="45"/>
      <c r="C221" s="45"/>
      <c r="D221" s="45"/>
      <c r="E221" s="45"/>
      <c r="F221" s="45"/>
      <c r="G221" s="45"/>
      <c r="H221" s="45"/>
      <c r="I221" s="45"/>
      <c r="J221" s="45"/>
      <c r="K221" s="45"/>
      <c r="L221" s="45"/>
    </row>
    <row r="222" spans="1:12" x14ac:dyDescent="0.25">
      <c r="A222" s="45"/>
      <c r="B222" s="45"/>
      <c r="C222" s="45"/>
      <c r="D222" s="45"/>
      <c r="E222" s="45"/>
      <c r="F222" s="45"/>
      <c r="G222" s="45"/>
      <c r="H222" s="45"/>
      <c r="I222" s="45"/>
      <c r="J222" s="45"/>
      <c r="K222" s="45"/>
      <c r="L222" s="45"/>
    </row>
    <row r="223" spans="1:12" x14ac:dyDescent="0.25">
      <c r="A223" s="45"/>
      <c r="B223" s="45"/>
      <c r="C223" s="45"/>
      <c r="D223" s="45"/>
      <c r="E223" s="45"/>
      <c r="F223" s="45"/>
      <c r="G223" s="45"/>
      <c r="H223" s="45"/>
      <c r="I223" s="45"/>
      <c r="J223" s="45"/>
      <c r="K223" s="45"/>
      <c r="L223" s="45"/>
    </row>
    <row r="224" spans="1:12" x14ac:dyDescent="0.25">
      <c r="A224" s="45"/>
      <c r="B224" s="45"/>
      <c r="C224" s="45"/>
      <c r="D224" s="45"/>
      <c r="E224" s="45"/>
      <c r="F224" s="45"/>
      <c r="G224" s="45"/>
      <c r="H224" s="45"/>
      <c r="I224" s="45"/>
      <c r="J224" s="45"/>
      <c r="K224" s="45"/>
      <c r="L224" s="45"/>
    </row>
    <row r="225" spans="1:12" x14ac:dyDescent="0.25">
      <c r="A225" s="45"/>
      <c r="B225" s="45"/>
      <c r="C225" s="45"/>
      <c r="D225" s="45"/>
      <c r="E225" s="45"/>
      <c r="F225" s="45"/>
      <c r="G225" s="45"/>
      <c r="H225" s="45"/>
      <c r="I225" s="45"/>
      <c r="J225" s="45"/>
      <c r="K225" s="45"/>
      <c r="L225" s="45"/>
    </row>
    <row r="226" spans="1:12" x14ac:dyDescent="0.25">
      <c r="A226" s="45"/>
      <c r="B226" s="45"/>
      <c r="C226" s="45"/>
      <c r="D226" s="45"/>
      <c r="E226" s="45"/>
      <c r="F226" s="45"/>
      <c r="G226" s="45"/>
      <c r="H226" s="45"/>
      <c r="I226" s="45"/>
      <c r="J226" s="45"/>
      <c r="K226" s="45"/>
      <c r="L226" s="45"/>
    </row>
    <row r="227" spans="1:12" x14ac:dyDescent="0.25">
      <c r="A227" s="45"/>
      <c r="B227" s="45"/>
      <c r="C227" s="45"/>
      <c r="D227" s="45"/>
      <c r="E227" s="45"/>
      <c r="F227" s="45"/>
      <c r="G227" s="45"/>
      <c r="H227" s="45"/>
      <c r="I227" s="45"/>
      <c r="J227" s="45"/>
      <c r="K227" s="45"/>
      <c r="L227" s="45"/>
    </row>
    <row r="228" spans="1:12" x14ac:dyDescent="0.25">
      <c r="A228" s="45"/>
      <c r="B228" s="45"/>
      <c r="C228" s="45"/>
      <c r="D228" s="45"/>
      <c r="E228" s="45"/>
      <c r="F228" s="45"/>
      <c r="G228" s="45"/>
      <c r="H228" s="45"/>
      <c r="I228" s="45"/>
      <c r="J228" s="45"/>
      <c r="K228" s="45"/>
      <c r="L228" s="45"/>
    </row>
    <row r="229" spans="1:12" x14ac:dyDescent="0.25">
      <c r="A229" s="45"/>
      <c r="B229" s="45"/>
      <c r="C229" s="45"/>
      <c r="D229" s="45"/>
      <c r="E229" s="45"/>
      <c r="F229" s="45"/>
      <c r="G229" s="45"/>
      <c r="H229" s="45"/>
      <c r="I229" s="45"/>
      <c r="J229" s="45"/>
      <c r="K229" s="45"/>
      <c r="L229" s="45"/>
    </row>
    <row r="230" spans="1:12" x14ac:dyDescent="0.25">
      <c r="A230" s="45"/>
      <c r="B230" s="45"/>
      <c r="C230" s="45"/>
      <c r="D230" s="45"/>
      <c r="E230" s="45"/>
      <c r="F230" s="45"/>
      <c r="G230" s="45"/>
      <c r="H230" s="45"/>
      <c r="I230" s="45"/>
      <c r="J230" s="45"/>
      <c r="K230" s="45"/>
      <c r="L230" s="45"/>
    </row>
    <row r="231" spans="1:12" x14ac:dyDescent="0.25">
      <c r="A231" s="45"/>
      <c r="B231" s="45"/>
      <c r="C231" s="45"/>
      <c r="D231" s="45"/>
      <c r="E231" s="45"/>
      <c r="F231" s="45"/>
      <c r="G231" s="45"/>
      <c r="H231" s="45"/>
      <c r="I231" s="45"/>
      <c r="J231" s="45"/>
      <c r="K231" s="45"/>
      <c r="L231" s="45"/>
    </row>
    <row r="232" spans="1:12" x14ac:dyDescent="0.25">
      <c r="A232" s="45"/>
      <c r="B232" s="45"/>
      <c r="C232" s="45"/>
      <c r="D232" s="45"/>
      <c r="E232" s="45"/>
      <c r="F232" s="45"/>
      <c r="G232" s="45"/>
      <c r="H232" s="45"/>
      <c r="I232" s="45"/>
      <c r="J232" s="45"/>
      <c r="K232" s="45"/>
      <c r="L232" s="45"/>
    </row>
    <row r="233" spans="1:12" x14ac:dyDescent="0.25">
      <c r="A233" s="45"/>
      <c r="B233" s="45"/>
      <c r="C233" s="45"/>
      <c r="D233" s="45"/>
      <c r="E233" s="45"/>
      <c r="F233" s="45"/>
      <c r="G233" s="45"/>
      <c r="H233" s="45"/>
      <c r="I233" s="45"/>
      <c r="J233" s="45"/>
      <c r="K233" s="45"/>
      <c r="L233" s="45"/>
    </row>
    <row r="234" spans="1:12" x14ac:dyDescent="0.25">
      <c r="A234" s="45"/>
      <c r="B234" s="45"/>
      <c r="C234" s="45"/>
      <c r="D234" s="45"/>
      <c r="E234" s="45"/>
      <c r="F234" s="45"/>
      <c r="G234" s="45"/>
      <c r="H234" s="45"/>
      <c r="I234" s="45"/>
      <c r="J234" s="45"/>
      <c r="K234" s="45"/>
      <c r="L234" s="45"/>
    </row>
    <row r="235" spans="1:12" x14ac:dyDescent="0.25">
      <c r="A235" s="45"/>
      <c r="B235" s="45"/>
      <c r="C235" s="45"/>
      <c r="D235" s="45"/>
      <c r="E235" s="45"/>
      <c r="F235" s="45"/>
      <c r="G235" s="45"/>
      <c r="H235" s="45"/>
      <c r="I235" s="45"/>
      <c r="J235" s="45"/>
      <c r="K235" s="45"/>
      <c r="L235" s="45"/>
    </row>
    <row r="236" spans="1:12" x14ac:dyDescent="0.25">
      <c r="A236" s="45"/>
      <c r="B236" s="45"/>
      <c r="C236" s="45"/>
      <c r="D236" s="45"/>
      <c r="E236" s="45"/>
      <c r="F236" s="45"/>
      <c r="G236" s="45"/>
      <c r="H236" s="45"/>
      <c r="I236" s="45"/>
      <c r="J236" s="45"/>
      <c r="K236" s="45"/>
      <c r="L236" s="45"/>
    </row>
    <row r="237" spans="1:12" x14ac:dyDescent="0.25">
      <c r="A237" s="45"/>
      <c r="B237" s="45"/>
      <c r="C237" s="45"/>
      <c r="D237" s="45"/>
      <c r="E237" s="45"/>
      <c r="F237" s="45"/>
      <c r="G237" s="45"/>
      <c r="H237" s="45"/>
      <c r="I237" s="45"/>
      <c r="J237" s="45"/>
      <c r="K237" s="45"/>
      <c r="L237" s="45"/>
    </row>
    <row r="238" spans="1:12" x14ac:dyDescent="0.25">
      <c r="A238" s="45"/>
      <c r="B238" s="45"/>
      <c r="C238" s="45"/>
      <c r="D238" s="45"/>
      <c r="E238" s="45"/>
      <c r="F238" s="45"/>
      <c r="G238" s="45"/>
      <c r="H238" s="45"/>
      <c r="I238" s="45"/>
      <c r="J238" s="45"/>
      <c r="K238" s="45"/>
      <c r="L238" s="45"/>
    </row>
    <row r="239" spans="1:12" x14ac:dyDescent="0.25">
      <c r="A239" s="45"/>
      <c r="B239" s="45"/>
      <c r="C239" s="45"/>
      <c r="D239" s="45"/>
      <c r="E239" s="45"/>
      <c r="F239" s="45"/>
      <c r="G239" s="45"/>
      <c r="H239" s="45"/>
      <c r="I239" s="45"/>
      <c r="J239" s="45"/>
      <c r="K239" s="45"/>
      <c r="L239" s="45"/>
    </row>
    <row r="240" spans="1:12" x14ac:dyDescent="0.25">
      <c r="A240" s="45"/>
      <c r="B240" s="45"/>
      <c r="C240" s="45"/>
      <c r="D240" s="45"/>
      <c r="E240" s="45"/>
      <c r="F240" s="45"/>
      <c r="G240" s="45"/>
      <c r="H240" s="45"/>
      <c r="I240" s="45"/>
      <c r="J240" s="45"/>
      <c r="K240" s="45"/>
      <c r="L240" s="45"/>
    </row>
    <row r="241" spans="1:12" x14ac:dyDescent="0.25">
      <c r="A241" s="45"/>
      <c r="B241" s="45"/>
      <c r="C241" s="45"/>
      <c r="D241" s="45"/>
      <c r="E241" s="45"/>
      <c r="F241" s="45"/>
      <c r="G241" s="45"/>
      <c r="H241" s="45"/>
      <c r="I241" s="45"/>
      <c r="J241" s="45"/>
      <c r="K241" s="45"/>
      <c r="L241" s="45"/>
    </row>
    <row r="242" spans="1:12" x14ac:dyDescent="0.25">
      <c r="A242" s="45"/>
      <c r="B242" s="45"/>
      <c r="C242" s="45"/>
      <c r="D242" s="45"/>
      <c r="E242" s="45"/>
      <c r="F242" s="45"/>
      <c r="G242" s="45"/>
      <c r="H242" s="45"/>
      <c r="I242" s="45"/>
      <c r="J242" s="45"/>
      <c r="K242" s="45"/>
      <c r="L242" s="45"/>
    </row>
    <row r="243" spans="1:12" x14ac:dyDescent="0.25">
      <c r="A243" s="45"/>
      <c r="B243" s="45"/>
      <c r="C243" s="45"/>
      <c r="D243" s="45"/>
      <c r="E243" s="45"/>
      <c r="F243" s="45"/>
      <c r="G243" s="45"/>
      <c r="H243" s="45"/>
      <c r="I243" s="45"/>
      <c r="J243" s="45"/>
      <c r="K243" s="45"/>
      <c r="L243" s="45"/>
    </row>
    <row r="244" spans="1:12" x14ac:dyDescent="0.25">
      <c r="A244" s="45"/>
      <c r="B244" s="45"/>
      <c r="C244" s="45"/>
      <c r="D244" s="45"/>
      <c r="E244" s="45"/>
      <c r="F244" s="45"/>
      <c r="G244" s="45"/>
      <c r="H244" s="45"/>
      <c r="I244" s="45"/>
      <c r="J244" s="45"/>
      <c r="K244" s="45"/>
      <c r="L244" s="45"/>
    </row>
    <row r="245" spans="1:12" x14ac:dyDescent="0.25">
      <c r="A245" s="45"/>
      <c r="B245" s="45"/>
      <c r="C245" s="45"/>
      <c r="D245" s="45"/>
      <c r="E245" s="45"/>
      <c r="F245" s="45"/>
      <c r="G245" s="45"/>
      <c r="H245" s="45"/>
      <c r="I245" s="45"/>
      <c r="J245" s="45"/>
      <c r="K245" s="45"/>
      <c r="L245" s="45"/>
    </row>
    <row r="246" spans="1:12" x14ac:dyDescent="0.25">
      <c r="A246" s="45"/>
      <c r="B246" s="45"/>
      <c r="C246" s="45"/>
      <c r="D246" s="45"/>
      <c r="E246" s="45"/>
      <c r="F246" s="45"/>
      <c r="G246" s="45"/>
      <c r="H246" s="45"/>
      <c r="I246" s="45"/>
      <c r="J246" s="45"/>
      <c r="K246" s="45"/>
      <c r="L246" s="45"/>
    </row>
    <row r="247" spans="1:12" x14ac:dyDescent="0.25">
      <c r="A247" s="45"/>
      <c r="B247" s="45"/>
      <c r="C247" s="45"/>
      <c r="D247" s="45"/>
      <c r="E247" s="45"/>
      <c r="F247" s="45"/>
      <c r="G247" s="45"/>
      <c r="H247" s="45"/>
      <c r="I247" s="45"/>
      <c r="J247" s="45"/>
      <c r="K247" s="45"/>
      <c r="L247" s="45"/>
    </row>
    <row r="248" spans="1:12" x14ac:dyDescent="0.25">
      <c r="A248" s="45"/>
      <c r="B248" s="45"/>
      <c r="C248" s="45"/>
      <c r="D248" s="45"/>
      <c r="E248" s="45"/>
      <c r="F248" s="45"/>
      <c r="G248" s="45"/>
      <c r="H248" s="45"/>
      <c r="I248" s="45"/>
      <c r="J248" s="45"/>
      <c r="K248" s="45"/>
      <c r="L248" s="45"/>
    </row>
    <row r="249" spans="1:12" x14ac:dyDescent="0.25">
      <c r="A249" s="45"/>
      <c r="B249" s="45"/>
      <c r="C249" s="45"/>
      <c r="D249" s="45"/>
      <c r="E249" s="45"/>
      <c r="F249" s="45"/>
      <c r="G249" s="45"/>
      <c r="H249" s="45"/>
      <c r="I249" s="45"/>
      <c r="J249" s="45"/>
      <c r="K249" s="45"/>
      <c r="L249" s="45"/>
    </row>
    <row r="250" spans="1:12" x14ac:dyDescent="0.25">
      <c r="A250" s="45"/>
      <c r="B250" s="45"/>
      <c r="C250" s="45"/>
      <c r="D250" s="45"/>
      <c r="E250" s="45"/>
      <c r="F250" s="45"/>
      <c r="G250" s="45"/>
      <c r="H250" s="45"/>
      <c r="I250" s="45"/>
      <c r="J250" s="45"/>
      <c r="K250" s="45"/>
      <c r="L250" s="45"/>
    </row>
    <row r="251" spans="1:12" x14ac:dyDescent="0.25">
      <c r="A251" s="45"/>
      <c r="B251" s="45"/>
      <c r="C251" s="45"/>
      <c r="D251" s="45"/>
      <c r="E251" s="45"/>
      <c r="F251" s="45"/>
      <c r="G251" s="45"/>
      <c r="H251" s="45"/>
      <c r="I251" s="45"/>
      <c r="J251" s="45"/>
      <c r="K251" s="45"/>
      <c r="L251" s="45"/>
    </row>
    <row r="252" spans="1:12" x14ac:dyDescent="0.25">
      <c r="A252" s="45"/>
      <c r="B252" s="45"/>
      <c r="C252" s="45"/>
      <c r="D252" s="45"/>
      <c r="E252" s="45"/>
      <c r="F252" s="45"/>
      <c r="G252" s="45"/>
      <c r="H252" s="45"/>
      <c r="I252" s="45"/>
      <c r="J252" s="45"/>
      <c r="K252" s="45"/>
      <c r="L252" s="45"/>
    </row>
    <row r="253" spans="1:12" x14ac:dyDescent="0.25">
      <c r="A253" s="45"/>
      <c r="B253" s="45"/>
      <c r="C253" s="45"/>
      <c r="D253" s="45"/>
      <c r="E253" s="45"/>
      <c r="F253" s="45"/>
      <c r="G253" s="45"/>
      <c r="H253" s="45"/>
      <c r="I253" s="45"/>
      <c r="J253" s="45"/>
      <c r="K253" s="45"/>
      <c r="L253" s="45"/>
    </row>
    <row r="254" spans="1:12" x14ac:dyDescent="0.25">
      <c r="A254" s="45"/>
      <c r="B254" s="45"/>
      <c r="C254" s="45"/>
      <c r="D254" s="45"/>
      <c r="E254" s="45"/>
      <c r="F254" s="45"/>
      <c r="G254" s="45"/>
      <c r="H254" s="45"/>
      <c r="I254" s="45"/>
      <c r="J254" s="45"/>
      <c r="K254" s="45"/>
      <c r="L254" s="45"/>
    </row>
    <row r="255" spans="1:12" x14ac:dyDescent="0.25">
      <c r="A255" s="45"/>
      <c r="B255" s="45"/>
      <c r="C255" s="45"/>
      <c r="D255" s="45"/>
      <c r="E255" s="45"/>
      <c r="F255" s="45"/>
      <c r="G255" s="45"/>
      <c r="H255" s="45"/>
      <c r="I255" s="45"/>
      <c r="J255" s="45"/>
      <c r="K255" s="45"/>
      <c r="L255" s="45"/>
    </row>
    <row r="256" spans="1:12" x14ac:dyDescent="0.25">
      <c r="A256" s="45"/>
      <c r="B256" s="45"/>
      <c r="C256" s="45"/>
      <c r="D256" s="45"/>
      <c r="E256" s="45"/>
      <c r="F256" s="45"/>
      <c r="G256" s="45"/>
      <c r="H256" s="45"/>
      <c r="I256" s="45"/>
      <c r="J256" s="45"/>
      <c r="K256" s="45"/>
      <c r="L256" s="45"/>
    </row>
    <row r="257" spans="1:12" x14ac:dyDescent="0.25">
      <c r="A257" s="45"/>
      <c r="B257" s="45"/>
      <c r="C257" s="45"/>
      <c r="D257" s="45"/>
      <c r="E257" s="45"/>
      <c r="F257" s="45"/>
      <c r="G257" s="45"/>
      <c r="H257" s="45"/>
      <c r="I257" s="45"/>
      <c r="J257" s="45"/>
      <c r="K257" s="45"/>
      <c r="L257" s="45"/>
    </row>
    <row r="258" spans="1:12" x14ac:dyDescent="0.25">
      <c r="A258" s="45"/>
      <c r="B258" s="45"/>
      <c r="C258" s="45"/>
      <c r="D258" s="45"/>
      <c r="E258" s="45"/>
      <c r="F258" s="45"/>
      <c r="G258" s="45"/>
      <c r="H258" s="45"/>
      <c r="I258" s="45"/>
      <c r="J258" s="45"/>
      <c r="K258" s="45"/>
      <c r="L258" s="45"/>
    </row>
    <row r="259" spans="1:12" x14ac:dyDescent="0.25">
      <c r="A259" s="45"/>
      <c r="B259" s="45"/>
      <c r="C259" s="45"/>
      <c r="D259" s="45"/>
      <c r="E259" s="45"/>
      <c r="F259" s="45"/>
      <c r="G259" s="45"/>
      <c r="H259" s="45"/>
      <c r="I259" s="45"/>
      <c r="J259" s="45"/>
      <c r="K259" s="45"/>
      <c r="L259" s="45"/>
    </row>
    <row r="260" spans="1:12" x14ac:dyDescent="0.25">
      <c r="A260" s="45"/>
      <c r="B260" s="45"/>
      <c r="C260" s="45"/>
      <c r="D260" s="45"/>
      <c r="E260" s="45"/>
      <c r="F260" s="45"/>
      <c r="G260" s="45"/>
      <c r="H260" s="45"/>
      <c r="I260" s="45"/>
      <c r="J260" s="45"/>
      <c r="K260" s="45"/>
      <c r="L260" s="45"/>
    </row>
    <row r="261" spans="1:12" x14ac:dyDescent="0.25">
      <c r="A261" s="45"/>
      <c r="B261" s="45"/>
      <c r="C261" s="45"/>
      <c r="D261" s="45"/>
      <c r="E261" s="45"/>
      <c r="F261" s="45"/>
      <c r="G261" s="45"/>
      <c r="H261" s="45"/>
      <c r="I261" s="45"/>
      <c r="J261" s="45"/>
      <c r="K261" s="45"/>
      <c r="L261" s="45"/>
    </row>
    <row r="262" spans="1:12" x14ac:dyDescent="0.25">
      <c r="A262" s="45"/>
      <c r="B262" s="45"/>
      <c r="C262" s="45"/>
      <c r="D262" s="45"/>
      <c r="E262" s="45"/>
      <c r="F262" s="45"/>
      <c r="G262" s="45"/>
      <c r="H262" s="45"/>
      <c r="I262" s="45"/>
      <c r="J262" s="45"/>
      <c r="K262" s="45"/>
      <c r="L262" s="45"/>
    </row>
    <row r="263" spans="1:12" x14ac:dyDescent="0.25">
      <c r="A263" s="45"/>
      <c r="B263" s="45"/>
      <c r="C263" s="45"/>
      <c r="D263" s="45"/>
      <c r="E263" s="45"/>
      <c r="F263" s="45"/>
      <c r="G263" s="45"/>
      <c r="H263" s="45"/>
      <c r="I263" s="45"/>
      <c r="J263" s="45"/>
      <c r="K263" s="45"/>
      <c r="L263" s="45"/>
    </row>
    <row r="264" spans="1:12" x14ac:dyDescent="0.25">
      <c r="A264" s="45"/>
      <c r="B264" s="45"/>
      <c r="C264" s="45"/>
      <c r="D264" s="45"/>
      <c r="E264" s="45"/>
      <c r="F264" s="45"/>
      <c r="G264" s="45"/>
      <c r="H264" s="45"/>
      <c r="I264" s="45"/>
      <c r="J264" s="45"/>
      <c r="K264" s="45"/>
      <c r="L264" s="45"/>
    </row>
    <row r="265" spans="1:12" x14ac:dyDescent="0.25">
      <c r="A265" s="45"/>
      <c r="B265" s="45"/>
      <c r="C265" s="45"/>
      <c r="D265" s="45"/>
      <c r="E265" s="45"/>
      <c r="F265" s="45"/>
      <c r="G265" s="45"/>
      <c r="H265" s="45"/>
      <c r="I265" s="45"/>
      <c r="J265" s="45"/>
      <c r="K265" s="45"/>
      <c r="L265" s="45"/>
    </row>
    <row r="266" spans="1:12" x14ac:dyDescent="0.25">
      <c r="A266" s="45"/>
      <c r="B266" s="45"/>
      <c r="C266" s="45"/>
      <c r="D266" s="45"/>
      <c r="E266" s="45"/>
      <c r="F266" s="45"/>
      <c r="G266" s="45"/>
      <c r="H266" s="45"/>
      <c r="I266" s="45"/>
      <c r="J266" s="45"/>
      <c r="K266" s="45"/>
      <c r="L266" s="45"/>
    </row>
    <row r="267" spans="1:12" x14ac:dyDescent="0.25">
      <c r="A267" s="45"/>
      <c r="B267" s="45"/>
      <c r="C267" s="45"/>
      <c r="D267" s="45"/>
      <c r="E267" s="45"/>
      <c r="F267" s="45"/>
      <c r="G267" s="45"/>
      <c r="H267" s="45"/>
      <c r="I267" s="45"/>
      <c r="J267" s="45"/>
      <c r="K267" s="45"/>
      <c r="L267" s="45"/>
    </row>
    <row r="268" spans="1:12" x14ac:dyDescent="0.25">
      <c r="A268" s="45"/>
      <c r="B268" s="45"/>
      <c r="C268" s="45"/>
      <c r="D268" s="45"/>
      <c r="E268" s="45"/>
      <c r="F268" s="45"/>
      <c r="G268" s="45"/>
      <c r="H268" s="45"/>
      <c r="I268" s="45"/>
      <c r="J268" s="45"/>
      <c r="K268" s="45"/>
      <c r="L268" s="45"/>
    </row>
    <row r="269" spans="1:12" x14ac:dyDescent="0.25">
      <c r="A269" s="45"/>
      <c r="B269" s="45"/>
      <c r="C269" s="45"/>
      <c r="D269" s="45"/>
      <c r="E269" s="45"/>
      <c r="F269" s="45"/>
      <c r="G269" s="45"/>
      <c r="H269" s="45"/>
      <c r="I269" s="45"/>
      <c r="J269" s="45"/>
      <c r="K269" s="45"/>
      <c r="L269" s="45"/>
    </row>
    <row r="270" spans="1:12" x14ac:dyDescent="0.25">
      <c r="A270" s="45"/>
      <c r="B270" s="45"/>
      <c r="C270" s="45"/>
      <c r="D270" s="45"/>
      <c r="E270" s="45"/>
      <c r="F270" s="45"/>
      <c r="G270" s="45"/>
      <c r="H270" s="45"/>
      <c r="I270" s="45"/>
      <c r="J270" s="45"/>
      <c r="K270" s="45"/>
      <c r="L270" s="45"/>
    </row>
    <row r="271" spans="1:12" x14ac:dyDescent="0.25">
      <c r="D271" s="45"/>
      <c r="E271" s="45"/>
      <c r="F271" s="45"/>
      <c r="G271" s="45"/>
      <c r="H271" s="45"/>
      <c r="I271" s="45"/>
      <c r="J271" s="45"/>
      <c r="K271" s="45"/>
      <c r="L271" s="45"/>
    </row>
    <row r="272" spans="1:12" x14ac:dyDescent="0.25">
      <c r="D272" s="45"/>
      <c r="E272" s="45"/>
      <c r="F272" s="45"/>
      <c r="G272" s="45"/>
      <c r="H272" s="45"/>
      <c r="I272" s="45"/>
      <c r="J272" s="45"/>
      <c r="K272" s="45"/>
      <c r="L272" s="45"/>
    </row>
    <row r="273" spans="4:12" x14ac:dyDescent="0.25">
      <c r="D273" s="45"/>
      <c r="E273" s="45"/>
      <c r="F273" s="45"/>
      <c r="G273" s="45"/>
      <c r="H273" s="45"/>
      <c r="I273" s="45"/>
      <c r="J273" s="45"/>
      <c r="K273" s="45"/>
      <c r="L273" s="45"/>
    </row>
  </sheetData>
  <mergeCells count="4">
    <mergeCell ref="D1:E1"/>
    <mergeCell ref="B2:E2"/>
    <mergeCell ref="B3:E3"/>
    <mergeCell ref="A80:B80"/>
  </mergeCells>
  <phoneticPr fontId="12" type="noConversion"/>
  <pageMargins left="0.75" right="0.75" top="1" bottom="1" header="0.5" footer="0.5"/>
  <pageSetup scale="61"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showGridLines="0" workbookViewId="0">
      <selection activeCell="E52" sqref="E52"/>
    </sheetView>
  </sheetViews>
  <sheetFormatPr defaultColWidth="12" defaultRowHeight="13.2" x14ac:dyDescent="0.25"/>
  <cols>
    <col min="1" max="1" width="13.6640625" style="1" customWidth="1"/>
    <col min="2" max="2" width="20.33203125" style="1" customWidth="1"/>
    <col min="3" max="3" width="15.33203125" style="1" customWidth="1"/>
    <col min="4" max="4" width="18.109375" style="1" customWidth="1"/>
    <col min="5" max="5" width="20.44140625" style="1" customWidth="1"/>
    <col min="6" max="6" width="18.33203125" style="1" customWidth="1"/>
    <col min="7" max="16384" width="12" style="1"/>
  </cols>
  <sheetData>
    <row r="1" spans="1:6" ht="47.25" customHeight="1" x14ac:dyDescent="0.25">
      <c r="D1" s="46" t="s">
        <v>311</v>
      </c>
    </row>
    <row r="3" spans="1:6" ht="21" x14ac:dyDescent="0.25">
      <c r="A3" s="47" t="s">
        <v>231</v>
      </c>
      <c r="D3" s="13" t="s">
        <v>1087</v>
      </c>
    </row>
    <row r="5" spans="1:6" ht="13.8" thickBot="1" x14ac:dyDescent="0.3"/>
    <row r="6" spans="1:6" x14ac:dyDescent="0.25">
      <c r="A6" s="1864" t="s">
        <v>312</v>
      </c>
      <c r="B6" s="1865"/>
      <c r="C6" s="1865"/>
      <c r="D6" s="1865"/>
      <c r="E6" s="1865"/>
      <c r="F6" s="1866"/>
    </row>
    <row r="7" spans="1:6" x14ac:dyDescent="0.25">
      <c r="A7" s="48" t="s">
        <v>313</v>
      </c>
      <c r="B7" s="8"/>
      <c r="C7" s="8"/>
      <c r="D7" s="8"/>
      <c r="E7" s="8"/>
      <c r="F7" s="20"/>
    </row>
    <row r="8" spans="1:6" x14ac:dyDescent="0.25">
      <c r="A8" s="48" t="s">
        <v>314</v>
      </c>
      <c r="B8" s="211" t="s">
        <v>46</v>
      </c>
      <c r="C8" s="211" t="s">
        <v>47</v>
      </c>
      <c r="D8" s="211" t="s">
        <v>315</v>
      </c>
      <c r="E8" s="211" t="s">
        <v>316</v>
      </c>
      <c r="F8" s="9" t="s">
        <v>254</v>
      </c>
    </row>
    <row r="9" spans="1:6" x14ac:dyDescent="0.25">
      <c r="A9" s="48"/>
      <c r="B9" s="8"/>
      <c r="C9" s="8"/>
      <c r="D9" s="8"/>
      <c r="E9" s="8"/>
      <c r="F9" s="20"/>
    </row>
    <row r="10" spans="1:6" x14ac:dyDescent="0.25">
      <c r="A10" s="49">
        <v>35034</v>
      </c>
      <c r="B10" s="50">
        <v>0.53154000000000001</v>
      </c>
      <c r="C10" s="50">
        <v>0.48782999999999999</v>
      </c>
      <c r="D10" s="50">
        <v>0.40112999999999999</v>
      </c>
      <c r="E10" s="50">
        <v>0.22891</v>
      </c>
      <c r="F10" s="51">
        <v>0.48097000000000001</v>
      </c>
    </row>
    <row r="11" spans="1:6" x14ac:dyDescent="0.25">
      <c r="A11" s="49">
        <v>35096</v>
      </c>
      <c r="B11" s="50">
        <v>0.53349000000000002</v>
      </c>
      <c r="C11" s="50">
        <v>0.48977999999999999</v>
      </c>
      <c r="D11" s="50">
        <v>0.10308</v>
      </c>
      <c r="E11" s="50">
        <v>0.24626000000000001</v>
      </c>
      <c r="F11" s="51">
        <v>0.48420000000000002</v>
      </c>
    </row>
    <row r="12" spans="1:6" x14ac:dyDescent="0.25">
      <c r="A12" s="49">
        <v>35400</v>
      </c>
      <c r="B12" s="50">
        <v>0.50070999999999999</v>
      </c>
      <c r="C12" s="50">
        <v>0.45628999999999997</v>
      </c>
      <c r="D12" s="50">
        <v>0.37130000000000002</v>
      </c>
      <c r="E12" s="50">
        <v>0.24559</v>
      </c>
      <c r="F12" s="51">
        <v>0.45233000000000001</v>
      </c>
    </row>
    <row r="13" spans="1:6" x14ac:dyDescent="0.25">
      <c r="A13" s="49">
        <v>35731</v>
      </c>
      <c r="B13" s="50">
        <v>0.52664999999999995</v>
      </c>
      <c r="C13" s="50">
        <v>0.49436999999999998</v>
      </c>
      <c r="D13" s="50">
        <v>0.44263000000000002</v>
      </c>
      <c r="E13" s="50">
        <v>0.27654000000000001</v>
      </c>
      <c r="F13" s="51">
        <v>0.43504750000000003</v>
      </c>
    </row>
    <row r="14" spans="1:6" x14ac:dyDescent="0.25">
      <c r="A14" s="49">
        <v>35765</v>
      </c>
      <c r="B14" s="50">
        <v>0.54813000000000001</v>
      </c>
      <c r="C14" s="50">
        <v>0.51476</v>
      </c>
      <c r="D14" s="50">
        <v>0.43883</v>
      </c>
      <c r="E14" s="50">
        <v>0.33235999999999999</v>
      </c>
      <c r="F14" s="51">
        <v>0.50634000000000001</v>
      </c>
    </row>
    <row r="15" spans="1:6" x14ac:dyDescent="0.25">
      <c r="A15" s="49">
        <v>36130</v>
      </c>
      <c r="B15" s="32">
        <v>0.57865999999999995</v>
      </c>
      <c r="C15" s="32">
        <v>0.54529000000000005</v>
      </c>
      <c r="D15" s="32">
        <v>0.46936</v>
      </c>
      <c r="E15" s="32">
        <v>0.34816000000000003</v>
      </c>
      <c r="F15" s="52">
        <v>0.54501999999999995</v>
      </c>
    </row>
    <row r="16" spans="1:6" x14ac:dyDescent="0.25">
      <c r="A16" s="49">
        <v>36312</v>
      </c>
      <c r="B16" s="32">
        <v>0.57865999999999995</v>
      </c>
      <c r="C16" s="32">
        <v>0.54529000000000005</v>
      </c>
      <c r="D16" s="32">
        <v>0.46936</v>
      </c>
      <c r="E16" s="32">
        <v>0.34816000000000003</v>
      </c>
      <c r="F16" s="52">
        <v>0.54501999999999995</v>
      </c>
    </row>
    <row r="17" spans="1:6" x14ac:dyDescent="0.25">
      <c r="A17" s="49">
        <v>36495</v>
      </c>
      <c r="B17" s="32">
        <v>0.63971</v>
      </c>
      <c r="C17" s="32">
        <v>0.63024999999999998</v>
      </c>
      <c r="D17" s="32">
        <v>0.55432999999999999</v>
      </c>
      <c r="E17" s="32">
        <v>0.40884999999999999</v>
      </c>
      <c r="F17" s="52">
        <v>0.62290000000000001</v>
      </c>
    </row>
    <row r="18" spans="1:6" x14ac:dyDescent="0.25">
      <c r="A18" s="49">
        <v>36739</v>
      </c>
      <c r="B18" s="32">
        <v>0.77990000000000004</v>
      </c>
      <c r="C18" s="32">
        <v>0.74653000000000003</v>
      </c>
      <c r="D18" s="32">
        <v>0.67061000000000004</v>
      </c>
      <c r="E18" s="32">
        <v>0.54912000000000005</v>
      </c>
      <c r="F18" s="52">
        <v>0.75246999999999997</v>
      </c>
    </row>
    <row r="19" spans="1:6" x14ac:dyDescent="0.25">
      <c r="A19" s="49">
        <v>36831</v>
      </c>
      <c r="B19" s="32">
        <v>0.83565999999999996</v>
      </c>
      <c r="C19" s="32">
        <v>0.79620999999999997</v>
      </c>
      <c r="D19" s="32">
        <v>0.71448999999999996</v>
      </c>
      <c r="E19" s="32">
        <v>0.58382000000000001</v>
      </c>
      <c r="F19" s="52">
        <v>0.81067</v>
      </c>
    </row>
    <row r="20" spans="1:6" x14ac:dyDescent="0.25">
      <c r="A20" s="49">
        <v>37165</v>
      </c>
      <c r="B20" s="32">
        <v>1.03016</v>
      </c>
      <c r="C20" s="32">
        <v>0.96862000000000004</v>
      </c>
      <c r="D20" s="32">
        <v>0.87771999999999994</v>
      </c>
      <c r="E20" s="32">
        <v>0.73004999999999998</v>
      </c>
      <c r="F20" s="52">
        <v>0.99736999999999998</v>
      </c>
    </row>
    <row r="21" spans="1:6" x14ac:dyDescent="0.25">
      <c r="A21" s="49">
        <v>37530</v>
      </c>
      <c r="B21" s="32">
        <v>0.77786999999999995</v>
      </c>
      <c r="C21" s="32">
        <v>0.71723999999999999</v>
      </c>
      <c r="D21" s="32">
        <v>0.62307000000000001</v>
      </c>
      <c r="E21" s="32">
        <v>0.49919000000000002</v>
      </c>
      <c r="F21" s="52">
        <v>0.80945999999999996</v>
      </c>
    </row>
    <row r="22" spans="1:6" x14ac:dyDescent="0.25">
      <c r="A22" s="49">
        <v>37895</v>
      </c>
      <c r="B22" s="32">
        <v>0.90349999999999997</v>
      </c>
      <c r="C22" s="32">
        <v>0.84350000000000003</v>
      </c>
      <c r="D22" s="32">
        <v>0.74807000000000001</v>
      </c>
      <c r="E22" s="32">
        <v>0.61531999999999998</v>
      </c>
      <c r="F22" s="52">
        <v>0.87922</v>
      </c>
    </row>
    <row r="23" spans="1:6" x14ac:dyDescent="0.25">
      <c r="A23" s="49">
        <v>38169</v>
      </c>
      <c r="B23" s="32">
        <v>1.01244</v>
      </c>
      <c r="C23" s="32">
        <v>0.93662000000000001</v>
      </c>
      <c r="D23" s="32">
        <v>0.84999000000000002</v>
      </c>
      <c r="E23" s="32">
        <v>0.70477000000000001</v>
      </c>
      <c r="F23" s="52">
        <v>0.87595500000000004</v>
      </c>
    </row>
    <row r="24" spans="1:6" ht="13.8" thickBot="1" x14ac:dyDescent="0.3">
      <c r="A24" s="53"/>
      <c r="B24" s="54"/>
      <c r="C24" s="54"/>
      <c r="D24" s="54"/>
      <c r="E24" s="54"/>
      <c r="F24" s="55"/>
    </row>
    <row r="25" spans="1:6" x14ac:dyDescent="0.25">
      <c r="A25" s="56"/>
      <c r="B25" s="28"/>
      <c r="C25" s="28"/>
      <c r="D25" s="28"/>
      <c r="E25" s="28"/>
      <c r="F25" s="28"/>
    </row>
    <row r="26" spans="1:6" x14ac:dyDescent="0.25">
      <c r="A26" s="56"/>
      <c r="B26" s="28"/>
      <c r="C26" s="28"/>
      <c r="D26" s="28"/>
      <c r="E26" s="28"/>
      <c r="F26" s="28"/>
    </row>
    <row r="27" spans="1:6" ht="13.8" thickBot="1" x14ac:dyDescent="0.3">
      <c r="A27" s="57"/>
      <c r="B27" s="32"/>
      <c r="C27" s="32"/>
      <c r="D27" s="32"/>
      <c r="E27" s="32"/>
      <c r="F27" s="32"/>
    </row>
    <row r="28" spans="1:6" ht="13.8" thickBot="1" x14ac:dyDescent="0.3">
      <c r="A28" s="1867" t="s">
        <v>311</v>
      </c>
      <c r="B28" s="1868"/>
      <c r="C28" s="1868"/>
      <c r="D28" s="1868"/>
      <c r="E28" s="1868"/>
      <c r="F28" s="1869"/>
    </row>
    <row r="29" spans="1:6" x14ac:dyDescent="0.25">
      <c r="A29" s="58"/>
      <c r="B29" s="58"/>
      <c r="C29" s="58"/>
      <c r="D29" s="29" t="s">
        <v>317</v>
      </c>
      <c r="E29" s="58" t="s">
        <v>318</v>
      </c>
      <c r="F29" s="58" t="s">
        <v>315</v>
      </c>
    </row>
    <row r="30" spans="1:6" x14ac:dyDescent="0.25">
      <c r="B30" s="58" t="s">
        <v>46</v>
      </c>
      <c r="C30" s="58" t="s">
        <v>47</v>
      </c>
      <c r="D30" s="29" t="s">
        <v>47</v>
      </c>
      <c r="E30" s="58" t="s">
        <v>319</v>
      </c>
      <c r="F30" s="58" t="s">
        <v>320</v>
      </c>
    </row>
    <row r="31" spans="1:6" ht="13.8" thickBot="1" x14ac:dyDescent="0.3">
      <c r="A31" s="59" t="s">
        <v>313</v>
      </c>
      <c r="B31" s="59" t="s">
        <v>242</v>
      </c>
      <c r="C31" s="59" t="s">
        <v>244</v>
      </c>
      <c r="D31" s="60" t="s">
        <v>321</v>
      </c>
      <c r="E31" s="59" t="s">
        <v>322</v>
      </c>
      <c r="F31" s="59" t="s">
        <v>323</v>
      </c>
    </row>
    <row r="32" spans="1:6" ht="13.8" thickTop="1" x14ac:dyDescent="0.25">
      <c r="A32" s="61"/>
      <c r="B32" s="61"/>
      <c r="C32" s="61"/>
      <c r="D32" s="61"/>
      <c r="E32" s="61"/>
      <c r="F32" s="61"/>
    </row>
    <row r="33" spans="1:7" ht="13.5" customHeight="1" x14ac:dyDescent="0.25">
      <c r="A33" s="62">
        <v>38292</v>
      </c>
      <c r="B33" s="630">
        <v>0.96758459515163286</v>
      </c>
      <c r="C33" s="630">
        <v>0.95141552816324015</v>
      </c>
      <c r="D33" s="630">
        <v>0.90679266815537218</v>
      </c>
      <c r="E33" s="630">
        <v>0.75775673690711243</v>
      </c>
      <c r="F33" s="630">
        <v>0.59727283495491035</v>
      </c>
      <c r="G33" s="13"/>
    </row>
    <row r="34" spans="1:7" x14ac:dyDescent="0.25">
      <c r="A34" s="62">
        <v>38626</v>
      </c>
      <c r="B34" s="630">
        <v>1.2943935439561163</v>
      </c>
      <c r="C34" s="630">
        <v>1.2853197188486618</v>
      </c>
      <c r="D34" s="630">
        <v>1.2263904234058929</v>
      </c>
      <c r="E34" s="630">
        <v>1.040916310976651</v>
      </c>
      <c r="F34" s="630">
        <v>0.90748744923859725</v>
      </c>
    </row>
    <row r="36" spans="1:7" x14ac:dyDescent="0.25">
      <c r="A36" s="29"/>
    </row>
    <row r="37" spans="1:7" x14ac:dyDescent="0.25">
      <c r="A37" s="29"/>
    </row>
    <row r="38" spans="1:7" x14ac:dyDescent="0.25">
      <c r="A38" s="29"/>
    </row>
    <row r="39" spans="1:7" x14ac:dyDescent="0.25">
      <c r="A39" s="29"/>
    </row>
    <row r="40" spans="1:7" x14ac:dyDescent="0.25">
      <c r="A40" s="29"/>
    </row>
    <row r="41" spans="1:7" x14ac:dyDescent="0.25">
      <c r="A41" s="29"/>
    </row>
    <row r="42" spans="1:7" x14ac:dyDescent="0.25">
      <c r="A42" s="29"/>
    </row>
    <row r="43" spans="1:7" x14ac:dyDescent="0.25">
      <c r="A43" s="29"/>
    </row>
    <row r="44" spans="1:7" x14ac:dyDescent="0.25">
      <c r="A44" s="29"/>
    </row>
    <row r="45" spans="1:7" x14ac:dyDescent="0.25">
      <c r="A45" s="29"/>
    </row>
  </sheetData>
  <mergeCells count="2">
    <mergeCell ref="A6:F6"/>
    <mergeCell ref="A28:F28"/>
  </mergeCells>
  <phoneticPr fontId="12" type="noConversion"/>
  <pageMargins left="0.75" right="0.75" top="1" bottom="1" header="0.5" footer="0.5"/>
  <pageSetup scale="84" orientation="portrait" r:id="rId1"/>
  <headerFooter alignWithMargins="0">
    <oddHeader>&amp;RPage  3</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activeCell="E52" sqref="E52"/>
    </sheetView>
  </sheetViews>
  <sheetFormatPr defaultColWidth="10.6640625" defaultRowHeight="13.2" x14ac:dyDescent="0.25"/>
  <cols>
    <col min="1" max="1" width="15.6640625" style="678" customWidth="1"/>
    <col min="2" max="2" width="16.88671875" style="678" customWidth="1"/>
    <col min="3" max="3" width="15.44140625" style="678" customWidth="1"/>
    <col min="4" max="4" width="10.6640625" style="678" customWidth="1"/>
    <col min="5" max="5" width="12.33203125" style="678" bestFit="1" customWidth="1"/>
    <col min="6" max="6" width="10.6640625" style="678" customWidth="1"/>
    <col min="7" max="7" width="14.88671875" style="678" bestFit="1" customWidth="1"/>
    <col min="8" max="8" width="10.6640625" style="678" customWidth="1"/>
    <col min="9" max="9" width="14.88671875" style="678" bestFit="1" customWidth="1"/>
    <col min="10" max="16384" width="10.6640625" style="678"/>
  </cols>
  <sheetData>
    <row r="1" spans="1:9" ht="22.2" x14ac:dyDescent="0.25">
      <c r="A1" s="1062"/>
      <c r="B1" s="1062"/>
      <c r="C1" s="1063"/>
      <c r="D1" s="1063"/>
      <c r="E1" s="1064"/>
      <c r="F1" s="1065"/>
      <c r="G1" s="724"/>
    </row>
    <row r="2" spans="1:9" ht="22.2" x14ac:dyDescent="0.25">
      <c r="A2" s="1062"/>
      <c r="B2" s="1062"/>
      <c r="C2" s="1063"/>
      <c r="D2" s="1063"/>
      <c r="E2" s="1066" t="s">
        <v>231</v>
      </c>
      <c r="F2" s="1065"/>
    </row>
    <row r="3" spans="1:9" ht="22.2" x14ac:dyDescent="0.25">
      <c r="A3" s="1062"/>
      <c r="B3" s="1062"/>
      <c r="C3" s="1063"/>
      <c r="D3" s="1063"/>
      <c r="E3" s="1064"/>
      <c r="F3" s="1065"/>
      <c r="G3" s="724"/>
    </row>
    <row r="4" spans="1:9" ht="20.399999999999999" x14ac:dyDescent="0.25">
      <c r="B4" s="1066"/>
      <c r="C4" s="1063"/>
      <c r="E4" s="1067"/>
      <c r="F4" s="1067"/>
      <c r="G4" s="1067"/>
    </row>
    <row r="5" spans="1:9" ht="20.399999999999999" x14ac:dyDescent="0.35">
      <c r="A5" s="1068" t="s">
        <v>357</v>
      </c>
      <c r="B5" s="1068"/>
      <c r="C5" s="1069" t="s">
        <v>615</v>
      </c>
    </row>
    <row r="6" spans="1:9" ht="20.399999999999999" x14ac:dyDescent="0.25">
      <c r="A6" s="1068"/>
      <c r="B6" s="1068"/>
      <c r="C6" s="1067" t="s">
        <v>616</v>
      </c>
    </row>
    <row r="7" spans="1:9" ht="20.399999999999999" x14ac:dyDescent="0.25">
      <c r="A7" s="1068"/>
      <c r="B7" s="1068"/>
      <c r="C7" s="1063"/>
      <c r="D7" s="1067"/>
    </row>
    <row r="8" spans="1:9" x14ac:dyDescent="0.25">
      <c r="A8" s="1070"/>
      <c r="B8" s="1070"/>
      <c r="C8" s="1070"/>
      <c r="E8" s="743"/>
      <c r="F8" s="743"/>
      <c r="G8" s="1070"/>
      <c r="I8" s="1071"/>
    </row>
    <row r="9" spans="1:9" x14ac:dyDescent="0.25">
      <c r="A9" s="1070" t="s">
        <v>313</v>
      </c>
      <c r="B9" s="1071" t="s">
        <v>263</v>
      </c>
      <c r="C9" s="1070" t="s">
        <v>617</v>
      </c>
      <c r="D9" s="743"/>
      <c r="E9" s="1070" t="s">
        <v>618</v>
      </c>
    </row>
    <row r="10" spans="1:9" x14ac:dyDescent="0.25">
      <c r="A10" s="744" t="s">
        <v>579</v>
      </c>
      <c r="B10" s="1072" t="s">
        <v>198</v>
      </c>
      <c r="C10" s="744" t="s">
        <v>198</v>
      </c>
      <c r="D10" s="743"/>
      <c r="E10" s="744" t="s">
        <v>194</v>
      </c>
    </row>
    <row r="11" spans="1:9" x14ac:dyDescent="0.25">
      <c r="A11" s="1073">
        <v>38169</v>
      </c>
      <c r="B11" s="1074">
        <v>250</v>
      </c>
      <c r="C11" s="1074">
        <v>10.5</v>
      </c>
      <c r="D11" s="1075"/>
      <c r="E11" s="726">
        <v>0.5222</v>
      </c>
    </row>
    <row r="12" spans="1:9" x14ac:dyDescent="0.25">
      <c r="A12" s="1073">
        <v>38292</v>
      </c>
      <c r="B12" s="1074">
        <v>250</v>
      </c>
      <c r="C12" s="1074">
        <v>10.5</v>
      </c>
      <c r="D12" s="1075"/>
      <c r="E12" s="726">
        <v>0.53760984555456015</v>
      </c>
    </row>
    <row r="13" spans="1:9" x14ac:dyDescent="0.25">
      <c r="A13" s="1073">
        <v>38626</v>
      </c>
      <c r="B13" s="1074">
        <v>250</v>
      </c>
      <c r="C13" s="1074">
        <v>10.5</v>
      </c>
      <c r="D13" s="1075"/>
      <c r="E13" s="726">
        <v>0.50081570397840569</v>
      </c>
      <c r="G13" s="1074"/>
    </row>
    <row r="14" spans="1:9" x14ac:dyDescent="0.25">
      <c r="A14" s="678" t="s">
        <v>818</v>
      </c>
    </row>
  </sheetData>
  <phoneticPr fontId="12" type="noConversion"/>
  <pageMargins left="0.75" right="0.75" top="1" bottom="1" header="0.5" footer="0.5"/>
  <pageSetup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R75"/>
  <sheetViews>
    <sheetView showGridLines="0" zoomScaleNormal="100" zoomScaleSheetLayoutView="110" workbookViewId="0">
      <pane xSplit="3" ySplit="12" topLeftCell="D13" activePane="bottomRight" state="frozen"/>
      <selection activeCell="E2" sqref="E2"/>
      <selection pane="topRight" activeCell="E2" sqref="E2"/>
      <selection pane="bottomLeft" activeCell="E2" sqref="E2"/>
      <selection pane="bottomRight" activeCell="E2" sqref="E2"/>
    </sheetView>
  </sheetViews>
  <sheetFormatPr defaultColWidth="9.33203125" defaultRowHeight="13.2" outlineLevelCol="1" x14ac:dyDescent="0.25"/>
  <cols>
    <col min="1" max="1" width="6.88671875" style="437" customWidth="1"/>
    <col min="2" max="2" width="17.88671875" style="436" customWidth="1"/>
    <col min="3" max="3" width="9.33203125" style="436"/>
    <col min="4" max="4" width="12.88671875" style="436" customWidth="1"/>
    <col min="5" max="5" width="15.88671875" style="653" customWidth="1"/>
    <col min="6" max="6" width="17.33203125" style="436" customWidth="1"/>
    <col min="7" max="7" width="14.88671875" style="436" customWidth="1"/>
    <col min="8" max="8" width="16.44140625" style="436" customWidth="1"/>
    <col min="9" max="15" width="14.88671875" style="436" hidden="1" customWidth="1" outlineLevel="1"/>
    <col min="16" max="16" width="14.88671875" style="1585" hidden="1" customWidth="1" outlineLevel="1"/>
    <col min="17" max="17" width="14.88671875" style="436" customWidth="1" collapsed="1"/>
    <col min="18" max="18" width="12.88671875" style="437" customWidth="1"/>
    <col min="19" max="16384" width="9.33203125" style="437"/>
  </cols>
  <sheetData>
    <row r="1" spans="1:18" ht="13.8" x14ac:dyDescent="0.25">
      <c r="A1" s="435" t="str">
        <f>+'Washington volumes'!A1</f>
        <v>NW Natural</v>
      </c>
    </row>
    <row r="2" spans="1:18" ht="13.8" x14ac:dyDescent="0.25">
      <c r="A2" s="435" t="str">
        <f>+'Washington volumes'!A2</f>
        <v>Rates &amp; Regulatory Affairs</v>
      </c>
    </row>
    <row r="3" spans="1:18" ht="13.8" x14ac:dyDescent="0.25">
      <c r="A3" s="435" t="str">
        <f>+'Washington volumes'!A3</f>
        <v>2019-2020 PGA Filing - Washington: September Filing</v>
      </c>
      <c r="H3" s="528"/>
      <c r="I3" s="528"/>
      <c r="J3" s="528"/>
      <c r="K3" s="528"/>
      <c r="L3" s="528"/>
      <c r="M3" s="528"/>
      <c r="N3" s="528"/>
      <c r="O3" s="528"/>
      <c r="P3" s="1586"/>
    </row>
    <row r="4" spans="1:18" ht="13.8" x14ac:dyDescent="0.25">
      <c r="A4" s="435" t="s">
        <v>190</v>
      </c>
    </row>
    <row r="7" spans="1:18" x14ac:dyDescent="0.25">
      <c r="A7" s="479">
        <v>1</v>
      </c>
      <c r="F7" s="469"/>
      <c r="G7" s="469"/>
      <c r="H7" s="479"/>
      <c r="I7" s="479"/>
      <c r="J7" s="479"/>
      <c r="K7" s="479"/>
      <c r="L7" s="479"/>
      <c r="M7" s="479"/>
      <c r="N7" s="479"/>
      <c r="O7" s="479"/>
      <c r="P7" s="1587"/>
      <c r="Q7" s="439" t="s">
        <v>37</v>
      </c>
    </row>
    <row r="8" spans="1:18" x14ac:dyDescent="0.25">
      <c r="A8" s="479">
        <f t="shared" ref="A8:A54" si="0">+A7+1</f>
        <v>2</v>
      </c>
      <c r="D8" s="546">
        <f>+'Avg Bill by RS'!H8</f>
        <v>43405</v>
      </c>
      <c r="E8" s="1665"/>
      <c r="F8" s="469"/>
      <c r="G8" s="469" t="s">
        <v>37</v>
      </c>
      <c r="H8" s="469" t="s">
        <v>97</v>
      </c>
      <c r="I8" s="670"/>
      <c r="J8" s="670"/>
      <c r="K8" s="670"/>
      <c r="L8" s="670"/>
      <c r="M8" s="670"/>
      <c r="N8" s="670"/>
      <c r="O8" s="670"/>
      <c r="P8" s="1588" t="s">
        <v>1155</v>
      </c>
      <c r="Q8" s="440">
        <f>+EFFDATE</f>
        <v>43770</v>
      </c>
    </row>
    <row r="9" spans="1:18" x14ac:dyDescent="0.25">
      <c r="A9" s="479">
        <f t="shared" si="0"/>
        <v>3</v>
      </c>
      <c r="D9" s="469" t="s">
        <v>28</v>
      </c>
      <c r="E9" s="1665" t="s">
        <v>97</v>
      </c>
      <c r="F9" s="469" t="s">
        <v>97</v>
      </c>
      <c r="G9" s="469" t="s">
        <v>29</v>
      </c>
      <c r="H9" s="469" t="s">
        <v>56</v>
      </c>
      <c r="I9" s="671" t="s">
        <v>713</v>
      </c>
      <c r="J9" s="671" t="s">
        <v>713</v>
      </c>
      <c r="K9" s="671" t="s">
        <v>713</v>
      </c>
      <c r="L9" s="671" t="s">
        <v>713</v>
      </c>
      <c r="M9" s="671" t="s">
        <v>713</v>
      </c>
      <c r="N9" s="671" t="s">
        <v>713</v>
      </c>
      <c r="O9" s="671" t="s">
        <v>713</v>
      </c>
      <c r="P9" s="1588" t="s">
        <v>1156</v>
      </c>
      <c r="Q9" s="439" t="s">
        <v>28</v>
      </c>
    </row>
    <row r="10" spans="1:18" s="442" customFormat="1" ht="13.8" thickBot="1" x14ac:dyDescent="0.3">
      <c r="A10" s="479">
        <f t="shared" si="0"/>
        <v>4</v>
      </c>
      <c r="B10" s="436"/>
      <c r="C10" s="436"/>
      <c r="D10" s="488" t="s">
        <v>29</v>
      </c>
      <c r="E10" s="1754" t="s">
        <v>32</v>
      </c>
      <c r="F10" s="488" t="s">
        <v>222</v>
      </c>
      <c r="G10" s="488" t="s">
        <v>221</v>
      </c>
      <c r="H10" s="488" t="s">
        <v>98</v>
      </c>
      <c r="I10" s="672" t="s">
        <v>714</v>
      </c>
      <c r="J10" s="672" t="s">
        <v>714</v>
      </c>
      <c r="K10" s="672" t="s">
        <v>714</v>
      </c>
      <c r="L10" s="672" t="s">
        <v>714</v>
      </c>
      <c r="M10" s="672" t="s">
        <v>714</v>
      </c>
      <c r="N10" s="672" t="s">
        <v>714</v>
      </c>
      <c r="O10" s="672" t="s">
        <v>714</v>
      </c>
      <c r="P10" s="1589" t="s">
        <v>53</v>
      </c>
      <c r="Q10" s="536" t="s">
        <v>220</v>
      </c>
    </row>
    <row r="11" spans="1:18" s="442" customFormat="1" x14ac:dyDescent="0.25">
      <c r="A11" s="479">
        <f t="shared" si="0"/>
        <v>5</v>
      </c>
      <c r="B11" s="436"/>
      <c r="C11" s="436"/>
      <c r="D11" s="443"/>
      <c r="E11" s="1499"/>
      <c r="F11" s="443"/>
      <c r="G11" s="439" t="s">
        <v>93</v>
      </c>
      <c r="H11" s="444"/>
      <c r="I11" s="444"/>
      <c r="J11" s="444"/>
      <c r="K11" s="444"/>
      <c r="L11" s="444"/>
      <c r="M11" s="444"/>
      <c r="N11" s="444"/>
      <c r="O11" s="444"/>
      <c r="P11" s="1493"/>
      <c r="Q11" s="439" t="s">
        <v>1122</v>
      </c>
    </row>
    <row r="12" spans="1:18" s="442" customFormat="1" x14ac:dyDescent="0.25">
      <c r="A12" s="479">
        <f t="shared" si="0"/>
        <v>6</v>
      </c>
      <c r="B12" s="496" t="s">
        <v>2</v>
      </c>
      <c r="C12" s="445" t="s">
        <v>3</v>
      </c>
      <c r="D12" s="446" t="s">
        <v>77</v>
      </c>
      <c r="E12" s="1059" t="s">
        <v>78</v>
      </c>
      <c r="F12" s="446" t="s">
        <v>16</v>
      </c>
      <c r="G12" s="446" t="s">
        <v>79</v>
      </c>
      <c r="H12" s="446" t="s">
        <v>80</v>
      </c>
      <c r="I12" s="446"/>
      <c r="J12" s="446"/>
      <c r="K12" s="446"/>
      <c r="L12" s="446"/>
      <c r="M12" s="446"/>
      <c r="N12" s="446"/>
      <c r="O12" s="446"/>
      <c r="P12" s="1494" t="s">
        <v>81</v>
      </c>
      <c r="Q12" s="446" t="s">
        <v>82</v>
      </c>
    </row>
    <row r="13" spans="1:18" x14ac:dyDescent="0.25">
      <c r="A13" s="479">
        <f t="shared" si="0"/>
        <v>7</v>
      </c>
      <c r="B13" s="450" t="s">
        <v>4</v>
      </c>
      <c r="C13" s="447"/>
      <c r="D13" s="448">
        <f>+'Rates in detail'!D13</f>
        <v>1.0291799999999995</v>
      </c>
      <c r="E13" s="1060">
        <f>+'Rates in detail'!I13-'Rates in detail'!E13</f>
        <v>-2.0650000000000002E-2</v>
      </c>
      <c r="F13" s="448">
        <f>+'Rates in detail'!J13+'Rates in detail'!K13-'Rates in detail'!F13-'Rates in detail'!G13</f>
        <v>-3.9999999999999758E-4</v>
      </c>
      <c r="G13" s="1060">
        <f>+D13+E13+F13</f>
        <v>1.0081299999999995</v>
      </c>
      <c r="H13" s="1060">
        <f>+'Rates in detail'!N13-'Rates in detail'!M13</f>
        <v>7.1990000000000012E-2</v>
      </c>
      <c r="I13" s="448"/>
      <c r="J13" s="448"/>
      <c r="K13" s="448"/>
      <c r="L13" s="448"/>
      <c r="M13" s="448"/>
      <c r="N13" s="448"/>
      <c r="O13" s="448"/>
      <c r="P13" s="1495">
        <f>'Rates in detail'!U13</f>
        <v>0</v>
      </c>
      <c r="Q13" s="448">
        <f>+G13+H13+P13</f>
        <v>1.0801199999999995</v>
      </c>
      <c r="R13" s="541"/>
    </row>
    <row r="14" spans="1:18" x14ac:dyDescent="0.25">
      <c r="A14" s="479">
        <f t="shared" si="0"/>
        <v>8</v>
      </c>
      <c r="B14" s="450" t="s">
        <v>5</v>
      </c>
      <c r="C14" s="447"/>
      <c r="D14" s="448">
        <f>+'Rates in detail'!D14</f>
        <v>1.0187299999999995</v>
      </c>
      <c r="E14" s="1060">
        <f>+'Rates in detail'!I14-'Rates in detail'!E14</f>
        <v>-2.0650000000000002E-2</v>
      </c>
      <c r="F14" s="448">
        <f>+'Rates in detail'!J14+'Rates in detail'!K14-'Rates in detail'!F14-'Rates in detail'!G14</f>
        <v>-3.9999999999999758E-4</v>
      </c>
      <c r="G14" s="448">
        <f t="shared" ref="G14:G66" si="1">+D14+E14+F14</f>
        <v>0.99767999999999946</v>
      </c>
      <c r="H14" s="448">
        <f>+'Rates in detail'!N14-'Rates in detail'!M14</f>
        <v>6.8920000000000009E-2</v>
      </c>
      <c r="I14" s="448"/>
      <c r="J14" s="448"/>
      <c r="K14" s="448"/>
      <c r="L14" s="448"/>
      <c r="M14" s="448"/>
      <c r="N14" s="448"/>
      <c r="O14" s="448"/>
      <c r="P14" s="1495">
        <f>'Rates in detail'!U14</f>
        <v>0</v>
      </c>
      <c r="Q14" s="448">
        <f t="shared" ref="Q14:Q44" si="2">+G14+H14+P14</f>
        <v>1.0665999999999995</v>
      </c>
      <c r="R14" s="541"/>
    </row>
    <row r="15" spans="1:18" x14ac:dyDescent="0.25">
      <c r="A15" s="479">
        <f t="shared" si="0"/>
        <v>9</v>
      </c>
      <c r="B15" s="450" t="s">
        <v>14</v>
      </c>
      <c r="C15" s="447"/>
      <c r="D15" s="448">
        <f>+'Rates in detail'!D15</f>
        <v>0.73545999999999978</v>
      </c>
      <c r="E15" s="1060">
        <f>+'Rates in detail'!I15-'Rates in detail'!E15</f>
        <v>-2.0650000000000002E-2</v>
      </c>
      <c r="F15" s="448">
        <f>+'Rates in detail'!J15+'Rates in detail'!K15-'Rates in detail'!F15-'Rates in detail'!G15</f>
        <v>-3.9999999999999758E-4</v>
      </c>
      <c r="G15" s="448">
        <f t="shared" si="1"/>
        <v>0.71440999999999977</v>
      </c>
      <c r="H15" s="448">
        <f>+'Rates in detail'!N15-'Rates in detail'!M15</f>
        <v>6.6799999999999984E-2</v>
      </c>
      <c r="I15" s="448"/>
      <c r="J15" s="448"/>
      <c r="K15" s="448"/>
      <c r="L15" s="448"/>
      <c r="M15" s="448"/>
      <c r="N15" s="448"/>
      <c r="O15" s="448"/>
      <c r="P15" s="1495">
        <f>'Rates in detail'!U15</f>
        <v>0</v>
      </c>
      <c r="Q15" s="448">
        <f t="shared" si="2"/>
        <v>0.78120999999999974</v>
      </c>
      <c r="R15" s="541"/>
    </row>
    <row r="16" spans="1:18" x14ac:dyDescent="0.25">
      <c r="A16" s="479">
        <f t="shared" si="0"/>
        <v>10</v>
      </c>
      <c r="B16" s="450" t="s">
        <v>12</v>
      </c>
      <c r="C16" s="447"/>
      <c r="D16" s="448">
        <f>+'Rates in detail'!D16</f>
        <v>0.73534000000000033</v>
      </c>
      <c r="E16" s="1060">
        <f>+'Rates in detail'!I16-'Rates in detail'!E16</f>
        <v>-2.0650000000000002E-2</v>
      </c>
      <c r="F16" s="448">
        <f>+'Rates in detail'!J16+'Rates in detail'!K16-'Rates in detail'!F16-'Rates in detail'!G16</f>
        <v>-3.9999999999999758E-4</v>
      </c>
      <c r="G16" s="448">
        <f t="shared" si="1"/>
        <v>0.71429000000000031</v>
      </c>
      <c r="H16" s="448">
        <f>+'Rates in detail'!N16-'Rates in detail'!M16</f>
        <v>6.5949999999999981E-2</v>
      </c>
      <c r="I16" s="448"/>
      <c r="J16" s="448"/>
      <c r="K16" s="448"/>
      <c r="L16" s="448"/>
      <c r="M16" s="448"/>
      <c r="N16" s="448"/>
      <c r="O16" s="448"/>
      <c r="P16" s="1495">
        <f>'Rates in detail'!U16</f>
        <v>0</v>
      </c>
      <c r="Q16" s="448">
        <f t="shared" si="2"/>
        <v>0.78024000000000027</v>
      </c>
      <c r="R16" s="541"/>
    </row>
    <row r="17" spans="1:18" x14ac:dyDescent="0.25">
      <c r="A17" s="479">
        <f t="shared" si="0"/>
        <v>11</v>
      </c>
      <c r="B17" s="450" t="s">
        <v>13</v>
      </c>
      <c r="C17" s="447"/>
      <c r="D17" s="448">
        <f>+'Rates in detail'!D17</f>
        <v>0.70457999999999954</v>
      </c>
      <c r="E17" s="1060">
        <f>+'Rates in detail'!I17-'Rates in detail'!E17</f>
        <v>-2.0650000000000002E-2</v>
      </c>
      <c r="F17" s="448">
        <f>+'Rates in detail'!J17+'Rates in detail'!K17-'Rates in detail'!F17-'Rates in detail'!G17</f>
        <v>-3.9999999999999758E-4</v>
      </c>
      <c r="G17" s="448">
        <f t="shared" si="1"/>
        <v>0.68352999999999953</v>
      </c>
      <c r="H17" s="448">
        <f>+'Rates in detail'!N17-'Rates in detail'!M17</f>
        <v>5.8729999999999991E-2</v>
      </c>
      <c r="I17" s="448"/>
      <c r="J17" s="448"/>
      <c r="K17" s="448"/>
      <c r="L17" s="448"/>
      <c r="M17" s="448"/>
      <c r="N17" s="448"/>
      <c r="O17" s="448"/>
      <c r="P17" s="1495">
        <f>'Rates in detail'!U17</f>
        <v>0</v>
      </c>
      <c r="Q17" s="448">
        <f t="shared" si="2"/>
        <v>0.74225999999999948</v>
      </c>
      <c r="R17" s="541"/>
    </row>
    <row r="18" spans="1:18" x14ac:dyDescent="0.25">
      <c r="A18" s="479">
        <f t="shared" si="0"/>
        <v>12</v>
      </c>
      <c r="B18" s="510">
        <v>27</v>
      </c>
      <c r="C18" s="455"/>
      <c r="D18" s="448">
        <f>+'Rates in detail'!D18</f>
        <v>0.56221999999999994</v>
      </c>
      <c r="E18" s="1060">
        <f>+'Rates in detail'!I18-'Rates in detail'!E18</f>
        <v>-2.0650000000000002E-2</v>
      </c>
      <c r="F18" s="448">
        <f>+'Rates in detail'!J18+'Rates in detail'!K18-'Rates in detail'!F18-'Rates in detail'!G18</f>
        <v>-3.9999999999999758E-4</v>
      </c>
      <c r="G18" s="448">
        <f t="shared" si="1"/>
        <v>0.54116999999999993</v>
      </c>
      <c r="H18" s="448">
        <f>+'Rates in detail'!N18-'Rates in detail'!M18</f>
        <v>6.4849999999999991E-2</v>
      </c>
      <c r="I18" s="448"/>
      <c r="J18" s="448"/>
      <c r="K18" s="448"/>
      <c r="L18" s="448"/>
      <c r="M18" s="448"/>
      <c r="N18" s="448"/>
      <c r="O18" s="448"/>
      <c r="P18" s="1495">
        <f>'Rates in detail'!U18</f>
        <v>0</v>
      </c>
      <c r="Q18" s="448">
        <f t="shared" si="2"/>
        <v>0.60601999999999989</v>
      </c>
      <c r="R18" s="541"/>
    </row>
    <row r="19" spans="1:18" x14ac:dyDescent="0.25">
      <c r="A19" s="479">
        <f t="shared" si="0"/>
        <v>13</v>
      </c>
      <c r="B19" s="505" t="s">
        <v>857</v>
      </c>
      <c r="C19" s="452" t="s">
        <v>6</v>
      </c>
      <c r="D19" s="454">
        <f>+'Rates in detail'!D19</f>
        <v>0.49926000000000026</v>
      </c>
      <c r="E19" s="1095">
        <f>+'Rates in detail'!I19-'Rates in detail'!E19</f>
        <v>-2.0650000000000002E-2</v>
      </c>
      <c r="F19" s="454">
        <f>+'Rates in detail'!J19+'Rates in detail'!K19-'Rates in detail'!F19-'Rates in detail'!G19</f>
        <v>0</v>
      </c>
      <c r="G19" s="454">
        <f t="shared" si="1"/>
        <v>0.47861000000000026</v>
      </c>
      <c r="H19" s="454">
        <f>+'Rates in detail'!N19-'Rates in detail'!M19</f>
        <v>6.4920000000000005E-2</v>
      </c>
      <c r="I19" s="454"/>
      <c r="J19" s="454"/>
      <c r="K19" s="454"/>
      <c r="L19" s="454"/>
      <c r="M19" s="454"/>
      <c r="N19" s="454"/>
      <c r="O19" s="454"/>
      <c r="P19" s="1484">
        <f>'Rates in detail'!U19</f>
        <v>0</v>
      </c>
      <c r="Q19" s="454">
        <f t="shared" si="2"/>
        <v>0.54353000000000029</v>
      </c>
      <c r="R19" s="541"/>
    </row>
    <row r="20" spans="1:18" x14ac:dyDescent="0.25">
      <c r="A20" s="479">
        <f t="shared" si="0"/>
        <v>14</v>
      </c>
      <c r="B20" s="510"/>
      <c r="C20" s="456" t="s">
        <v>7</v>
      </c>
      <c r="D20" s="448">
        <f>+'Rates in detail'!D20</f>
        <v>0.46017999999999998</v>
      </c>
      <c r="E20" s="1060">
        <f>+'Rates in detail'!I20-'Rates in detail'!E20</f>
        <v>-2.0650000000000002E-2</v>
      </c>
      <c r="F20" s="448">
        <f>+'Rates in detail'!J20+'Rates in detail'!K20-'Rates in detail'!F20-'Rates in detail'!G20</f>
        <v>0</v>
      </c>
      <c r="G20" s="448">
        <f t="shared" si="1"/>
        <v>0.43952999999999998</v>
      </c>
      <c r="H20" s="448">
        <f>+'Rates in detail'!N20-'Rates in detail'!M20</f>
        <v>6.4269999999999994E-2</v>
      </c>
      <c r="I20" s="448"/>
      <c r="J20" s="448"/>
      <c r="K20" s="448"/>
      <c r="L20" s="448"/>
      <c r="M20" s="448"/>
      <c r="N20" s="448"/>
      <c r="O20" s="448"/>
      <c r="P20" s="1495">
        <f>'Rates in detail'!U20</f>
        <v>0</v>
      </c>
      <c r="Q20" s="448">
        <f t="shared" si="2"/>
        <v>0.50380000000000003</v>
      </c>
      <c r="R20" s="541"/>
    </row>
    <row r="21" spans="1:18" x14ac:dyDescent="0.25">
      <c r="A21" s="479">
        <f t="shared" si="0"/>
        <v>15</v>
      </c>
      <c r="B21" s="505" t="s">
        <v>858</v>
      </c>
      <c r="C21" s="452" t="s">
        <v>6</v>
      </c>
      <c r="D21" s="454">
        <f>+'Rates in detail'!D21</f>
        <v>0.51518999999999993</v>
      </c>
      <c r="E21" s="1095">
        <f>+'Rates in detail'!I21-'Rates in detail'!E21</f>
        <v>-2.0650000000000002E-2</v>
      </c>
      <c r="F21" s="454">
        <f>+'Rates in detail'!J21+'Rates in detail'!K21-'Rates in detail'!F21-'Rates in detail'!G21</f>
        <v>0</v>
      </c>
      <c r="G21" s="454">
        <f>+D21+E21+F21</f>
        <v>0.49453999999999992</v>
      </c>
      <c r="H21" s="454">
        <f>+'Rates in detail'!N21-'Rates in detail'!M21</f>
        <v>6.5839999999999996E-2</v>
      </c>
      <c r="I21" s="454"/>
      <c r="J21" s="454"/>
      <c r="K21" s="454"/>
      <c r="L21" s="454"/>
      <c r="M21" s="454"/>
      <c r="N21" s="454"/>
      <c r="O21" s="454"/>
      <c r="P21" s="1484">
        <f>'Rates in detail'!U21</f>
        <v>0</v>
      </c>
      <c r="Q21" s="454">
        <f t="shared" si="2"/>
        <v>0.56037999999999988</v>
      </c>
      <c r="R21" s="541"/>
    </row>
    <row r="22" spans="1:18" x14ac:dyDescent="0.25">
      <c r="A22" s="479">
        <f t="shared" si="0"/>
        <v>16</v>
      </c>
      <c r="B22" s="510"/>
      <c r="C22" s="456" t="s">
        <v>7</v>
      </c>
      <c r="D22" s="448">
        <f>+'Rates in detail'!D22</f>
        <v>0.47625999999999991</v>
      </c>
      <c r="E22" s="1060">
        <f>+'Rates in detail'!I22-'Rates in detail'!E22</f>
        <v>-2.0650000000000002E-2</v>
      </c>
      <c r="F22" s="448">
        <f>+'Rates in detail'!J22+'Rates in detail'!K22-'Rates in detail'!F22-'Rates in detail'!G22</f>
        <v>0</v>
      </c>
      <c r="G22" s="448">
        <f>+D22+E22+F22</f>
        <v>0.4556099999999999</v>
      </c>
      <c r="H22" s="448">
        <f>+'Rates in detail'!N22-'Rates in detail'!M22</f>
        <v>6.5259999999999999E-2</v>
      </c>
      <c r="I22" s="448"/>
      <c r="J22" s="448"/>
      <c r="K22" s="448"/>
      <c r="L22" s="448"/>
      <c r="M22" s="448"/>
      <c r="N22" s="448"/>
      <c r="O22" s="448"/>
      <c r="P22" s="1495">
        <f>'Rates in detail'!U22</f>
        <v>0</v>
      </c>
      <c r="Q22" s="448">
        <f t="shared" si="2"/>
        <v>0.52086999999999994</v>
      </c>
      <c r="R22" s="541"/>
    </row>
    <row r="23" spans="1:18" x14ac:dyDescent="0.25">
      <c r="A23" s="479">
        <f t="shared" si="0"/>
        <v>17</v>
      </c>
      <c r="B23" s="505" t="s">
        <v>161</v>
      </c>
      <c r="C23" s="452" t="s">
        <v>6</v>
      </c>
      <c r="D23" s="454">
        <f>+'Rates in detail'!D23</f>
        <v>0.30018999999999996</v>
      </c>
      <c r="E23" s="1095">
        <f>+'Rates in detail'!I23-'Rates in detail'!E23</f>
        <v>0</v>
      </c>
      <c r="F23" s="454">
        <f>+'Rates in detail'!J23+'Rates in detail'!K23-'Rates in detail'!F23-'Rates in detail'!G23</f>
        <v>0</v>
      </c>
      <c r="G23" s="454">
        <f t="shared" si="1"/>
        <v>0.30018999999999996</v>
      </c>
      <c r="H23" s="454">
        <f>+'Rates in detail'!N23-'Rates in detail'!M23</f>
        <v>9.0000000000000019E-5</v>
      </c>
      <c r="I23" s="454"/>
      <c r="J23" s="454"/>
      <c r="K23" s="454"/>
      <c r="L23" s="454"/>
      <c r="M23" s="454"/>
      <c r="N23" s="454"/>
      <c r="O23" s="454"/>
      <c r="P23" s="1484">
        <f>'Rates in detail'!U23</f>
        <v>0</v>
      </c>
      <c r="Q23" s="454">
        <f t="shared" si="2"/>
        <v>0.30027999999999994</v>
      </c>
      <c r="R23" s="541"/>
    </row>
    <row r="24" spans="1:18" x14ac:dyDescent="0.25">
      <c r="A24" s="479">
        <f t="shared" si="0"/>
        <v>18</v>
      </c>
      <c r="B24" s="510"/>
      <c r="C24" s="456" t="s">
        <v>7</v>
      </c>
      <c r="D24" s="448">
        <f>+'Rates in detail'!D24</f>
        <v>0.26449</v>
      </c>
      <c r="E24" s="1060">
        <f>+'Rates in detail'!I24-'Rates in detail'!E24</f>
        <v>0</v>
      </c>
      <c r="F24" s="448">
        <f>+'Rates in detail'!J24+'Rates in detail'!K24-'Rates in detail'!F24-'Rates in detail'!G24</f>
        <v>0</v>
      </c>
      <c r="G24" s="448">
        <f t="shared" si="1"/>
        <v>0.26449</v>
      </c>
      <c r="H24" s="448">
        <f>+'Rates in detail'!N24-'Rates in detail'!M24</f>
        <v>8.0000000000000047E-5</v>
      </c>
      <c r="I24" s="448"/>
      <c r="J24" s="448"/>
      <c r="K24" s="448"/>
      <c r="L24" s="448"/>
      <c r="M24" s="448"/>
      <c r="N24" s="448"/>
      <c r="O24" s="448"/>
      <c r="P24" s="1495">
        <f>'Rates in detail'!U24</f>
        <v>0</v>
      </c>
      <c r="Q24" s="448">
        <f t="shared" si="2"/>
        <v>0.26457000000000003</v>
      </c>
      <c r="R24" s="541"/>
    </row>
    <row r="25" spans="1:18" x14ac:dyDescent="0.25">
      <c r="A25" s="479">
        <f t="shared" si="0"/>
        <v>19</v>
      </c>
      <c r="B25" s="505" t="s">
        <v>859</v>
      </c>
      <c r="C25" s="452" t="s">
        <v>6</v>
      </c>
      <c r="D25" s="454">
        <f>+'Rates in detail'!D25</f>
        <v>0.47592000000000023</v>
      </c>
      <c r="E25" s="1095">
        <f>+'Rates in detail'!I25-'Rates in detail'!E25</f>
        <v>-2.0650000000000002E-2</v>
      </c>
      <c r="F25" s="454">
        <f>+'Rates in detail'!J25+'Rates in detail'!K25-'Rates in detail'!F25-'Rates in detail'!G25</f>
        <v>0</v>
      </c>
      <c r="G25" s="454">
        <f>+D25+E25+F25</f>
        <v>0.45527000000000023</v>
      </c>
      <c r="H25" s="454">
        <f>+'Rates in detail'!N25-'Rates in detail'!M25</f>
        <v>5.8779999999999992E-2</v>
      </c>
      <c r="I25" s="454"/>
      <c r="J25" s="454"/>
      <c r="K25" s="454"/>
      <c r="L25" s="454"/>
      <c r="M25" s="454"/>
      <c r="N25" s="454"/>
      <c r="O25" s="454"/>
      <c r="P25" s="1484">
        <f>'Rates in detail'!U25</f>
        <v>0</v>
      </c>
      <c r="Q25" s="454">
        <f t="shared" si="2"/>
        <v>0.51405000000000023</v>
      </c>
      <c r="R25" s="541"/>
    </row>
    <row r="26" spans="1:18" x14ac:dyDescent="0.25">
      <c r="A26" s="479">
        <f t="shared" si="0"/>
        <v>20</v>
      </c>
      <c r="B26" s="510"/>
      <c r="C26" s="456" t="s">
        <v>7</v>
      </c>
      <c r="D26" s="448">
        <f>+'Rates in detail'!D26</f>
        <v>0.43959999999999988</v>
      </c>
      <c r="E26" s="1060">
        <f>+'Rates in detail'!I26-'Rates in detail'!E26</f>
        <v>-2.0650000000000002E-2</v>
      </c>
      <c r="F26" s="448">
        <f>+'Rates in detail'!J26+'Rates in detail'!K26-'Rates in detail'!F26-'Rates in detail'!G26</f>
        <v>0</v>
      </c>
      <c r="G26" s="448">
        <f>+D26+E26+F26</f>
        <v>0.41894999999999988</v>
      </c>
      <c r="H26" s="448">
        <f>+'Rates in detail'!N26-'Rates in detail'!M26</f>
        <v>5.8879999999999995E-2</v>
      </c>
      <c r="I26" s="448"/>
      <c r="J26" s="448"/>
      <c r="K26" s="448"/>
      <c r="L26" s="448"/>
      <c r="M26" s="448"/>
      <c r="N26" s="448"/>
      <c r="O26" s="448"/>
      <c r="P26" s="1495">
        <f>'Rates in detail'!U26</f>
        <v>0</v>
      </c>
      <c r="Q26" s="448">
        <f t="shared" si="2"/>
        <v>0.47782999999999987</v>
      </c>
      <c r="R26" s="541"/>
    </row>
    <row r="27" spans="1:18" x14ac:dyDescent="0.25">
      <c r="A27" s="479">
        <f t="shared" si="0"/>
        <v>21</v>
      </c>
      <c r="B27" s="505" t="s">
        <v>860</v>
      </c>
      <c r="C27" s="452" t="s">
        <v>6</v>
      </c>
      <c r="D27" s="454">
        <f>+'Rates in detail'!D27</f>
        <v>0.4930000000000001</v>
      </c>
      <c r="E27" s="1095">
        <f>+'Rates in detail'!I27-'Rates in detail'!E27</f>
        <v>-2.0650000000000002E-2</v>
      </c>
      <c r="F27" s="454">
        <f>+'Rates in detail'!J27+'Rates in detail'!K27-'Rates in detail'!F27-'Rates in detail'!G27</f>
        <v>0</v>
      </c>
      <c r="G27" s="454">
        <f t="shared" si="1"/>
        <v>0.4723500000000001</v>
      </c>
      <c r="H27" s="454">
        <f>+'Rates in detail'!N27-'Rates in detail'!M27</f>
        <v>6.0329999999999995E-2</v>
      </c>
      <c r="I27" s="454"/>
      <c r="J27" s="454"/>
      <c r="K27" s="454"/>
      <c r="L27" s="454"/>
      <c r="M27" s="454"/>
      <c r="N27" s="454"/>
      <c r="O27" s="454"/>
      <c r="P27" s="1484">
        <f>'Rates in detail'!U27</f>
        <v>0</v>
      </c>
      <c r="Q27" s="454">
        <f t="shared" si="2"/>
        <v>0.53268000000000004</v>
      </c>
      <c r="R27" s="541"/>
    </row>
    <row r="28" spans="1:18" x14ac:dyDescent="0.25">
      <c r="A28" s="479">
        <f t="shared" si="0"/>
        <v>22</v>
      </c>
      <c r="B28" s="510"/>
      <c r="C28" s="456" t="s">
        <v>7</v>
      </c>
      <c r="D28" s="448">
        <f>+'Rates in detail'!D28</f>
        <v>0.45670999999999995</v>
      </c>
      <c r="E28" s="1060">
        <f>+'Rates in detail'!I28-'Rates in detail'!E28</f>
        <v>-2.0650000000000002E-2</v>
      </c>
      <c r="F28" s="448">
        <f>+'Rates in detail'!J28+'Rates in detail'!K28-'Rates in detail'!F28-'Rates in detail'!G28</f>
        <v>0</v>
      </c>
      <c r="G28" s="448">
        <f t="shared" si="1"/>
        <v>0.43605999999999995</v>
      </c>
      <c r="H28" s="448">
        <f>+'Rates in detail'!N28-'Rates in detail'!M28</f>
        <v>6.0409999999999991E-2</v>
      </c>
      <c r="I28" s="448"/>
      <c r="J28" s="448"/>
      <c r="K28" s="448"/>
      <c r="L28" s="448"/>
      <c r="M28" s="448"/>
      <c r="N28" s="448"/>
      <c r="O28" s="448"/>
      <c r="P28" s="1495">
        <f>'Rates in detail'!U28</f>
        <v>0</v>
      </c>
      <c r="Q28" s="448">
        <f t="shared" si="2"/>
        <v>0.49646999999999997</v>
      </c>
      <c r="R28" s="541"/>
    </row>
    <row r="29" spans="1:18" x14ac:dyDescent="0.25">
      <c r="A29" s="479">
        <f t="shared" si="0"/>
        <v>23</v>
      </c>
      <c r="B29" s="505" t="s">
        <v>163</v>
      </c>
      <c r="C29" s="452" t="s">
        <v>6</v>
      </c>
      <c r="D29" s="454">
        <f>+'Rates in detail'!D29</f>
        <v>0.30433999999999994</v>
      </c>
      <c r="E29" s="1095">
        <f>+'Rates in detail'!I29-'Rates in detail'!E29</f>
        <v>-2.0650000000000002E-2</v>
      </c>
      <c r="F29" s="454">
        <f>+'Rates in detail'!J29+'Rates in detail'!K29-'Rates in detail'!F29-'Rates in detail'!G29</f>
        <v>0</v>
      </c>
      <c r="G29" s="454">
        <f t="shared" si="1"/>
        <v>0.28368999999999994</v>
      </c>
      <c r="H29" s="454">
        <f>+'Rates in detail'!N29-'Rates in detail'!M29</f>
        <v>6.2039999999999991E-2</v>
      </c>
      <c r="I29" s="454"/>
      <c r="J29" s="454"/>
      <c r="K29" s="454"/>
      <c r="L29" s="454"/>
      <c r="M29" s="454"/>
      <c r="N29" s="454"/>
      <c r="O29" s="454"/>
      <c r="P29" s="1484">
        <f>'Rates in detail'!U29</f>
        <v>0</v>
      </c>
      <c r="Q29" s="454">
        <f t="shared" si="2"/>
        <v>0.34572999999999993</v>
      </c>
      <c r="R29" s="541"/>
    </row>
    <row r="30" spans="1:18" x14ac:dyDescent="0.25">
      <c r="A30" s="479">
        <f t="shared" si="0"/>
        <v>24</v>
      </c>
      <c r="B30" s="505"/>
      <c r="C30" s="452" t="s">
        <v>7</v>
      </c>
      <c r="D30" s="454">
        <f>+'Rates in detail'!D30</f>
        <v>0.29029999999999978</v>
      </c>
      <c r="E30" s="1095">
        <f>+'Rates in detail'!I30-'Rates in detail'!E30</f>
        <v>-2.0650000000000002E-2</v>
      </c>
      <c r="F30" s="454">
        <f>+'Rates in detail'!J30+'Rates in detail'!K30-'Rates in detail'!F30-'Rates in detail'!G30</f>
        <v>0</v>
      </c>
      <c r="G30" s="454">
        <f t="shared" si="1"/>
        <v>0.26964999999999978</v>
      </c>
      <c r="H30" s="454">
        <f>+'Rates in detail'!N30-'Rates in detail'!M30</f>
        <v>6.1789999999999998E-2</v>
      </c>
      <c r="I30" s="454"/>
      <c r="J30" s="454"/>
      <c r="K30" s="454"/>
      <c r="L30" s="454"/>
      <c r="M30" s="454"/>
      <c r="N30" s="454"/>
      <c r="O30" s="454"/>
      <c r="P30" s="1484">
        <f>'Rates in detail'!U30</f>
        <v>0</v>
      </c>
      <c r="Q30" s="454">
        <f t="shared" si="2"/>
        <v>0.33143999999999979</v>
      </c>
      <c r="R30" s="541"/>
    </row>
    <row r="31" spans="1:18" x14ac:dyDescent="0.25">
      <c r="A31" s="479">
        <f t="shared" si="0"/>
        <v>25</v>
      </c>
      <c r="B31" s="505"/>
      <c r="C31" s="452" t="s">
        <v>8</v>
      </c>
      <c r="D31" s="454">
        <f>+'Rates in detail'!D31</f>
        <v>0.26236999999999994</v>
      </c>
      <c r="E31" s="1095">
        <f>+'Rates in detail'!I31-'Rates in detail'!E31</f>
        <v>-2.0650000000000002E-2</v>
      </c>
      <c r="F31" s="454">
        <f>+'Rates in detail'!J31+'Rates in detail'!K31-'Rates in detail'!F31-'Rates in detail'!G31</f>
        <v>0</v>
      </c>
      <c r="G31" s="454">
        <f t="shared" si="1"/>
        <v>0.24171999999999993</v>
      </c>
      <c r="H31" s="454">
        <f>+'Rates in detail'!N31-'Rates in detail'!M31</f>
        <v>6.1249999999999992E-2</v>
      </c>
      <c r="I31" s="454"/>
      <c r="J31" s="454"/>
      <c r="K31" s="454"/>
      <c r="L31" s="454"/>
      <c r="M31" s="454"/>
      <c r="N31" s="454"/>
      <c r="O31" s="454"/>
      <c r="P31" s="1484">
        <f>'Rates in detail'!U31</f>
        <v>0</v>
      </c>
      <c r="Q31" s="454">
        <f t="shared" si="2"/>
        <v>0.30296999999999991</v>
      </c>
      <c r="R31" s="541"/>
    </row>
    <row r="32" spans="1:18" x14ac:dyDescent="0.25">
      <c r="A32" s="479">
        <f t="shared" si="0"/>
        <v>26</v>
      </c>
      <c r="B32" s="505"/>
      <c r="C32" s="452" t="s">
        <v>9</v>
      </c>
      <c r="D32" s="454">
        <f>+'Rates in detail'!D32</f>
        <v>0.2439800000000002</v>
      </c>
      <c r="E32" s="1095">
        <f>+'Rates in detail'!I32-'Rates in detail'!E32</f>
        <v>-2.0650000000000002E-2</v>
      </c>
      <c r="F32" s="454">
        <f>+'Rates in detail'!J32+'Rates in detail'!K32-'Rates in detail'!F32-'Rates in detail'!G32</f>
        <v>0</v>
      </c>
      <c r="G32" s="454">
        <f t="shared" si="1"/>
        <v>0.2233300000000002</v>
      </c>
      <c r="H32" s="454">
        <f>+'Rates in detail'!N32-'Rates in detail'!M32</f>
        <v>6.0909999999999992E-2</v>
      </c>
      <c r="I32" s="454"/>
      <c r="J32" s="454"/>
      <c r="K32" s="454"/>
      <c r="L32" s="454"/>
      <c r="M32" s="454"/>
      <c r="N32" s="454"/>
      <c r="O32" s="454"/>
      <c r="P32" s="1484">
        <f>'Rates in detail'!U32</f>
        <v>0</v>
      </c>
      <c r="Q32" s="454">
        <f t="shared" si="2"/>
        <v>0.28424000000000016</v>
      </c>
      <c r="R32" s="541"/>
    </row>
    <row r="33" spans="1:18" x14ac:dyDescent="0.25">
      <c r="A33" s="479">
        <f t="shared" si="0"/>
        <v>27</v>
      </c>
      <c r="B33" s="505"/>
      <c r="C33" s="452" t="s">
        <v>10</v>
      </c>
      <c r="D33" s="454">
        <f>+'Rates in detail'!D33</f>
        <v>0.21944999999999995</v>
      </c>
      <c r="E33" s="1095">
        <f>+'Rates in detail'!I33-'Rates in detail'!E33</f>
        <v>-2.0650000000000002E-2</v>
      </c>
      <c r="F33" s="454">
        <f>+'Rates in detail'!J33+'Rates in detail'!K33-'Rates in detail'!F33-'Rates in detail'!G33</f>
        <v>0</v>
      </c>
      <c r="G33" s="454">
        <f t="shared" si="1"/>
        <v>0.19879999999999995</v>
      </c>
      <c r="H33" s="454">
        <f>+'Rates in detail'!N33-'Rates in detail'!M33</f>
        <v>6.0439999999999994E-2</v>
      </c>
      <c r="I33" s="454"/>
      <c r="J33" s="454"/>
      <c r="K33" s="454"/>
      <c r="L33" s="454"/>
      <c r="M33" s="454"/>
      <c r="N33" s="454"/>
      <c r="O33" s="454"/>
      <c r="P33" s="1484">
        <f>'Rates in detail'!U33</f>
        <v>0</v>
      </c>
      <c r="Q33" s="454">
        <f t="shared" si="2"/>
        <v>0.25923999999999991</v>
      </c>
      <c r="R33" s="541"/>
    </row>
    <row r="34" spans="1:18" x14ac:dyDescent="0.25">
      <c r="A34" s="479">
        <f t="shared" si="0"/>
        <v>28</v>
      </c>
      <c r="B34" s="510"/>
      <c r="C34" s="456" t="s">
        <v>11</v>
      </c>
      <c r="D34" s="448">
        <f>+'Rates in detail'!D34</f>
        <v>0.18881000000000006</v>
      </c>
      <c r="E34" s="1060">
        <f>+'Rates in detail'!I34-'Rates in detail'!E34</f>
        <v>-2.0650000000000002E-2</v>
      </c>
      <c r="F34" s="448">
        <f>+'Rates in detail'!J34+'Rates in detail'!K34-'Rates in detail'!F34-'Rates in detail'!G34</f>
        <v>0</v>
      </c>
      <c r="G34" s="448">
        <f t="shared" si="1"/>
        <v>0.16816000000000006</v>
      </c>
      <c r="H34" s="448">
        <f>+'Rates in detail'!N34-'Rates in detail'!M34</f>
        <v>5.9849999999999993E-2</v>
      </c>
      <c r="I34" s="448"/>
      <c r="J34" s="448"/>
      <c r="K34" s="448"/>
      <c r="L34" s="448"/>
      <c r="M34" s="448"/>
      <c r="N34" s="448"/>
      <c r="O34" s="448"/>
      <c r="P34" s="1495">
        <f>'Rates in detail'!U34</f>
        <v>0</v>
      </c>
      <c r="Q34" s="448">
        <f t="shared" si="2"/>
        <v>0.22801000000000005</v>
      </c>
      <c r="R34" s="541"/>
    </row>
    <row r="35" spans="1:18" x14ac:dyDescent="0.25">
      <c r="A35" s="479">
        <f t="shared" si="0"/>
        <v>29</v>
      </c>
      <c r="B35" s="505" t="s">
        <v>164</v>
      </c>
      <c r="C35" s="452" t="s">
        <v>6</v>
      </c>
      <c r="D35" s="454">
        <f>+'Rates in detail'!D35</f>
        <v>0.29139999999999999</v>
      </c>
      <c r="E35" s="1095">
        <f>+'Rates in detail'!I35-'Rates in detail'!E35</f>
        <v>-2.0650000000000002E-2</v>
      </c>
      <c r="F35" s="454">
        <f>+'Rates in detail'!J35+'Rates in detail'!K35-'Rates in detail'!F35-'Rates in detail'!G35</f>
        <v>0</v>
      </c>
      <c r="G35" s="454">
        <f t="shared" si="1"/>
        <v>0.27074999999999999</v>
      </c>
      <c r="H35" s="454">
        <f>+'Rates in detail'!N35-'Rates in detail'!M35</f>
        <v>5.9159999999999997E-2</v>
      </c>
      <c r="I35" s="454"/>
      <c r="J35" s="454"/>
      <c r="K35" s="454"/>
      <c r="L35" s="454"/>
      <c r="M35" s="454"/>
      <c r="N35" s="454"/>
      <c r="O35" s="454"/>
      <c r="P35" s="1484">
        <f>'Rates in detail'!U35</f>
        <v>0</v>
      </c>
      <c r="Q35" s="454">
        <f t="shared" si="2"/>
        <v>0.32990999999999998</v>
      </c>
      <c r="R35" s="541"/>
    </row>
    <row r="36" spans="1:18" x14ac:dyDescent="0.25">
      <c r="A36" s="479">
        <f t="shared" si="0"/>
        <v>30</v>
      </c>
      <c r="B36" s="505"/>
      <c r="C36" s="452" t="s">
        <v>7</v>
      </c>
      <c r="D36" s="454">
        <f>+'Rates in detail'!D36</f>
        <v>0.27872000000000008</v>
      </c>
      <c r="E36" s="1095">
        <f>+'Rates in detail'!I36-'Rates in detail'!E36</f>
        <v>-2.0650000000000002E-2</v>
      </c>
      <c r="F36" s="454">
        <f>+'Rates in detail'!J36+'Rates in detail'!K36-'Rates in detail'!F36-'Rates in detail'!G36</f>
        <v>0</v>
      </c>
      <c r="G36" s="454">
        <f t="shared" si="1"/>
        <v>0.25807000000000008</v>
      </c>
      <c r="H36" s="454">
        <f>+'Rates in detail'!N36-'Rates in detail'!M36</f>
        <v>5.9199999999999996E-2</v>
      </c>
      <c r="I36" s="454"/>
      <c r="J36" s="454"/>
      <c r="K36" s="454"/>
      <c r="L36" s="454"/>
      <c r="M36" s="454"/>
      <c r="N36" s="454"/>
      <c r="O36" s="454"/>
      <c r="P36" s="1484">
        <f>'Rates in detail'!U36</f>
        <v>0</v>
      </c>
      <c r="Q36" s="454">
        <f t="shared" si="2"/>
        <v>0.31727000000000005</v>
      </c>
      <c r="R36" s="541"/>
    </row>
    <row r="37" spans="1:18" x14ac:dyDescent="0.25">
      <c r="A37" s="479">
        <f t="shared" si="0"/>
        <v>31</v>
      </c>
      <c r="B37" s="505"/>
      <c r="C37" s="452" t="s">
        <v>8</v>
      </c>
      <c r="D37" s="454">
        <f>+'Rates in detail'!D37</f>
        <v>0.25346999999999992</v>
      </c>
      <c r="E37" s="1095">
        <f>+'Rates in detail'!I37-'Rates in detail'!E37</f>
        <v>-2.0650000000000002E-2</v>
      </c>
      <c r="F37" s="454">
        <f>+'Rates in detail'!J37+'Rates in detail'!K37-'Rates in detail'!F37-'Rates in detail'!G37</f>
        <v>0</v>
      </c>
      <c r="G37" s="454">
        <f t="shared" si="1"/>
        <v>0.23281999999999992</v>
      </c>
      <c r="H37" s="454">
        <f>+'Rates in detail'!N37-'Rates in detail'!M37</f>
        <v>5.9269999999999989E-2</v>
      </c>
      <c r="I37" s="454"/>
      <c r="J37" s="454"/>
      <c r="K37" s="454"/>
      <c r="L37" s="454"/>
      <c r="M37" s="454"/>
      <c r="N37" s="454"/>
      <c r="O37" s="454"/>
      <c r="P37" s="1484">
        <f>'Rates in detail'!U37</f>
        <v>0</v>
      </c>
      <c r="Q37" s="454">
        <f t="shared" si="2"/>
        <v>0.29208999999999991</v>
      </c>
      <c r="R37" s="541"/>
    </row>
    <row r="38" spans="1:18" x14ac:dyDescent="0.25">
      <c r="A38" s="479">
        <f t="shared" si="0"/>
        <v>32</v>
      </c>
      <c r="B38" s="505"/>
      <c r="C38" s="452" t="s">
        <v>9</v>
      </c>
      <c r="D38" s="454">
        <f>+'Rates in detail'!D38</f>
        <v>0.23686000000000015</v>
      </c>
      <c r="E38" s="1095">
        <f>+'Rates in detail'!I38-'Rates in detail'!E38</f>
        <v>-2.0650000000000002E-2</v>
      </c>
      <c r="F38" s="454">
        <f>+'Rates in detail'!J38+'Rates in detail'!K38-'Rates in detail'!F38-'Rates in detail'!G38</f>
        <v>0</v>
      </c>
      <c r="G38" s="454">
        <f t="shared" si="1"/>
        <v>0.21621000000000015</v>
      </c>
      <c r="H38" s="454">
        <f>+'Rates in detail'!N38-'Rates in detail'!M38</f>
        <v>5.9319999999999998E-2</v>
      </c>
      <c r="I38" s="454"/>
      <c r="J38" s="454"/>
      <c r="K38" s="454"/>
      <c r="L38" s="454"/>
      <c r="M38" s="454"/>
      <c r="N38" s="454"/>
      <c r="O38" s="454"/>
      <c r="P38" s="1484">
        <f>'Rates in detail'!U38</f>
        <v>0</v>
      </c>
      <c r="Q38" s="454">
        <f t="shared" si="2"/>
        <v>0.27553000000000016</v>
      </c>
      <c r="R38" s="541"/>
    </row>
    <row r="39" spans="1:18" x14ac:dyDescent="0.25">
      <c r="A39" s="479">
        <f t="shared" si="0"/>
        <v>33</v>
      </c>
      <c r="B39" s="505"/>
      <c r="C39" s="452" t="s">
        <v>10</v>
      </c>
      <c r="D39" s="454">
        <f>+'Rates in detail'!D39</f>
        <v>0.2147300000000002</v>
      </c>
      <c r="E39" s="1095">
        <f>+'Rates in detail'!I39-'Rates in detail'!E39</f>
        <v>-2.0650000000000002E-2</v>
      </c>
      <c r="F39" s="454">
        <f>+'Rates in detail'!J39+'Rates in detail'!K39-'Rates in detail'!F39-'Rates in detail'!G39</f>
        <v>0</v>
      </c>
      <c r="G39" s="454">
        <f t="shared" si="1"/>
        <v>0.1940800000000002</v>
      </c>
      <c r="H39" s="454">
        <f>+'Rates in detail'!N39-'Rates in detail'!M39</f>
        <v>5.9379999999999995E-2</v>
      </c>
      <c r="I39" s="454"/>
      <c r="J39" s="454"/>
      <c r="K39" s="454"/>
      <c r="L39" s="454"/>
      <c r="M39" s="454"/>
      <c r="N39" s="454"/>
      <c r="O39" s="454"/>
      <c r="P39" s="1484">
        <f>'Rates in detail'!U39</f>
        <v>0</v>
      </c>
      <c r="Q39" s="454">
        <f t="shared" si="2"/>
        <v>0.25346000000000019</v>
      </c>
      <c r="R39" s="541"/>
    </row>
    <row r="40" spans="1:18" x14ac:dyDescent="0.25">
      <c r="A40" s="479">
        <f t="shared" si="0"/>
        <v>34</v>
      </c>
      <c r="B40" s="510"/>
      <c r="C40" s="456" t="s">
        <v>11</v>
      </c>
      <c r="D40" s="448">
        <f>+'Rates in detail'!D40</f>
        <v>0.18703999999999993</v>
      </c>
      <c r="E40" s="1060">
        <f>+'Rates in detail'!I40-'Rates in detail'!E40</f>
        <v>-2.0650000000000002E-2</v>
      </c>
      <c r="F40" s="448">
        <f>+'Rates in detail'!J40+'Rates in detail'!K40-'Rates in detail'!F40-'Rates in detail'!G40</f>
        <v>0</v>
      </c>
      <c r="G40" s="448">
        <f t="shared" si="1"/>
        <v>0.16638999999999993</v>
      </c>
      <c r="H40" s="448">
        <f>+'Rates in detail'!N40-'Rates in detail'!M40</f>
        <v>5.9449999999999989E-2</v>
      </c>
      <c r="I40" s="448"/>
      <c r="J40" s="448"/>
      <c r="K40" s="448"/>
      <c r="L40" s="448"/>
      <c r="M40" s="448"/>
      <c r="N40" s="448"/>
      <c r="O40" s="448"/>
      <c r="P40" s="1495">
        <f>'Rates in detail'!U40</f>
        <v>0</v>
      </c>
      <c r="Q40" s="448">
        <f t="shared" si="2"/>
        <v>0.22583999999999993</v>
      </c>
      <c r="R40" s="541"/>
    </row>
    <row r="41" spans="1:18" x14ac:dyDescent="0.25">
      <c r="A41" s="479">
        <f t="shared" si="0"/>
        <v>35</v>
      </c>
      <c r="B41" s="505" t="s">
        <v>165</v>
      </c>
      <c r="C41" s="452" t="s">
        <v>6</v>
      </c>
      <c r="D41" s="454">
        <f>+'Rates in detail'!D41</f>
        <v>0.11795</v>
      </c>
      <c r="E41" s="1095">
        <f>+'Rates in detail'!I41-'Rates in detail'!E41</f>
        <v>0</v>
      </c>
      <c r="F41" s="454">
        <f>+'Rates in detail'!J41+'Rates in detail'!K41-'Rates in detail'!F41-'Rates in detail'!G41</f>
        <v>0</v>
      </c>
      <c r="G41" s="454">
        <f t="shared" si="1"/>
        <v>0.11795</v>
      </c>
      <c r="H41" s="454">
        <f>+'Rates in detail'!N41-'Rates in detail'!M41</f>
        <v>9.9999999999999991E-6</v>
      </c>
      <c r="I41" s="454"/>
      <c r="J41" s="454"/>
      <c r="K41" s="454"/>
      <c r="L41" s="454"/>
      <c r="M41" s="454"/>
      <c r="N41" s="454"/>
      <c r="O41" s="454"/>
      <c r="P41" s="1484">
        <f>'Rates in detail'!U41</f>
        <v>0</v>
      </c>
      <c r="Q41" s="454">
        <f t="shared" si="2"/>
        <v>0.11796</v>
      </c>
      <c r="R41" s="541"/>
    </row>
    <row r="42" spans="1:18" x14ac:dyDescent="0.25">
      <c r="A42" s="479">
        <f t="shared" si="0"/>
        <v>36</v>
      </c>
      <c r="B42" s="505"/>
      <c r="C42" s="452" t="s">
        <v>7</v>
      </c>
      <c r="D42" s="454">
        <f>+'Rates in detail'!D42</f>
        <v>0.10557999999999999</v>
      </c>
      <c r="E42" s="1095">
        <f>+'Rates in detail'!I42-'Rates in detail'!E42</f>
        <v>0</v>
      </c>
      <c r="F42" s="454">
        <f>+'Rates in detail'!J42+'Rates in detail'!K42-'Rates in detail'!F42-'Rates in detail'!G42</f>
        <v>0</v>
      </c>
      <c r="G42" s="454">
        <f t="shared" si="1"/>
        <v>0.10557999999999999</v>
      </c>
      <c r="H42" s="454">
        <f>+'Rates in detail'!N42-'Rates in detail'!M42</f>
        <v>9.9999999999999991E-6</v>
      </c>
      <c r="I42" s="454"/>
      <c r="J42" s="454"/>
      <c r="K42" s="454"/>
      <c r="L42" s="454"/>
      <c r="M42" s="454"/>
      <c r="N42" s="454"/>
      <c r="O42" s="454"/>
      <c r="P42" s="1484">
        <f>'Rates in detail'!U42</f>
        <v>0</v>
      </c>
      <c r="Q42" s="454">
        <f t="shared" si="2"/>
        <v>0.10558999999999999</v>
      </c>
      <c r="R42" s="541"/>
    </row>
    <row r="43" spans="1:18" x14ac:dyDescent="0.25">
      <c r="A43" s="479">
        <f t="shared" si="0"/>
        <v>37</v>
      </c>
      <c r="B43" s="505"/>
      <c r="C43" s="452" t="s">
        <v>8</v>
      </c>
      <c r="D43" s="454">
        <f>+'Rates in detail'!D43</f>
        <v>8.0960000000000004E-2</v>
      </c>
      <c r="E43" s="1095">
        <f>+'Rates in detail'!I43-'Rates in detail'!E43</f>
        <v>0</v>
      </c>
      <c r="F43" s="454">
        <f>+'Rates in detail'!J43+'Rates in detail'!K43-'Rates in detail'!F43-'Rates in detail'!G43</f>
        <v>0</v>
      </c>
      <c r="G43" s="454">
        <f t="shared" si="1"/>
        <v>8.0960000000000004E-2</v>
      </c>
      <c r="H43" s="454">
        <f>+'Rates in detail'!N43-'Rates in detail'!M43</f>
        <v>1.0000000000000026E-5</v>
      </c>
      <c r="I43" s="454"/>
      <c r="J43" s="454"/>
      <c r="K43" s="454"/>
      <c r="L43" s="454"/>
      <c r="M43" s="454"/>
      <c r="N43" s="454"/>
      <c r="O43" s="454"/>
      <c r="P43" s="1484">
        <f>'Rates in detail'!U43</f>
        <v>0</v>
      </c>
      <c r="Q43" s="454">
        <f t="shared" si="2"/>
        <v>8.097E-2</v>
      </c>
      <c r="R43" s="541"/>
    </row>
    <row r="44" spans="1:18" x14ac:dyDescent="0.25">
      <c r="A44" s="479">
        <f t="shared" si="0"/>
        <v>38</v>
      </c>
      <c r="B44" s="505"/>
      <c r="C44" s="452" t="s">
        <v>9</v>
      </c>
      <c r="D44" s="454">
        <f>+'Rates in detail'!D44</f>
        <v>6.4769999999999994E-2</v>
      </c>
      <c r="E44" s="1095">
        <f>+'Rates in detail'!I44-'Rates in detail'!E44</f>
        <v>0</v>
      </c>
      <c r="F44" s="454">
        <f>+'Rates in detail'!J44+'Rates in detail'!K44-'Rates in detail'!F44-'Rates in detail'!G44</f>
        <v>0</v>
      </c>
      <c r="G44" s="454">
        <f t="shared" si="1"/>
        <v>6.4769999999999994E-2</v>
      </c>
      <c r="H44" s="454">
        <f>+'Rates in detail'!N44-'Rates in detail'!M44</f>
        <v>9.9999999999999856E-6</v>
      </c>
      <c r="I44" s="454"/>
      <c r="J44" s="454"/>
      <c r="K44" s="454"/>
      <c r="L44" s="454"/>
      <c r="M44" s="454"/>
      <c r="N44" s="454"/>
      <c r="O44" s="454"/>
      <c r="P44" s="1484">
        <f>'Rates in detail'!U44</f>
        <v>0</v>
      </c>
      <c r="Q44" s="454">
        <f t="shared" si="2"/>
        <v>6.477999999999999E-2</v>
      </c>
      <c r="R44" s="541"/>
    </row>
    <row r="45" spans="1:18" x14ac:dyDescent="0.25">
      <c r="A45" s="479">
        <f t="shared" si="0"/>
        <v>39</v>
      </c>
      <c r="B45" s="505"/>
      <c r="C45" s="452" t="s">
        <v>10</v>
      </c>
      <c r="D45" s="454">
        <f>+'Rates in detail'!D45</f>
        <v>4.3180000000000003E-2</v>
      </c>
      <c r="E45" s="1095">
        <f>+'Rates in detail'!I45-'Rates in detail'!E45</f>
        <v>0</v>
      </c>
      <c r="F45" s="454">
        <f>+'Rates in detail'!J45+'Rates in detail'!K45-'Rates in detail'!F45-'Rates in detail'!G45</f>
        <v>0</v>
      </c>
      <c r="G45" s="454">
        <f t="shared" si="1"/>
        <v>4.3180000000000003E-2</v>
      </c>
      <c r="H45" s="454">
        <f>+'Rates in detail'!N45-'Rates in detail'!M45</f>
        <v>9.9999999999999991E-6</v>
      </c>
      <c r="I45" s="454"/>
      <c r="J45" s="454"/>
      <c r="K45" s="454"/>
      <c r="L45" s="454"/>
      <c r="M45" s="454"/>
      <c r="N45" s="454"/>
      <c r="O45" s="454"/>
      <c r="P45" s="1484">
        <f>'Rates in detail'!U45</f>
        <v>0</v>
      </c>
      <c r="Q45" s="454">
        <f t="shared" ref="Q45:Q66" si="3">+G45+H45+P45</f>
        <v>4.3190000000000006E-2</v>
      </c>
      <c r="R45" s="541"/>
    </row>
    <row r="46" spans="1:18" x14ac:dyDescent="0.25">
      <c r="A46" s="479">
        <f t="shared" si="0"/>
        <v>40</v>
      </c>
      <c r="B46" s="510"/>
      <c r="C46" s="456" t="s">
        <v>11</v>
      </c>
      <c r="D46" s="448">
        <f>+'Rates in detail'!D46</f>
        <v>1.619E-2</v>
      </c>
      <c r="E46" s="1060">
        <f>+'Rates in detail'!I46-'Rates in detail'!E46</f>
        <v>0</v>
      </c>
      <c r="F46" s="448">
        <f>+'Rates in detail'!J46+'Rates in detail'!K46-'Rates in detail'!F46-'Rates in detail'!G46</f>
        <v>0</v>
      </c>
      <c r="G46" s="448">
        <f t="shared" si="1"/>
        <v>1.619E-2</v>
      </c>
      <c r="H46" s="448">
        <f>+'Rates in detail'!N46-'Rates in detail'!M46</f>
        <v>0</v>
      </c>
      <c r="I46" s="448"/>
      <c r="J46" s="448"/>
      <c r="K46" s="448"/>
      <c r="L46" s="448"/>
      <c r="M46" s="448"/>
      <c r="N46" s="448"/>
      <c r="O46" s="448"/>
      <c r="P46" s="1495">
        <f>'Rates in detail'!U46</f>
        <v>0</v>
      </c>
      <c r="Q46" s="448">
        <f t="shared" si="3"/>
        <v>1.619E-2</v>
      </c>
      <c r="R46" s="541"/>
    </row>
    <row r="47" spans="1:18" x14ac:dyDescent="0.25">
      <c r="A47" s="479">
        <f t="shared" si="0"/>
        <v>41</v>
      </c>
      <c r="B47" s="505" t="s">
        <v>861</v>
      </c>
      <c r="C47" s="452" t="s">
        <v>6</v>
      </c>
      <c r="D47" s="454">
        <f>+'Rates in detail'!D47</f>
        <v>0.31897999999999999</v>
      </c>
      <c r="E47" s="1095">
        <f>+'Rates in detail'!I47-'Rates in detail'!E47</f>
        <v>-2.0650000000000002E-2</v>
      </c>
      <c r="F47" s="454">
        <f>+'Rates in detail'!J47+'Rates in detail'!K47-'Rates in detail'!F47-'Rates in detail'!G47</f>
        <v>0</v>
      </c>
      <c r="G47" s="454">
        <f t="shared" ref="G47:G52" si="4">+D47+E47+F47</f>
        <v>0.29832999999999998</v>
      </c>
      <c r="H47" s="454">
        <f>+'Rates in detail'!N47-'Rates in detail'!M47</f>
        <v>6.2009999999999996E-2</v>
      </c>
      <c r="I47" s="454"/>
      <c r="J47" s="454"/>
      <c r="K47" s="454"/>
      <c r="L47" s="454"/>
      <c r="M47" s="454"/>
      <c r="N47" s="454"/>
      <c r="O47" s="454"/>
      <c r="P47" s="1484">
        <f>'Rates in detail'!U47</f>
        <v>0</v>
      </c>
      <c r="Q47" s="454">
        <f t="shared" si="3"/>
        <v>0.36033999999999999</v>
      </c>
      <c r="R47" s="541"/>
    </row>
    <row r="48" spans="1:18" x14ac:dyDescent="0.25">
      <c r="A48" s="479">
        <f t="shared" si="0"/>
        <v>42</v>
      </c>
      <c r="B48" s="505"/>
      <c r="C48" s="452" t="s">
        <v>7</v>
      </c>
      <c r="D48" s="454">
        <f>+'Rates in detail'!D48</f>
        <v>0.30522999999999989</v>
      </c>
      <c r="E48" s="1095">
        <f>+'Rates in detail'!I48-'Rates in detail'!E48</f>
        <v>-2.0650000000000002E-2</v>
      </c>
      <c r="F48" s="454">
        <f>+'Rates in detail'!J48+'Rates in detail'!K48-'Rates in detail'!F48-'Rates in detail'!G48</f>
        <v>0</v>
      </c>
      <c r="G48" s="454">
        <f t="shared" si="4"/>
        <v>0.28457999999999989</v>
      </c>
      <c r="H48" s="454">
        <f>+'Rates in detail'!N48-'Rates in detail'!M48</f>
        <v>6.1899999999999997E-2</v>
      </c>
      <c r="I48" s="454"/>
      <c r="J48" s="454"/>
      <c r="K48" s="454"/>
      <c r="L48" s="454"/>
      <c r="M48" s="454"/>
      <c r="N48" s="454"/>
      <c r="O48" s="454"/>
      <c r="P48" s="1484">
        <f>'Rates in detail'!U48</f>
        <v>0</v>
      </c>
      <c r="Q48" s="454">
        <f t="shared" si="3"/>
        <v>0.3464799999999999</v>
      </c>
      <c r="R48" s="541"/>
    </row>
    <row r="49" spans="1:18" x14ac:dyDescent="0.25">
      <c r="A49" s="479">
        <f t="shared" si="0"/>
        <v>43</v>
      </c>
      <c r="B49" s="505"/>
      <c r="C49" s="452" t="s">
        <v>8</v>
      </c>
      <c r="D49" s="454">
        <f>+'Rates in detail'!D49</f>
        <v>0.27787000000000012</v>
      </c>
      <c r="E49" s="1095">
        <f>+'Rates in detail'!I49-'Rates in detail'!E49</f>
        <v>-2.0650000000000002E-2</v>
      </c>
      <c r="F49" s="454">
        <f>+'Rates in detail'!J49+'Rates in detail'!K49-'Rates in detail'!F49-'Rates in detail'!G49</f>
        <v>0</v>
      </c>
      <c r="G49" s="454">
        <f t="shared" si="4"/>
        <v>0.25722000000000012</v>
      </c>
      <c r="H49" s="454">
        <f>+'Rates in detail'!N49-'Rates in detail'!M49</f>
        <v>6.1689999999999995E-2</v>
      </c>
      <c r="I49" s="454"/>
      <c r="J49" s="454"/>
      <c r="K49" s="454"/>
      <c r="L49" s="454"/>
      <c r="M49" s="454"/>
      <c r="N49" s="454"/>
      <c r="O49" s="454"/>
      <c r="P49" s="1484">
        <f>'Rates in detail'!U49</f>
        <v>0</v>
      </c>
      <c r="Q49" s="454">
        <f t="shared" si="3"/>
        <v>0.31891000000000014</v>
      </c>
      <c r="R49" s="541"/>
    </row>
    <row r="50" spans="1:18" x14ac:dyDescent="0.25">
      <c r="A50" s="479">
        <f t="shared" si="0"/>
        <v>44</v>
      </c>
      <c r="B50" s="505"/>
      <c r="C50" s="452" t="s">
        <v>9</v>
      </c>
      <c r="D50" s="454">
        <f>+'Rates in detail'!D50</f>
        <v>0.25987999999999994</v>
      </c>
      <c r="E50" s="1095">
        <f>+'Rates in detail'!I50-'Rates in detail'!E50</f>
        <v>-2.0650000000000002E-2</v>
      </c>
      <c r="F50" s="454">
        <f>+'Rates in detail'!J50+'Rates in detail'!K50-'Rates in detail'!F50-'Rates in detail'!G50</f>
        <v>0</v>
      </c>
      <c r="G50" s="454">
        <f t="shared" si="4"/>
        <v>0.23922999999999994</v>
      </c>
      <c r="H50" s="454">
        <f>+'Rates in detail'!N50-'Rates in detail'!M50</f>
        <v>6.1539999999999997E-2</v>
      </c>
      <c r="I50" s="454"/>
      <c r="J50" s="454"/>
      <c r="K50" s="454"/>
      <c r="L50" s="454"/>
      <c r="M50" s="454"/>
      <c r="N50" s="454"/>
      <c r="O50" s="454"/>
      <c r="P50" s="1484">
        <f>'Rates in detail'!U50</f>
        <v>0</v>
      </c>
      <c r="Q50" s="454">
        <f t="shared" si="3"/>
        <v>0.30076999999999993</v>
      </c>
      <c r="R50" s="541"/>
    </row>
    <row r="51" spans="1:18" x14ac:dyDescent="0.25">
      <c r="A51" s="479">
        <f t="shared" si="0"/>
        <v>45</v>
      </c>
      <c r="B51" s="505"/>
      <c r="C51" s="452" t="s">
        <v>10</v>
      </c>
      <c r="D51" s="454">
        <f>+'Rates in detail'!D51</f>
        <v>0.23588000000000003</v>
      </c>
      <c r="E51" s="1095">
        <f>+'Rates in detail'!I51-'Rates in detail'!E51</f>
        <v>-2.0650000000000002E-2</v>
      </c>
      <c r="F51" s="454">
        <f>+'Rates in detail'!J51+'Rates in detail'!K51-'Rates in detail'!F51-'Rates in detail'!G51</f>
        <v>0</v>
      </c>
      <c r="G51" s="454">
        <f t="shared" si="4"/>
        <v>0.21523000000000003</v>
      </c>
      <c r="H51" s="454">
        <f>+'Rates in detail'!N51-'Rates in detail'!M51</f>
        <v>6.1369999999999994E-2</v>
      </c>
      <c r="I51" s="454"/>
      <c r="J51" s="454"/>
      <c r="K51" s="454"/>
      <c r="L51" s="454"/>
      <c r="M51" s="454"/>
      <c r="N51" s="454"/>
      <c r="O51" s="454"/>
      <c r="P51" s="1484">
        <f>'Rates in detail'!U51</f>
        <v>0</v>
      </c>
      <c r="Q51" s="454">
        <f t="shared" si="3"/>
        <v>0.27660000000000001</v>
      </c>
      <c r="R51" s="541"/>
    </row>
    <row r="52" spans="1:18" x14ac:dyDescent="0.25">
      <c r="A52" s="479">
        <f t="shared" si="0"/>
        <v>46</v>
      </c>
      <c r="B52" s="510"/>
      <c r="C52" s="456" t="s">
        <v>11</v>
      </c>
      <c r="D52" s="448">
        <f>+'Rates in detail'!D52</f>
        <v>0.20589999999999992</v>
      </c>
      <c r="E52" s="1060">
        <f>+'Rates in detail'!I52-'Rates in detail'!E52</f>
        <v>-2.0650000000000002E-2</v>
      </c>
      <c r="F52" s="448">
        <f>+'Rates in detail'!J52+'Rates in detail'!K52-'Rates in detail'!F52-'Rates in detail'!G52</f>
        <v>0</v>
      </c>
      <c r="G52" s="448">
        <f t="shared" si="4"/>
        <v>0.18524999999999991</v>
      </c>
      <c r="H52" s="448">
        <f>+'Rates in detail'!N52-'Rates in detail'!M52</f>
        <v>6.1129999999999997E-2</v>
      </c>
      <c r="I52" s="448"/>
      <c r="J52" s="448"/>
      <c r="K52" s="448"/>
      <c r="L52" s="448"/>
      <c r="M52" s="448"/>
      <c r="N52" s="448"/>
      <c r="O52" s="448"/>
      <c r="P52" s="1495">
        <f>'Rates in detail'!U52</f>
        <v>0</v>
      </c>
      <c r="Q52" s="448">
        <f t="shared" si="3"/>
        <v>0.2463799999999999</v>
      </c>
      <c r="R52" s="541"/>
    </row>
    <row r="53" spans="1:18" x14ac:dyDescent="0.25">
      <c r="A53" s="479">
        <f t="shared" si="0"/>
        <v>47</v>
      </c>
      <c r="B53" s="505" t="s">
        <v>862</v>
      </c>
      <c r="C53" s="452" t="s">
        <v>6</v>
      </c>
      <c r="D53" s="454">
        <f>+'Rates in detail'!D53</f>
        <v>0.30886999999999998</v>
      </c>
      <c r="E53" s="1095">
        <f>+'Rates in detail'!I53-'Rates in detail'!E53</f>
        <v>-2.0650000000000002E-2</v>
      </c>
      <c r="F53" s="454">
        <f>+'Rates in detail'!J53+'Rates in detail'!K53-'Rates in detail'!F53-'Rates in detail'!G53</f>
        <v>0</v>
      </c>
      <c r="G53" s="454">
        <f t="shared" si="1"/>
        <v>0.28821999999999998</v>
      </c>
      <c r="H53" s="454">
        <f>+'Rates in detail'!N53-'Rates in detail'!M53</f>
        <v>6.1059999999999989E-2</v>
      </c>
      <c r="I53" s="454"/>
      <c r="J53" s="454"/>
      <c r="K53" s="454"/>
      <c r="L53" s="454"/>
      <c r="M53" s="454"/>
      <c r="N53" s="454"/>
      <c r="O53" s="454"/>
      <c r="P53" s="1484">
        <f>'Rates in detail'!U53</f>
        <v>0</v>
      </c>
      <c r="Q53" s="454">
        <f t="shared" si="3"/>
        <v>0.34927999999999998</v>
      </c>
      <c r="R53" s="541"/>
    </row>
    <row r="54" spans="1:18" x14ac:dyDescent="0.25">
      <c r="A54" s="479">
        <f t="shared" si="0"/>
        <v>48</v>
      </c>
      <c r="B54" s="505"/>
      <c r="C54" s="452" t="s">
        <v>7</v>
      </c>
      <c r="D54" s="454">
        <f>+'Rates in detail'!D54</f>
        <v>0.29617999999999989</v>
      </c>
      <c r="E54" s="1095">
        <f>+'Rates in detail'!I54-'Rates in detail'!E54</f>
        <v>-2.0650000000000002E-2</v>
      </c>
      <c r="F54" s="454">
        <f>+'Rates in detail'!J54+'Rates in detail'!K54-'Rates in detail'!F54-'Rates in detail'!G54</f>
        <v>0</v>
      </c>
      <c r="G54" s="454">
        <f t="shared" si="1"/>
        <v>0.27552999999999989</v>
      </c>
      <c r="H54" s="454">
        <f>+'Rates in detail'!N54-'Rates in detail'!M54</f>
        <v>6.1060000000000003E-2</v>
      </c>
      <c r="I54" s="454"/>
      <c r="J54" s="454"/>
      <c r="K54" s="454"/>
      <c r="L54" s="454"/>
      <c r="M54" s="454"/>
      <c r="N54" s="454"/>
      <c r="O54" s="454"/>
      <c r="P54" s="1484">
        <f>'Rates in detail'!U54</f>
        <v>0</v>
      </c>
      <c r="Q54" s="454">
        <f t="shared" si="3"/>
        <v>0.33658999999999989</v>
      </c>
      <c r="R54" s="541"/>
    </row>
    <row r="55" spans="1:18" x14ac:dyDescent="0.25">
      <c r="A55" s="479">
        <f t="shared" ref="A55:A74" si="5">+A54+1</f>
        <v>49</v>
      </c>
      <c r="B55" s="505"/>
      <c r="C55" s="452" t="s">
        <v>8</v>
      </c>
      <c r="D55" s="454">
        <f>+'Rates in detail'!D55</f>
        <v>0.27094000000000013</v>
      </c>
      <c r="E55" s="1095">
        <f>+'Rates in detail'!I55-'Rates in detail'!E55</f>
        <v>-2.0650000000000002E-2</v>
      </c>
      <c r="F55" s="454">
        <f>+'Rates in detail'!J55+'Rates in detail'!K55-'Rates in detail'!F55-'Rates in detail'!G55</f>
        <v>0</v>
      </c>
      <c r="G55" s="454">
        <f t="shared" si="1"/>
        <v>0.25029000000000012</v>
      </c>
      <c r="H55" s="454">
        <f>+'Rates in detail'!N55-'Rates in detail'!M55</f>
        <v>6.1039999999999997E-2</v>
      </c>
      <c r="I55" s="454"/>
      <c r="J55" s="454"/>
      <c r="K55" s="454"/>
      <c r="L55" s="454"/>
      <c r="M55" s="454"/>
      <c r="N55" s="454"/>
      <c r="O55" s="454"/>
      <c r="P55" s="1484">
        <f>'Rates in detail'!U55</f>
        <v>0</v>
      </c>
      <c r="Q55" s="454">
        <f t="shared" si="3"/>
        <v>0.31133000000000011</v>
      </c>
      <c r="R55" s="541"/>
    </row>
    <row r="56" spans="1:18" x14ac:dyDescent="0.25">
      <c r="A56" s="479">
        <f t="shared" si="5"/>
        <v>50</v>
      </c>
      <c r="B56" s="505"/>
      <c r="C56" s="452" t="s">
        <v>9</v>
      </c>
      <c r="D56" s="454">
        <f>+'Rates in detail'!D56</f>
        <v>0.25432999999999983</v>
      </c>
      <c r="E56" s="1095">
        <f>+'Rates in detail'!I56-'Rates in detail'!E56</f>
        <v>-2.0650000000000002E-2</v>
      </c>
      <c r="F56" s="454">
        <f>+'Rates in detail'!J56+'Rates in detail'!K56-'Rates in detail'!F56-'Rates in detail'!G56</f>
        <v>0</v>
      </c>
      <c r="G56" s="454">
        <f t="shared" si="1"/>
        <v>0.23367999999999983</v>
      </c>
      <c r="H56" s="454">
        <f>+'Rates in detail'!N56-'Rates in detail'!M56</f>
        <v>6.1019999999999991E-2</v>
      </c>
      <c r="I56" s="454"/>
      <c r="J56" s="454"/>
      <c r="K56" s="454"/>
      <c r="L56" s="454"/>
      <c r="M56" s="454"/>
      <c r="N56" s="454"/>
      <c r="O56" s="454"/>
      <c r="P56" s="1484">
        <f>'Rates in detail'!U56</f>
        <v>0</v>
      </c>
      <c r="Q56" s="454">
        <f t="shared" si="3"/>
        <v>0.29469999999999985</v>
      </c>
      <c r="R56" s="541"/>
    </row>
    <row r="57" spans="1:18" x14ac:dyDescent="0.25">
      <c r="A57" s="479">
        <f t="shared" si="5"/>
        <v>51</v>
      </c>
      <c r="B57" s="505"/>
      <c r="C57" s="452" t="s">
        <v>10</v>
      </c>
      <c r="D57" s="454">
        <f>+'Rates in detail'!D57</f>
        <v>0.23218000000000003</v>
      </c>
      <c r="E57" s="1095">
        <f>+'Rates in detail'!I57-'Rates in detail'!E57</f>
        <v>-2.0650000000000002E-2</v>
      </c>
      <c r="F57" s="454">
        <f>+'Rates in detail'!J57+'Rates in detail'!K57-'Rates in detail'!F57-'Rates in detail'!G57</f>
        <v>0</v>
      </c>
      <c r="G57" s="454">
        <f t="shared" si="1"/>
        <v>0.21153000000000002</v>
      </c>
      <c r="H57" s="454">
        <f>+'Rates in detail'!N57-'Rates in detail'!M57</f>
        <v>6.1009999999999995E-2</v>
      </c>
      <c r="I57" s="454"/>
      <c r="J57" s="454"/>
      <c r="K57" s="454"/>
      <c r="L57" s="454"/>
      <c r="M57" s="454"/>
      <c r="N57" s="454"/>
      <c r="O57" s="454"/>
      <c r="P57" s="1484">
        <f>'Rates in detail'!U57</f>
        <v>0</v>
      </c>
      <c r="Q57" s="454">
        <f t="shared" si="3"/>
        <v>0.27254</v>
      </c>
      <c r="R57" s="541"/>
    </row>
    <row r="58" spans="1:18" x14ac:dyDescent="0.25">
      <c r="A58" s="479">
        <f t="shared" si="5"/>
        <v>52</v>
      </c>
      <c r="B58" s="510"/>
      <c r="C58" s="456" t="s">
        <v>11</v>
      </c>
      <c r="D58" s="448">
        <f>+'Rates in detail'!D58</f>
        <v>0.20451999999999992</v>
      </c>
      <c r="E58" s="1060">
        <f>+'Rates in detail'!I58-'Rates in detail'!E58</f>
        <v>-2.0650000000000002E-2</v>
      </c>
      <c r="F58" s="448">
        <f>+'Rates in detail'!J58+'Rates in detail'!K58-'Rates in detail'!F58-'Rates in detail'!G58</f>
        <v>0</v>
      </c>
      <c r="G58" s="448">
        <f t="shared" si="1"/>
        <v>0.18386999999999992</v>
      </c>
      <c r="H58" s="448">
        <f>+'Rates in detail'!N58-'Rates in detail'!M58</f>
        <v>6.0989999999999996E-2</v>
      </c>
      <c r="I58" s="448"/>
      <c r="J58" s="448"/>
      <c r="K58" s="448"/>
      <c r="L58" s="448"/>
      <c r="M58" s="448"/>
      <c r="N58" s="448"/>
      <c r="O58" s="448"/>
      <c r="P58" s="1495">
        <f>'Rates in detail'!U58</f>
        <v>0</v>
      </c>
      <c r="Q58" s="448">
        <f t="shared" si="3"/>
        <v>0.24485999999999991</v>
      </c>
      <c r="R58" s="541"/>
    </row>
    <row r="59" spans="1:18" x14ac:dyDescent="0.25">
      <c r="A59" s="479">
        <f t="shared" si="5"/>
        <v>53</v>
      </c>
      <c r="B59" s="505" t="s">
        <v>166</v>
      </c>
      <c r="C59" s="452" t="s">
        <v>6</v>
      </c>
      <c r="D59" s="511">
        <f>+'Rates in detail'!D59</f>
        <v>0.11796999999999999</v>
      </c>
      <c r="E59" s="513">
        <f>+'Rates in detail'!I59-'Rates in detail'!E59</f>
        <v>0</v>
      </c>
      <c r="F59" s="511">
        <f>+'Rates in detail'!J59+'Rates in detail'!K59-'Rates in detail'!F59-'Rates in detail'!G59</f>
        <v>0</v>
      </c>
      <c r="G59" s="511">
        <f t="shared" si="1"/>
        <v>0.11796999999999999</v>
      </c>
      <c r="H59" s="511">
        <f>+'Rates in detail'!N59-'Rates in detail'!M59</f>
        <v>9.9999999999999991E-6</v>
      </c>
      <c r="I59" s="511"/>
      <c r="J59" s="511"/>
      <c r="K59" s="511"/>
      <c r="L59" s="511"/>
      <c r="M59" s="511"/>
      <c r="N59" s="511"/>
      <c r="O59" s="511"/>
      <c r="P59" s="1590">
        <f>'Rates in detail'!U59</f>
        <v>0</v>
      </c>
      <c r="Q59" s="511">
        <f t="shared" si="3"/>
        <v>0.11797999999999999</v>
      </c>
      <c r="R59" s="541"/>
    </row>
    <row r="60" spans="1:18" x14ac:dyDescent="0.25">
      <c r="A60" s="479">
        <f t="shared" si="5"/>
        <v>54</v>
      </c>
      <c r="B60" s="505"/>
      <c r="C60" s="452" t="s">
        <v>7</v>
      </c>
      <c r="D60" s="513">
        <f>+'Rates in detail'!D60</f>
        <v>0.1056</v>
      </c>
      <c r="E60" s="513">
        <f>+'Rates in detail'!I60-'Rates in detail'!E60</f>
        <v>0</v>
      </c>
      <c r="F60" s="513">
        <f>+'Rates in detail'!J60+'Rates in detail'!K60-'Rates in detail'!F60-'Rates in detail'!G60</f>
        <v>0</v>
      </c>
      <c r="G60" s="513">
        <f t="shared" si="1"/>
        <v>0.1056</v>
      </c>
      <c r="H60" s="513">
        <f>+'Rates in detail'!N60-'Rates in detail'!M60</f>
        <v>9.9999999999999991E-6</v>
      </c>
      <c r="I60" s="513"/>
      <c r="J60" s="513"/>
      <c r="K60" s="513"/>
      <c r="L60" s="513"/>
      <c r="M60" s="513"/>
      <c r="N60" s="513"/>
      <c r="O60" s="513"/>
      <c r="P60" s="1590">
        <f>'Rates in detail'!U60</f>
        <v>0</v>
      </c>
      <c r="Q60" s="513">
        <f t="shared" si="3"/>
        <v>0.10561</v>
      </c>
      <c r="R60" s="541"/>
    </row>
    <row r="61" spans="1:18" x14ac:dyDescent="0.25">
      <c r="A61" s="479">
        <f t="shared" si="5"/>
        <v>55</v>
      </c>
      <c r="B61" s="505"/>
      <c r="C61" s="452" t="s">
        <v>8</v>
      </c>
      <c r="D61" s="513">
        <f>+'Rates in detail'!D61</f>
        <v>8.0979999999999996E-2</v>
      </c>
      <c r="E61" s="513">
        <f>+'Rates in detail'!I61-'Rates in detail'!E61</f>
        <v>0</v>
      </c>
      <c r="F61" s="513">
        <f>+'Rates in detail'!J61+'Rates in detail'!K61-'Rates in detail'!F61-'Rates in detail'!G61</f>
        <v>0</v>
      </c>
      <c r="G61" s="513">
        <f t="shared" si="1"/>
        <v>8.0979999999999996E-2</v>
      </c>
      <c r="H61" s="513">
        <f>+'Rates in detail'!N61-'Rates in detail'!M61</f>
        <v>0</v>
      </c>
      <c r="I61" s="513"/>
      <c r="J61" s="513"/>
      <c r="K61" s="513"/>
      <c r="L61" s="513"/>
      <c r="M61" s="513"/>
      <c r="N61" s="513"/>
      <c r="O61" s="513"/>
      <c r="P61" s="1590">
        <f>'Rates in detail'!U61</f>
        <v>0</v>
      </c>
      <c r="Q61" s="513">
        <f t="shared" si="3"/>
        <v>8.0979999999999996E-2</v>
      </c>
      <c r="R61" s="541"/>
    </row>
    <row r="62" spans="1:18" x14ac:dyDescent="0.25">
      <c r="A62" s="479">
        <f t="shared" si="5"/>
        <v>56</v>
      </c>
      <c r="B62" s="505"/>
      <c r="C62" s="452" t="s">
        <v>9</v>
      </c>
      <c r="D62" s="513">
        <f>+'Rates in detail'!D62</f>
        <v>6.479E-2</v>
      </c>
      <c r="E62" s="513">
        <f>+'Rates in detail'!I62-'Rates in detail'!E62</f>
        <v>0</v>
      </c>
      <c r="F62" s="513">
        <f>+'Rates in detail'!J62+'Rates in detail'!K62-'Rates in detail'!F62-'Rates in detail'!G62</f>
        <v>0</v>
      </c>
      <c r="G62" s="513">
        <f t="shared" si="1"/>
        <v>6.479E-2</v>
      </c>
      <c r="H62" s="513">
        <f>+'Rates in detail'!N62-'Rates in detail'!M62</f>
        <v>0</v>
      </c>
      <c r="I62" s="513"/>
      <c r="J62" s="513"/>
      <c r="K62" s="513"/>
      <c r="L62" s="513"/>
      <c r="M62" s="513"/>
      <c r="N62" s="513"/>
      <c r="O62" s="513"/>
      <c r="P62" s="1590">
        <f>'Rates in detail'!U62</f>
        <v>0</v>
      </c>
      <c r="Q62" s="513">
        <f t="shared" si="3"/>
        <v>6.479E-2</v>
      </c>
      <c r="R62" s="541"/>
    </row>
    <row r="63" spans="1:18" x14ac:dyDescent="0.25">
      <c r="A63" s="479">
        <f t="shared" si="5"/>
        <v>57</v>
      </c>
      <c r="B63" s="505"/>
      <c r="C63" s="452" t="s">
        <v>10</v>
      </c>
      <c r="D63" s="513">
        <f>+'Rates in detail'!D63</f>
        <v>4.3190000000000006E-2</v>
      </c>
      <c r="E63" s="513">
        <f>+'Rates in detail'!I63-'Rates in detail'!E63</f>
        <v>0</v>
      </c>
      <c r="F63" s="513">
        <f>+'Rates in detail'!J63+'Rates in detail'!K63-'Rates in detail'!F63-'Rates in detail'!G63</f>
        <v>0</v>
      </c>
      <c r="G63" s="513">
        <f t="shared" si="1"/>
        <v>4.3190000000000006E-2</v>
      </c>
      <c r="H63" s="513">
        <f>+'Rates in detail'!N63-'Rates in detail'!M63</f>
        <v>1.0000000000000013E-5</v>
      </c>
      <c r="I63" s="513"/>
      <c r="J63" s="513"/>
      <c r="K63" s="513"/>
      <c r="L63" s="513"/>
      <c r="M63" s="513"/>
      <c r="N63" s="513"/>
      <c r="O63" s="513"/>
      <c r="P63" s="1590">
        <f>'Rates in detail'!U63</f>
        <v>0</v>
      </c>
      <c r="Q63" s="513">
        <f t="shared" si="3"/>
        <v>4.3200000000000009E-2</v>
      </c>
      <c r="R63" s="541"/>
    </row>
    <row r="64" spans="1:18" x14ac:dyDescent="0.25">
      <c r="A64" s="479">
        <f t="shared" si="5"/>
        <v>58</v>
      </c>
      <c r="B64" s="510"/>
      <c r="C64" s="456" t="s">
        <v>11</v>
      </c>
      <c r="D64" s="458">
        <f>+'Rates in detail'!D64</f>
        <v>1.619E-2</v>
      </c>
      <c r="E64" s="458">
        <f>+'Rates in detail'!I64-'Rates in detail'!E64</f>
        <v>0</v>
      </c>
      <c r="F64" s="458">
        <f>+'Rates in detail'!J64+'Rates in detail'!K64-'Rates in detail'!F64-'Rates in detail'!G64</f>
        <v>0</v>
      </c>
      <c r="G64" s="458">
        <f t="shared" si="1"/>
        <v>1.619E-2</v>
      </c>
      <c r="H64" s="458">
        <f>+'Rates in detail'!N64-'Rates in detail'!M64</f>
        <v>0</v>
      </c>
      <c r="I64" s="458"/>
      <c r="J64" s="458"/>
      <c r="K64" s="458"/>
      <c r="L64" s="458"/>
      <c r="M64" s="458"/>
      <c r="N64" s="458"/>
      <c r="O64" s="458"/>
      <c r="P64" s="1497">
        <f>'Rates in detail'!U64</f>
        <v>0</v>
      </c>
      <c r="Q64" s="458">
        <f t="shared" si="3"/>
        <v>1.619E-2</v>
      </c>
      <c r="R64" s="541"/>
    </row>
    <row r="65" spans="1:18" x14ac:dyDescent="0.25">
      <c r="A65" s="479">
        <f t="shared" si="5"/>
        <v>59</v>
      </c>
      <c r="B65" s="510" t="s">
        <v>167</v>
      </c>
      <c r="C65" s="455"/>
      <c r="D65" s="457">
        <f>+'Rates in detail'!D65</f>
        <v>4.9800000000000001E-3</v>
      </c>
      <c r="E65" s="457">
        <f>+'Rates in detail'!I65-'Rates in detail'!E65</f>
        <v>0</v>
      </c>
      <c r="F65" s="457">
        <f>+'Rates in detail'!J65+'Rates in detail'!K65-'Rates in detail'!F65-'Rates in detail'!G65</f>
        <v>0</v>
      </c>
      <c r="G65" s="457">
        <f t="shared" si="1"/>
        <v>4.9800000000000001E-3</v>
      </c>
      <c r="H65" s="457">
        <f>+'Rates in detail'!N65-'Rates in detail'!M65</f>
        <v>0</v>
      </c>
      <c r="I65" s="457"/>
      <c r="J65" s="457"/>
      <c r="K65" s="457"/>
      <c r="L65" s="457"/>
      <c r="M65" s="457"/>
      <c r="N65" s="457"/>
      <c r="O65" s="457"/>
      <c r="P65" s="1496">
        <f>'Rates in detail'!U65</f>
        <v>0</v>
      </c>
      <c r="Q65" s="457">
        <f t="shared" si="3"/>
        <v>4.9800000000000001E-3</v>
      </c>
      <c r="R65" s="541"/>
    </row>
    <row r="66" spans="1:18" x14ac:dyDescent="0.25">
      <c r="A66" s="479">
        <f t="shared" si="5"/>
        <v>60</v>
      </c>
      <c r="B66" s="450" t="s">
        <v>168</v>
      </c>
      <c r="C66" s="447"/>
      <c r="D66" s="458">
        <f>+'Rates in detail'!D66</f>
        <v>4.9800000000000001E-3</v>
      </c>
      <c r="E66" s="458">
        <f>+'Rates in detail'!I66-'Rates in detail'!E66</f>
        <v>0</v>
      </c>
      <c r="F66" s="458">
        <f>+'Rates in detail'!J66+'Rates in detail'!K66-'Rates in detail'!F66-'Rates in detail'!G66</f>
        <v>0</v>
      </c>
      <c r="G66" s="458">
        <f t="shared" si="1"/>
        <v>4.9800000000000001E-3</v>
      </c>
      <c r="H66" s="458">
        <f>+'Rates in detail'!N66-'Rates in detail'!M66</f>
        <v>0</v>
      </c>
      <c r="I66" s="458"/>
      <c r="J66" s="458"/>
      <c r="K66" s="458"/>
      <c r="L66" s="458"/>
      <c r="M66" s="458"/>
      <c r="N66" s="458"/>
      <c r="O66" s="458"/>
      <c r="P66" s="1497">
        <f>'Rates in detail'!U66</f>
        <v>0</v>
      </c>
      <c r="Q66" s="458">
        <f t="shared" si="3"/>
        <v>4.9800000000000001E-3</v>
      </c>
      <c r="R66" s="541"/>
    </row>
    <row r="67" spans="1:18" x14ac:dyDescent="0.25">
      <c r="A67" s="479">
        <f t="shared" si="5"/>
        <v>61</v>
      </c>
      <c r="B67" s="449" t="s">
        <v>217</v>
      </c>
      <c r="C67" s="447"/>
      <c r="D67" s="459"/>
      <c r="E67" s="458"/>
      <c r="F67" s="459"/>
      <c r="G67" s="459"/>
      <c r="H67" s="459"/>
      <c r="I67" s="459"/>
      <c r="J67" s="459"/>
      <c r="K67" s="459"/>
      <c r="L67" s="459"/>
      <c r="M67" s="459"/>
      <c r="N67" s="459"/>
      <c r="O67" s="459"/>
      <c r="P67" s="1497"/>
      <c r="Q67" s="459"/>
      <c r="R67" s="541"/>
    </row>
    <row r="68" spans="1:18" x14ac:dyDescent="0.25">
      <c r="A68" s="479">
        <f t="shared" si="5"/>
        <v>62</v>
      </c>
    </row>
    <row r="69" spans="1:18" ht="13.8" thickBot="1" x14ac:dyDescent="0.3">
      <c r="A69" s="479">
        <f t="shared" si="5"/>
        <v>63</v>
      </c>
      <c r="B69" s="460" t="s">
        <v>171</v>
      </c>
    </row>
    <row r="70" spans="1:18" ht="13.8" thickBot="1" x14ac:dyDescent="0.3">
      <c r="A70" s="479">
        <f t="shared" si="5"/>
        <v>64</v>
      </c>
      <c r="B70" s="539" t="s">
        <v>172</v>
      </c>
      <c r="C70" s="462"/>
      <c r="D70" s="1501" t="s">
        <v>1182</v>
      </c>
      <c r="E70" s="1757"/>
      <c r="F70" s="542"/>
      <c r="G70" s="543"/>
      <c r="H70" s="543"/>
      <c r="I70" s="543"/>
      <c r="J70" s="543"/>
      <c r="K70" s="543"/>
      <c r="L70" s="543"/>
      <c r="M70" s="543"/>
      <c r="N70" s="543"/>
      <c r="O70" s="543"/>
      <c r="P70" s="1591"/>
      <c r="Q70" s="543"/>
    </row>
    <row r="71" spans="1:18" ht="13.8" thickBot="1" x14ac:dyDescent="0.3">
      <c r="A71" s="479">
        <f t="shared" si="5"/>
        <v>65</v>
      </c>
    </row>
    <row r="72" spans="1:18" ht="13.8" thickBot="1" x14ac:dyDescent="0.3">
      <c r="A72" s="479">
        <f t="shared" si="5"/>
        <v>66</v>
      </c>
      <c r="B72" s="539" t="s">
        <v>183</v>
      </c>
      <c r="C72" s="462"/>
      <c r="D72" s="463"/>
      <c r="E72" s="464" t="s">
        <v>847</v>
      </c>
      <c r="F72" s="1123" t="s">
        <v>848</v>
      </c>
      <c r="G72" s="463"/>
      <c r="H72" s="464" t="s">
        <v>849</v>
      </c>
      <c r="I72" s="464"/>
      <c r="J72" s="464"/>
      <c r="K72" s="464"/>
      <c r="L72" s="464"/>
      <c r="M72" s="464"/>
      <c r="N72" s="464"/>
      <c r="O72" s="464"/>
      <c r="P72" s="1592"/>
      <c r="Q72" s="464" t="s">
        <v>1109</v>
      </c>
    </row>
    <row r="73" spans="1:18" x14ac:dyDescent="0.25">
      <c r="A73" s="479">
        <f t="shared" si="5"/>
        <v>67</v>
      </c>
    </row>
    <row r="74" spans="1:18" x14ac:dyDescent="0.25">
      <c r="A74" s="479">
        <f t="shared" si="5"/>
        <v>68</v>
      </c>
      <c r="B74" s="1502" t="s">
        <v>1143</v>
      </c>
      <c r="C74" s="1503"/>
      <c r="D74" s="1503"/>
      <c r="E74" s="1758"/>
      <c r="F74" s="1503"/>
      <c r="G74" s="1503"/>
      <c r="H74" s="1503"/>
      <c r="I74" s="1503"/>
      <c r="J74" s="1503"/>
      <c r="K74" s="1503"/>
      <c r="L74" s="1503"/>
      <c r="M74" s="1503"/>
      <c r="N74" s="1503"/>
      <c r="O74" s="1503"/>
      <c r="P74" s="1593"/>
      <c r="Q74" s="1503"/>
    </row>
    <row r="75" spans="1:18" x14ac:dyDescent="0.25">
      <c r="A75" s="479"/>
      <c r="B75" s="1503"/>
      <c r="C75" s="1503"/>
      <c r="D75" s="1503"/>
      <c r="E75" s="1758"/>
      <c r="F75" s="1503"/>
      <c r="G75" s="1503"/>
      <c r="H75" s="1503"/>
      <c r="I75" s="1503"/>
      <c r="J75" s="1503"/>
      <c r="K75" s="1503"/>
      <c r="L75" s="1503"/>
      <c r="M75" s="1503"/>
      <c r="N75" s="1503"/>
      <c r="O75" s="1503"/>
      <c r="P75" s="1593"/>
      <c r="Q75" s="1503"/>
    </row>
  </sheetData>
  <phoneticPr fontId="2" type="noConversion"/>
  <printOptions horizontalCentered="1"/>
  <pageMargins left="0.5" right="0.5" top="0.5" bottom="0.5" header="0.25" footer="0.25"/>
  <pageSetup scale="57" orientation="landscape" r:id="rId1"/>
  <headerFooter alignWithMargins="0">
    <oddHeader xml:space="preserve">&amp;RUG-181053 NWN Compliance Filing
Advice 19-07 / Work Paper
</oddHeader>
    <oddFooter xml:space="preserve">&amp;C&amp;F &amp;D &amp;T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Q84"/>
  <sheetViews>
    <sheetView showGridLines="0" zoomScaleNormal="100" workbookViewId="0">
      <pane xSplit="3" ySplit="12" topLeftCell="D13" activePane="bottomRight" state="frozen"/>
      <selection activeCell="E2" sqref="E2"/>
      <selection pane="topRight" activeCell="E2" sqref="E2"/>
      <selection pane="bottomLeft" activeCell="E2" sqref="E2"/>
      <selection pane="bottomRight" activeCell="E2" sqref="E2"/>
    </sheetView>
  </sheetViews>
  <sheetFormatPr defaultColWidth="9.33203125" defaultRowHeight="13.2" outlineLevelCol="1" x14ac:dyDescent="0.25"/>
  <cols>
    <col min="1" max="1" width="6.88671875" style="437" customWidth="1"/>
    <col min="2" max="2" width="19" style="436" customWidth="1"/>
    <col min="3" max="3" width="10.33203125" style="436" customWidth="1"/>
    <col min="4" max="8" width="14.88671875" style="436" customWidth="1"/>
    <col min="9" max="9" width="14.88671875" style="1759" customWidth="1"/>
    <col min="10" max="10" width="14.88671875" style="857" customWidth="1"/>
    <col min="11" max="12" width="14.88671875" style="436" customWidth="1"/>
    <col min="13" max="13" width="17.109375" style="436" customWidth="1"/>
    <col min="14" max="14" width="17.6640625" style="436" customWidth="1"/>
    <col min="15" max="20" width="14.88671875" style="436" hidden="1" customWidth="1" outlineLevel="1"/>
    <col min="21" max="21" width="17.109375" style="1585" hidden="1" customWidth="1" outlineLevel="1"/>
    <col min="22" max="22" width="15.88671875" style="436" customWidth="1" collapsed="1"/>
    <col min="23" max="24" width="15.88671875" style="653" customWidth="1"/>
    <col min="25" max="26" width="9.33203125" style="437"/>
    <col min="27" max="27" width="16.44140625" style="437" bestFit="1" customWidth="1"/>
    <col min="28" max="28" width="9.33203125" style="437"/>
    <col min="29" max="29" width="16.88671875" style="1702" customWidth="1"/>
    <col min="30" max="32" width="16.88671875" style="538" customWidth="1"/>
    <col min="33" max="33" width="17.33203125" style="1703" customWidth="1"/>
    <col min="34" max="34" width="12.44140625" style="858" customWidth="1"/>
    <col min="35" max="35" width="17.88671875" style="437" customWidth="1"/>
    <col min="36" max="36" width="5.88671875" style="437" customWidth="1"/>
    <col min="37" max="37" width="15.44140625" style="437" bestFit="1" customWidth="1"/>
    <col min="38" max="38" width="9.33203125" style="437"/>
    <col min="39" max="39" width="13.6640625" style="437" customWidth="1"/>
    <col min="40" max="40" width="10" style="437" bestFit="1" customWidth="1"/>
    <col min="41" max="41" width="12.6640625" style="437" customWidth="1"/>
    <col min="42" max="16384" width="9.33203125" style="437"/>
  </cols>
  <sheetData>
    <row r="1" spans="1:43" x14ac:dyDescent="0.25">
      <c r="A1" s="856" t="str">
        <f>+'Washington volumes'!A1</f>
        <v>NW Natural</v>
      </c>
      <c r="AA1" s="1098" t="s">
        <v>844</v>
      </c>
      <c r="AB1" s="1096"/>
      <c r="AC1" s="1699"/>
      <c r="AD1" s="1700"/>
      <c r="AE1" s="1700"/>
      <c r="AF1" s="1700"/>
      <c r="AG1" s="1701"/>
      <c r="AH1" s="1097"/>
      <c r="AI1" s="1096"/>
      <c r="AJ1" s="1096"/>
      <c r="AK1" s="1096"/>
      <c r="AL1" s="1096"/>
      <c r="AM1" s="1096"/>
    </row>
    <row r="2" spans="1:43" ht="13.8" thickBot="1" x14ac:dyDescent="0.3">
      <c r="A2" s="856" t="str">
        <f>+'Washington volumes'!A2</f>
        <v>Rates &amp; Regulatory Affairs</v>
      </c>
      <c r="G2" s="528"/>
      <c r="H2" s="528"/>
      <c r="I2" s="1760"/>
    </row>
    <row r="3" spans="1:43" ht="13.8" thickBot="1" x14ac:dyDescent="0.3">
      <c r="A3" s="856" t="str">
        <f>+'Washington volumes'!A3</f>
        <v>2019-2020 PGA Filing - Washington: September Filing</v>
      </c>
      <c r="I3" s="1761"/>
      <c r="N3" s="528"/>
      <c r="AC3" s="1704" t="s">
        <v>841</v>
      </c>
      <c r="AD3" s="530"/>
      <c r="AE3" s="530"/>
      <c r="AF3" s="530"/>
      <c r="AG3" s="1705"/>
      <c r="AI3" s="1086" t="s">
        <v>839</v>
      </c>
      <c r="AJ3" s="1086"/>
      <c r="AK3" s="1086"/>
    </row>
    <row r="4" spans="1:43" x14ac:dyDescent="0.25">
      <c r="A4" s="856" t="s">
        <v>191</v>
      </c>
      <c r="H4" s="528"/>
      <c r="I4" s="1760"/>
      <c r="L4" s="528"/>
      <c r="N4" s="528"/>
    </row>
    <row r="5" spans="1:43" x14ac:dyDescent="0.25">
      <c r="H5" s="528"/>
      <c r="I5" s="1762"/>
      <c r="L5" s="1464"/>
      <c r="M5" s="528"/>
      <c r="AI5" s="859" t="s">
        <v>719</v>
      </c>
      <c r="AK5" s="859" t="s">
        <v>720</v>
      </c>
    </row>
    <row r="6" spans="1:43" x14ac:dyDescent="0.25">
      <c r="H6" s="528"/>
      <c r="AI6" s="859" t="s">
        <v>722</v>
      </c>
      <c r="AK6" s="859" t="s">
        <v>721</v>
      </c>
    </row>
    <row r="7" spans="1:43" x14ac:dyDescent="0.25">
      <c r="A7" s="479">
        <v>1</v>
      </c>
      <c r="E7" s="471"/>
      <c r="F7" s="439" t="s">
        <v>30</v>
      </c>
      <c r="G7" s="439" t="s">
        <v>30</v>
      </c>
      <c r="H7" s="444"/>
      <c r="I7" s="1763"/>
      <c r="J7" s="860" t="s">
        <v>36</v>
      </c>
      <c r="K7" s="439" t="s">
        <v>36</v>
      </c>
      <c r="L7" s="439"/>
      <c r="M7" s="439" t="s">
        <v>30</v>
      </c>
      <c r="N7" s="439" t="s">
        <v>36</v>
      </c>
      <c r="O7" s="439"/>
      <c r="P7" s="439"/>
      <c r="Q7" s="439"/>
      <c r="R7" s="439"/>
      <c r="S7" s="439"/>
      <c r="T7" s="439"/>
      <c r="U7" s="1594" t="s">
        <v>36</v>
      </c>
      <c r="V7" s="440">
        <f>+EFFDATE</f>
        <v>43770</v>
      </c>
      <c r="W7" s="1094"/>
      <c r="X7" s="1094"/>
      <c r="AI7" s="859" t="s">
        <v>723</v>
      </c>
    </row>
    <row r="8" spans="1:43" x14ac:dyDescent="0.25">
      <c r="A8" s="479">
        <f>+A7+1</f>
        <v>2</v>
      </c>
      <c r="D8" s="440">
        <f>+'Avg Bill by RS'!H8</f>
        <v>43405</v>
      </c>
      <c r="E8" s="439" t="s">
        <v>30</v>
      </c>
      <c r="F8" s="439" t="s">
        <v>31</v>
      </c>
      <c r="G8" s="439" t="s">
        <v>31</v>
      </c>
      <c r="H8" s="471"/>
      <c r="I8" s="1764" t="s">
        <v>36</v>
      </c>
      <c r="J8" s="861" t="s">
        <v>37</v>
      </c>
      <c r="K8" s="440" t="s">
        <v>37</v>
      </c>
      <c r="L8" s="439"/>
      <c r="M8" s="439" t="s">
        <v>31</v>
      </c>
      <c r="N8" s="440" t="s">
        <v>37</v>
      </c>
      <c r="O8" s="670"/>
      <c r="P8" s="670"/>
      <c r="Q8" s="670"/>
      <c r="R8" s="670"/>
      <c r="S8" s="670"/>
      <c r="T8" s="670"/>
      <c r="U8" s="1595" t="s">
        <v>1157</v>
      </c>
      <c r="V8" s="439" t="s">
        <v>37</v>
      </c>
      <c r="W8" s="654"/>
      <c r="X8" s="654"/>
      <c r="AD8" s="1706"/>
      <c r="AE8" s="1706"/>
      <c r="AF8" s="1706"/>
      <c r="AG8" s="1707"/>
      <c r="AH8" s="863"/>
      <c r="AI8" s="862"/>
      <c r="AJ8" s="862"/>
      <c r="AK8" s="862"/>
      <c r="AM8" s="864"/>
      <c r="AO8" s="1473"/>
      <c r="AP8" s="1474"/>
      <c r="AQ8" s="1474"/>
    </row>
    <row r="9" spans="1:43" x14ac:dyDescent="0.25">
      <c r="A9" s="479">
        <f t="shared" ref="A9:A57" si="0">+A8+1</f>
        <v>3</v>
      </c>
      <c r="D9" s="654" t="s">
        <v>28</v>
      </c>
      <c r="E9" s="439" t="s">
        <v>31</v>
      </c>
      <c r="F9" s="439" t="s">
        <v>33</v>
      </c>
      <c r="G9" s="439" t="s">
        <v>35</v>
      </c>
      <c r="H9" s="439"/>
      <c r="I9" s="1765" t="s">
        <v>37</v>
      </c>
      <c r="J9" s="860" t="s">
        <v>33</v>
      </c>
      <c r="K9" s="439" t="s">
        <v>35</v>
      </c>
      <c r="L9" s="439"/>
      <c r="M9" s="439" t="s">
        <v>56</v>
      </c>
      <c r="N9" s="439" t="s">
        <v>56</v>
      </c>
      <c r="O9" s="671" t="s">
        <v>713</v>
      </c>
      <c r="P9" s="671" t="s">
        <v>713</v>
      </c>
      <c r="Q9" s="671" t="s">
        <v>713</v>
      </c>
      <c r="R9" s="671" t="s">
        <v>713</v>
      </c>
      <c r="S9" s="671" t="s">
        <v>713</v>
      </c>
      <c r="T9" s="671" t="s">
        <v>713</v>
      </c>
      <c r="U9" s="1594" t="s">
        <v>1156</v>
      </c>
      <c r="V9" s="439" t="s">
        <v>219</v>
      </c>
      <c r="W9" s="654"/>
      <c r="X9" s="654"/>
      <c r="AC9" s="1091"/>
      <c r="AD9" s="1708" t="s">
        <v>842</v>
      </c>
      <c r="AE9" s="600"/>
      <c r="AF9" s="1708" t="s">
        <v>56</v>
      </c>
      <c r="AG9" s="1708" t="s">
        <v>28</v>
      </c>
      <c r="AH9" s="1092"/>
      <c r="AI9" s="444"/>
      <c r="AJ9" s="442"/>
      <c r="AK9" s="444"/>
      <c r="AM9" s="864"/>
    </row>
    <row r="10" spans="1:43" s="442" customFormat="1" ht="13.8" thickBot="1" x14ac:dyDescent="0.3">
      <c r="A10" s="479">
        <f t="shared" si="0"/>
        <v>4</v>
      </c>
      <c r="B10" s="1036"/>
      <c r="C10" s="1036"/>
      <c r="D10" s="536" t="s">
        <v>29</v>
      </c>
      <c r="E10" s="536" t="s">
        <v>32</v>
      </c>
      <c r="F10" s="536" t="s">
        <v>34</v>
      </c>
      <c r="G10" s="536" t="s">
        <v>34</v>
      </c>
      <c r="H10" s="536" t="s">
        <v>218</v>
      </c>
      <c r="I10" s="1709" t="s">
        <v>32</v>
      </c>
      <c r="J10" s="865" t="s">
        <v>34</v>
      </c>
      <c r="K10" s="536" t="s">
        <v>34</v>
      </c>
      <c r="L10" s="536" t="s">
        <v>218</v>
      </c>
      <c r="M10" s="536" t="s">
        <v>62</v>
      </c>
      <c r="N10" s="536" t="s">
        <v>62</v>
      </c>
      <c r="O10" s="1037" t="s">
        <v>714</v>
      </c>
      <c r="P10" s="1037" t="s">
        <v>714</v>
      </c>
      <c r="Q10" s="1037" t="s">
        <v>714</v>
      </c>
      <c r="R10" s="1037" t="s">
        <v>714</v>
      </c>
      <c r="S10" s="1037" t="s">
        <v>714</v>
      </c>
      <c r="T10" s="1037" t="s">
        <v>714</v>
      </c>
      <c r="U10" s="1596" t="s">
        <v>29</v>
      </c>
      <c r="V10" s="536" t="s">
        <v>220</v>
      </c>
      <c r="W10" s="600"/>
      <c r="X10" s="600"/>
      <c r="AC10" s="1091" t="s">
        <v>773</v>
      </c>
      <c r="AD10" s="1708" t="s">
        <v>843</v>
      </c>
      <c r="AE10" s="1708" t="s">
        <v>776</v>
      </c>
      <c r="AF10" s="1708" t="s">
        <v>267</v>
      </c>
      <c r="AG10" s="1708" t="s">
        <v>53</v>
      </c>
      <c r="AH10" s="1092"/>
      <c r="AI10" s="444" t="s">
        <v>264</v>
      </c>
      <c r="AK10" s="444" t="s">
        <v>840</v>
      </c>
      <c r="AM10" s="864"/>
      <c r="AO10" s="444"/>
    </row>
    <row r="11" spans="1:43" s="442" customFormat="1" ht="13.8" thickBot="1" x14ac:dyDescent="0.3">
      <c r="A11" s="479">
        <f t="shared" si="0"/>
        <v>5</v>
      </c>
      <c r="B11" s="436"/>
      <c r="C11" s="436"/>
      <c r="D11" s="443"/>
      <c r="E11" s="443"/>
      <c r="F11" s="443"/>
      <c r="G11" s="443"/>
      <c r="H11" s="444" t="s">
        <v>91</v>
      </c>
      <c r="I11" s="1764"/>
      <c r="J11" s="860"/>
      <c r="K11" s="439"/>
      <c r="L11" s="439" t="s">
        <v>92</v>
      </c>
      <c r="M11" s="439"/>
      <c r="N11" s="439"/>
      <c r="O11" s="439"/>
      <c r="P11" s="439"/>
      <c r="Q11" s="439"/>
      <c r="R11" s="439"/>
      <c r="S11" s="439"/>
      <c r="T11" s="439"/>
      <c r="U11" s="1594"/>
      <c r="V11" s="439" t="s">
        <v>1158</v>
      </c>
      <c r="W11" s="654"/>
      <c r="X11" s="654"/>
      <c r="AC11" s="1709"/>
      <c r="AD11" s="1710" t="s">
        <v>53</v>
      </c>
      <c r="AE11" s="1710" t="s">
        <v>53</v>
      </c>
      <c r="AF11" s="1710"/>
      <c r="AG11" s="1707"/>
      <c r="AH11" s="863"/>
      <c r="AI11" s="446" t="s">
        <v>29</v>
      </c>
      <c r="AJ11" s="446"/>
      <c r="AK11" s="446" t="s">
        <v>637</v>
      </c>
      <c r="AO11" s="1473"/>
    </row>
    <row r="12" spans="1:43" s="442" customFormat="1" x14ac:dyDescent="0.25">
      <c r="A12" s="479">
        <f t="shared" si="0"/>
        <v>6</v>
      </c>
      <c r="B12" s="496" t="s">
        <v>2</v>
      </c>
      <c r="C12" s="496" t="s">
        <v>3</v>
      </c>
      <c r="D12" s="446" t="s">
        <v>77</v>
      </c>
      <c r="E12" s="446" t="s">
        <v>78</v>
      </c>
      <c r="F12" s="446" t="s">
        <v>16</v>
      </c>
      <c r="G12" s="446" t="s">
        <v>79</v>
      </c>
      <c r="H12" s="446" t="s">
        <v>80</v>
      </c>
      <c r="I12" s="1766" t="s">
        <v>81</v>
      </c>
      <c r="J12" s="866" t="s">
        <v>82</v>
      </c>
      <c r="K12" s="446" t="s">
        <v>83</v>
      </c>
      <c r="L12" s="446" t="s">
        <v>84</v>
      </c>
      <c r="M12" s="446" t="s">
        <v>85</v>
      </c>
      <c r="N12" s="446" t="s">
        <v>86</v>
      </c>
      <c r="O12" s="446"/>
      <c r="P12" s="446"/>
      <c r="Q12" s="446"/>
      <c r="R12" s="446"/>
      <c r="S12" s="446"/>
      <c r="T12" s="446"/>
      <c r="U12" s="1494" t="s">
        <v>87</v>
      </c>
      <c r="V12" s="446" t="s">
        <v>87</v>
      </c>
      <c r="W12" s="600"/>
      <c r="X12" s="600"/>
      <c r="AA12" s="496" t="s">
        <v>2</v>
      </c>
      <c r="AB12" s="496" t="s">
        <v>3</v>
      </c>
      <c r="AC12" s="1711"/>
      <c r="AD12" s="1712"/>
      <c r="AE12" s="1712"/>
      <c r="AF12" s="1712"/>
      <c r="AG12" s="1713"/>
      <c r="AH12" s="1093" t="s">
        <v>834</v>
      </c>
      <c r="AI12" s="442" t="s">
        <v>1147</v>
      </c>
      <c r="AK12" s="444" t="s">
        <v>638</v>
      </c>
      <c r="AO12" s="1473"/>
    </row>
    <row r="13" spans="1:43" x14ac:dyDescent="0.25">
      <c r="A13" s="479">
        <f t="shared" si="0"/>
        <v>7</v>
      </c>
      <c r="B13" s="450" t="s">
        <v>4</v>
      </c>
      <c r="C13" s="447"/>
      <c r="D13" s="1609">
        <v>1.0291799999999995</v>
      </c>
      <c r="E13" s="1615">
        <v>0.22356000000000001</v>
      </c>
      <c r="F13" s="1615">
        <v>0.1113</v>
      </c>
      <c r="G13" s="1615">
        <v>0</v>
      </c>
      <c r="H13" s="448">
        <f>+D13-SUM(E13:G13)</f>
        <v>0.6943199999999996</v>
      </c>
      <c r="I13" s="1767">
        <f>+Inputs!B16</f>
        <v>0.20291000000000001</v>
      </c>
      <c r="J13" s="867">
        <f>+Inputs!B18</f>
        <v>0.1109</v>
      </c>
      <c r="K13" s="448">
        <v>0</v>
      </c>
      <c r="L13" s="448">
        <f>SUM(H13:K13)</f>
        <v>1.0081299999999995</v>
      </c>
      <c r="M13" s="1060">
        <f>+Temporaries!D13</f>
        <v>9.8399999999999876E-3</v>
      </c>
      <c r="N13" s="1060">
        <f>+Temporaries!AD13</f>
        <v>8.183E-2</v>
      </c>
      <c r="O13" s="448"/>
      <c r="P13" s="448"/>
      <c r="Q13" s="448"/>
      <c r="R13" s="448"/>
      <c r="S13" s="448"/>
      <c r="T13" s="448"/>
      <c r="U13" s="1495">
        <f>'Allocation = % of margin'!AB13</f>
        <v>0</v>
      </c>
      <c r="V13" s="448">
        <f>+L13-M13+N13+U13</f>
        <v>1.0801199999999995</v>
      </c>
      <c r="W13" s="1095"/>
      <c r="X13" s="1095"/>
      <c r="AA13" s="450" t="s">
        <v>4</v>
      </c>
      <c r="AB13" s="450"/>
      <c r="AC13" s="1714">
        <f>+V13-I13-J13-K13-N13</f>
        <v>0.68447999999999953</v>
      </c>
      <c r="AD13" s="1715">
        <f>+J13</f>
        <v>0.1109</v>
      </c>
      <c r="AE13" s="1715">
        <f t="shared" ref="AE13:AE60" si="1">+I13</f>
        <v>0.20291000000000001</v>
      </c>
      <c r="AF13" s="1715">
        <f>+N13</f>
        <v>8.183E-2</v>
      </c>
      <c r="AG13" s="1716">
        <f>+SUM(AC13:AF13)</f>
        <v>1.0801199999999995</v>
      </c>
      <c r="AH13" s="868">
        <f>+AG13-V13</f>
        <v>0</v>
      </c>
      <c r="AI13" s="528">
        <f>+V13-N13</f>
        <v>0.99828999999999957</v>
      </c>
      <c r="AK13" s="869">
        <f>AI13-I13</f>
        <v>0.79537999999999953</v>
      </c>
      <c r="AM13" s="1743"/>
      <c r="AN13" s="1548"/>
      <c r="AO13" s="1744"/>
    </row>
    <row r="14" spans="1:43" x14ac:dyDescent="0.25">
      <c r="A14" s="479">
        <f t="shared" si="0"/>
        <v>8</v>
      </c>
      <c r="B14" s="450" t="s">
        <v>5</v>
      </c>
      <c r="C14" s="447"/>
      <c r="D14" s="1609">
        <v>1.0187299999999995</v>
      </c>
      <c r="E14" s="1060">
        <f>+$E$13</f>
        <v>0.22356000000000001</v>
      </c>
      <c r="F14" s="1060">
        <f>+$F$13</f>
        <v>0.1113</v>
      </c>
      <c r="G14" s="1615">
        <v>0</v>
      </c>
      <c r="H14" s="448">
        <f t="shared" ref="H14:H66" si="2">+D14-SUM(E14:G14)</f>
        <v>0.68386999999999953</v>
      </c>
      <c r="I14" s="1767">
        <f t="shared" ref="I14:I20" si="3">+$I$13</f>
        <v>0.20291000000000001</v>
      </c>
      <c r="J14" s="867">
        <f>+$J$13</f>
        <v>0.1109</v>
      </c>
      <c r="K14" s="448">
        <v>0</v>
      </c>
      <c r="L14" s="448">
        <f t="shared" ref="L14:L66" si="4">SUM(H14:K14)</f>
        <v>0.99767999999999957</v>
      </c>
      <c r="M14" s="448">
        <f>+Temporaries!D14</f>
        <v>-1.9999999999999879E-4</v>
      </c>
      <c r="N14" s="448">
        <f>+Temporaries!AD14</f>
        <v>6.8720000000000003E-2</v>
      </c>
      <c r="O14" s="448"/>
      <c r="P14" s="448"/>
      <c r="Q14" s="448"/>
      <c r="R14" s="448"/>
      <c r="S14" s="448"/>
      <c r="T14" s="448"/>
      <c r="U14" s="1495">
        <f>'Allocation = % of margin'!AB14</f>
        <v>0</v>
      </c>
      <c r="V14" s="448">
        <f t="shared" ref="V14:V66" si="5">+L14-M14+N14+U14</f>
        <v>1.0665999999999995</v>
      </c>
      <c r="W14" s="1095"/>
      <c r="X14" s="1095"/>
      <c r="AA14" s="450" t="s">
        <v>5</v>
      </c>
      <c r="AB14" s="450"/>
      <c r="AC14" s="1714">
        <f t="shared" ref="AC14:AC67" si="6">+V14-I14-J14-K14-N14</f>
        <v>0.68406999999999951</v>
      </c>
      <c r="AD14" s="1715">
        <f t="shared" ref="AD14:AD60" si="7">+J14</f>
        <v>0.1109</v>
      </c>
      <c r="AE14" s="1715">
        <f t="shared" si="1"/>
        <v>0.20291000000000001</v>
      </c>
      <c r="AF14" s="1715">
        <f t="shared" ref="AF14:AF67" si="8">+N14</f>
        <v>6.8720000000000003E-2</v>
      </c>
      <c r="AG14" s="1716">
        <f t="shared" ref="AG14:AG67" si="9">+SUM(AC14:AF14)</f>
        <v>1.0665999999999995</v>
      </c>
      <c r="AH14" s="868">
        <f t="shared" ref="AH14:AH67" si="10">+AG14-V14</f>
        <v>0</v>
      </c>
      <c r="AI14" s="528">
        <f t="shared" ref="AI14:AI67" si="11">+V14-N14</f>
        <v>0.99787999999999955</v>
      </c>
      <c r="AK14" s="869">
        <f t="shared" ref="AK14:AK44" si="12">AI14-I14</f>
        <v>0.79496999999999951</v>
      </c>
      <c r="AM14" s="1743"/>
      <c r="AN14" s="1548"/>
      <c r="AO14" s="1473"/>
    </row>
    <row r="15" spans="1:43" x14ac:dyDescent="0.25">
      <c r="A15" s="479">
        <f t="shared" si="0"/>
        <v>9</v>
      </c>
      <c r="B15" s="450" t="s">
        <v>14</v>
      </c>
      <c r="C15" s="447"/>
      <c r="D15" s="1609">
        <v>0.73545999999999978</v>
      </c>
      <c r="E15" s="1060">
        <f t="shared" ref="E15:E22" si="13">+$E$13</f>
        <v>0.22356000000000001</v>
      </c>
      <c r="F15" s="1060">
        <f>+$F$13</f>
        <v>0.1113</v>
      </c>
      <c r="G15" s="1615">
        <v>0</v>
      </c>
      <c r="H15" s="448">
        <f t="shared" si="2"/>
        <v>0.40059999999999979</v>
      </c>
      <c r="I15" s="1767">
        <f t="shared" si="3"/>
        <v>0.20291000000000001</v>
      </c>
      <c r="J15" s="867">
        <f>+$J$13</f>
        <v>0.1109</v>
      </c>
      <c r="K15" s="448">
        <v>0</v>
      </c>
      <c r="L15" s="448">
        <f t="shared" si="4"/>
        <v>0.71440999999999977</v>
      </c>
      <c r="M15" s="448">
        <f>+Temporaries!D15</f>
        <v>-1.3939999999999994E-2</v>
      </c>
      <c r="N15" s="448">
        <f>+Temporaries!AD15</f>
        <v>5.285999999999999E-2</v>
      </c>
      <c r="O15" s="448"/>
      <c r="P15" s="448"/>
      <c r="Q15" s="448"/>
      <c r="R15" s="448"/>
      <c r="S15" s="448"/>
      <c r="T15" s="448"/>
      <c r="U15" s="1495">
        <f>'Allocation = % of margin'!AB15</f>
        <v>0</v>
      </c>
      <c r="V15" s="448">
        <f t="shared" si="5"/>
        <v>0.78120999999999974</v>
      </c>
      <c r="W15" s="1095"/>
      <c r="X15" s="1095"/>
      <c r="AA15" s="450" t="s">
        <v>14</v>
      </c>
      <c r="AB15" s="450"/>
      <c r="AC15" s="1714">
        <f t="shared" si="6"/>
        <v>0.41453999999999969</v>
      </c>
      <c r="AD15" s="1715">
        <f t="shared" si="7"/>
        <v>0.1109</v>
      </c>
      <c r="AE15" s="1715">
        <f t="shared" si="1"/>
        <v>0.20291000000000001</v>
      </c>
      <c r="AF15" s="1715">
        <f t="shared" si="8"/>
        <v>5.285999999999999E-2</v>
      </c>
      <c r="AG15" s="1716">
        <f t="shared" si="9"/>
        <v>0.78120999999999974</v>
      </c>
      <c r="AH15" s="868">
        <f t="shared" si="10"/>
        <v>0</v>
      </c>
      <c r="AI15" s="528">
        <f t="shared" si="11"/>
        <v>0.72834999999999972</v>
      </c>
      <c r="AK15" s="869">
        <f t="shared" si="12"/>
        <v>0.52543999999999969</v>
      </c>
      <c r="AM15" s="1743"/>
      <c r="AN15" s="1548"/>
      <c r="AO15" s="1473"/>
    </row>
    <row r="16" spans="1:43" x14ac:dyDescent="0.25">
      <c r="A16" s="479">
        <f t="shared" si="0"/>
        <v>10</v>
      </c>
      <c r="B16" s="450" t="s">
        <v>12</v>
      </c>
      <c r="C16" s="447"/>
      <c r="D16" s="1609">
        <v>0.73534000000000033</v>
      </c>
      <c r="E16" s="1060">
        <f t="shared" si="13"/>
        <v>0.22356000000000001</v>
      </c>
      <c r="F16" s="1060">
        <f>+$F$13</f>
        <v>0.1113</v>
      </c>
      <c r="G16" s="1615">
        <v>0</v>
      </c>
      <c r="H16" s="448">
        <f t="shared" si="2"/>
        <v>0.40048000000000034</v>
      </c>
      <c r="I16" s="1767">
        <f t="shared" si="3"/>
        <v>0.20291000000000001</v>
      </c>
      <c r="J16" s="867">
        <f>+$J$13</f>
        <v>0.1109</v>
      </c>
      <c r="K16" s="448">
        <v>0</v>
      </c>
      <c r="L16" s="448">
        <f t="shared" si="4"/>
        <v>0.71429000000000031</v>
      </c>
      <c r="M16" s="448">
        <f>+Temporaries!D16</f>
        <v>-1.8099999999999991E-2</v>
      </c>
      <c r="N16" s="448">
        <f>+Temporaries!AD16</f>
        <v>4.7849999999999997E-2</v>
      </c>
      <c r="O16" s="448"/>
      <c r="P16" s="448"/>
      <c r="Q16" s="448"/>
      <c r="R16" s="448"/>
      <c r="S16" s="448"/>
      <c r="T16" s="448"/>
      <c r="U16" s="1495">
        <f>'Allocation = % of margin'!AB16</f>
        <v>0</v>
      </c>
      <c r="V16" s="448">
        <f t="shared" si="5"/>
        <v>0.78024000000000027</v>
      </c>
      <c r="W16" s="1095"/>
      <c r="X16" s="1095"/>
      <c r="AA16" s="450" t="s">
        <v>12</v>
      </c>
      <c r="AB16" s="450"/>
      <c r="AC16" s="1714">
        <f t="shared" si="6"/>
        <v>0.41858000000000023</v>
      </c>
      <c r="AD16" s="1715">
        <f t="shared" si="7"/>
        <v>0.1109</v>
      </c>
      <c r="AE16" s="1715">
        <f t="shared" si="1"/>
        <v>0.20291000000000001</v>
      </c>
      <c r="AF16" s="1715">
        <f t="shared" si="8"/>
        <v>4.7849999999999997E-2</v>
      </c>
      <c r="AG16" s="1716">
        <f t="shared" si="9"/>
        <v>0.78024000000000016</v>
      </c>
      <c r="AH16" s="868">
        <f t="shared" si="10"/>
        <v>0</v>
      </c>
      <c r="AI16" s="528">
        <f t="shared" si="11"/>
        <v>0.73239000000000032</v>
      </c>
      <c r="AK16" s="869">
        <f t="shared" si="12"/>
        <v>0.52948000000000028</v>
      </c>
      <c r="AM16" s="1743"/>
      <c r="AN16" s="1548"/>
      <c r="AO16" s="1473"/>
    </row>
    <row r="17" spans="1:41" x14ac:dyDescent="0.25">
      <c r="A17" s="479">
        <f t="shared" si="0"/>
        <v>11</v>
      </c>
      <c r="B17" s="450" t="s">
        <v>13</v>
      </c>
      <c r="C17" s="447"/>
      <c r="D17" s="1609">
        <v>0.70457999999999954</v>
      </c>
      <c r="E17" s="1060">
        <f t="shared" si="13"/>
        <v>0.22356000000000001</v>
      </c>
      <c r="F17" s="1060">
        <f>+$F$13</f>
        <v>0.1113</v>
      </c>
      <c r="G17" s="1150"/>
      <c r="H17" s="448">
        <f t="shared" si="2"/>
        <v>0.36971999999999955</v>
      </c>
      <c r="I17" s="1767">
        <f t="shared" si="3"/>
        <v>0.20291000000000001</v>
      </c>
      <c r="J17" s="867">
        <f>+$J$13</f>
        <v>0.1109</v>
      </c>
      <c r="K17" s="448">
        <v>0</v>
      </c>
      <c r="L17" s="448">
        <f t="shared" si="4"/>
        <v>0.68352999999999953</v>
      </c>
      <c r="M17" s="448">
        <f>+Temporaries!D17</f>
        <v>-4.8729999999999996E-2</v>
      </c>
      <c r="N17" s="448">
        <f>+Temporaries!AD17</f>
        <v>9.9999999999999967E-3</v>
      </c>
      <c r="O17" s="448"/>
      <c r="P17" s="448"/>
      <c r="Q17" s="448"/>
      <c r="R17" s="448"/>
      <c r="S17" s="448"/>
      <c r="T17" s="448"/>
      <c r="U17" s="1495">
        <f>'Allocation = % of margin'!AB17</f>
        <v>0</v>
      </c>
      <c r="V17" s="448">
        <f t="shared" si="5"/>
        <v>0.74225999999999948</v>
      </c>
      <c r="W17" s="1095"/>
      <c r="X17" s="1095"/>
      <c r="AA17" s="450" t="s">
        <v>13</v>
      </c>
      <c r="AB17" s="450"/>
      <c r="AC17" s="1714">
        <f t="shared" si="6"/>
        <v>0.41844999999999943</v>
      </c>
      <c r="AD17" s="1715">
        <f t="shared" si="7"/>
        <v>0.1109</v>
      </c>
      <c r="AE17" s="1715">
        <f t="shared" si="1"/>
        <v>0.20291000000000001</v>
      </c>
      <c r="AF17" s="1715">
        <f t="shared" si="8"/>
        <v>9.9999999999999967E-3</v>
      </c>
      <c r="AG17" s="1716">
        <f t="shared" si="9"/>
        <v>0.74225999999999948</v>
      </c>
      <c r="AH17" s="868">
        <f t="shared" si="10"/>
        <v>0</v>
      </c>
      <c r="AI17" s="528">
        <f t="shared" si="11"/>
        <v>0.73225999999999947</v>
      </c>
      <c r="AK17" s="869">
        <f t="shared" si="12"/>
        <v>0.52934999999999943</v>
      </c>
      <c r="AM17" s="1743"/>
      <c r="AN17" s="1548"/>
      <c r="AO17" s="1473"/>
    </row>
    <row r="18" spans="1:41" x14ac:dyDescent="0.25">
      <c r="A18" s="479">
        <f t="shared" si="0"/>
        <v>12</v>
      </c>
      <c r="B18" s="510">
        <v>27</v>
      </c>
      <c r="C18" s="455"/>
      <c r="D18" s="1609">
        <v>0.56221999999999994</v>
      </c>
      <c r="E18" s="1060">
        <f t="shared" si="13"/>
        <v>0.22356000000000001</v>
      </c>
      <c r="F18" s="1060">
        <f>+$F$13</f>
        <v>0.1113</v>
      </c>
      <c r="G18" s="1150"/>
      <c r="H18" s="448">
        <f t="shared" si="2"/>
        <v>0.22735999999999995</v>
      </c>
      <c r="I18" s="1767">
        <f t="shared" si="3"/>
        <v>0.20291000000000001</v>
      </c>
      <c r="J18" s="867">
        <f>+$J$13</f>
        <v>0.1109</v>
      </c>
      <c r="K18" s="448">
        <v>0</v>
      </c>
      <c r="L18" s="448">
        <f t="shared" si="4"/>
        <v>0.54116999999999993</v>
      </c>
      <c r="M18" s="448">
        <f>+Temporaries!D18</f>
        <v>-2.6839999999999999E-2</v>
      </c>
      <c r="N18" s="448">
        <f>+Temporaries!AD18</f>
        <v>3.8009999999999995E-2</v>
      </c>
      <c r="O18" s="448"/>
      <c r="P18" s="448"/>
      <c r="Q18" s="448"/>
      <c r="R18" s="448"/>
      <c r="S18" s="448"/>
      <c r="T18" s="448"/>
      <c r="U18" s="1495">
        <f>'Allocation = % of margin'!AB18</f>
        <v>0</v>
      </c>
      <c r="V18" s="448">
        <f t="shared" si="5"/>
        <v>0.60601999999999989</v>
      </c>
      <c r="W18" s="1095"/>
      <c r="X18" s="1095"/>
      <c r="AA18" s="510">
        <v>27</v>
      </c>
      <c r="AB18" s="510"/>
      <c r="AC18" s="1714">
        <f t="shared" si="6"/>
        <v>0.25419999999999987</v>
      </c>
      <c r="AD18" s="1715">
        <f t="shared" si="7"/>
        <v>0.1109</v>
      </c>
      <c r="AE18" s="1715">
        <f t="shared" si="1"/>
        <v>0.20291000000000001</v>
      </c>
      <c r="AF18" s="1715">
        <f t="shared" si="8"/>
        <v>3.8009999999999995E-2</v>
      </c>
      <c r="AG18" s="1716">
        <f t="shared" si="9"/>
        <v>0.60601999999999989</v>
      </c>
      <c r="AH18" s="868">
        <f t="shared" si="10"/>
        <v>0</v>
      </c>
      <c r="AI18" s="528">
        <f t="shared" si="11"/>
        <v>0.5680099999999999</v>
      </c>
      <c r="AK18" s="869">
        <f t="shared" si="12"/>
        <v>0.36509999999999987</v>
      </c>
      <c r="AM18" s="1743"/>
      <c r="AN18" s="1548"/>
      <c r="AO18" s="1473"/>
    </row>
    <row r="19" spans="1:41" x14ac:dyDescent="0.25">
      <c r="A19" s="479">
        <f t="shared" si="0"/>
        <v>13</v>
      </c>
      <c r="B19" s="505" t="s">
        <v>857</v>
      </c>
      <c r="C19" s="452" t="s">
        <v>6</v>
      </c>
      <c r="D19" s="1611">
        <v>0.49926000000000026</v>
      </c>
      <c r="E19" s="1095">
        <f t="shared" si="13"/>
        <v>0.22356000000000001</v>
      </c>
      <c r="F19" s="1612"/>
      <c r="G19" s="1151"/>
      <c r="H19" s="454">
        <f t="shared" si="2"/>
        <v>0.27570000000000028</v>
      </c>
      <c r="I19" s="1768">
        <f t="shared" si="3"/>
        <v>0.20291000000000001</v>
      </c>
      <c r="J19" s="872"/>
      <c r="K19" s="454"/>
      <c r="L19" s="454">
        <f t="shared" si="4"/>
        <v>0.47861000000000031</v>
      </c>
      <c r="M19" s="454">
        <f>+Temporaries!D19</f>
        <v>-2.5939999999999998E-2</v>
      </c>
      <c r="N19" s="454">
        <f>+Temporaries!AD19</f>
        <v>3.8980000000000001E-2</v>
      </c>
      <c r="O19" s="454"/>
      <c r="P19" s="454"/>
      <c r="Q19" s="454"/>
      <c r="R19" s="454"/>
      <c r="S19" s="454"/>
      <c r="T19" s="454"/>
      <c r="U19" s="1484">
        <f>'Allocation = % of margin'!AB19</f>
        <v>0</v>
      </c>
      <c r="V19" s="454">
        <f t="shared" si="5"/>
        <v>0.54353000000000029</v>
      </c>
      <c r="W19" s="1095"/>
      <c r="X19" s="1095"/>
      <c r="AA19" s="505" t="s">
        <v>160</v>
      </c>
      <c r="AB19" s="871" t="s">
        <v>6</v>
      </c>
      <c r="AC19" s="1714">
        <f t="shared" si="6"/>
        <v>0.30164000000000024</v>
      </c>
      <c r="AD19" s="1715">
        <f t="shared" si="7"/>
        <v>0</v>
      </c>
      <c r="AE19" s="1715">
        <f t="shared" si="1"/>
        <v>0.20291000000000001</v>
      </c>
      <c r="AF19" s="1715">
        <f t="shared" si="8"/>
        <v>3.8980000000000001E-2</v>
      </c>
      <c r="AG19" s="1716">
        <f t="shared" si="9"/>
        <v>0.54353000000000029</v>
      </c>
      <c r="AH19" s="868">
        <f t="shared" si="10"/>
        <v>0</v>
      </c>
      <c r="AI19" s="528">
        <f t="shared" si="11"/>
        <v>0.50455000000000028</v>
      </c>
      <c r="AK19" s="869">
        <f t="shared" si="12"/>
        <v>0.30164000000000024</v>
      </c>
      <c r="AM19" s="1743"/>
      <c r="AN19" s="1548"/>
      <c r="AO19" s="1473"/>
    </row>
    <row r="20" spans="1:41" x14ac:dyDescent="0.25">
      <c r="A20" s="479">
        <f t="shared" si="0"/>
        <v>14</v>
      </c>
      <c r="B20" s="510"/>
      <c r="C20" s="456" t="s">
        <v>7</v>
      </c>
      <c r="D20" s="1609">
        <v>0.46017999999999998</v>
      </c>
      <c r="E20" s="1060">
        <f t="shared" si="13"/>
        <v>0.22356000000000001</v>
      </c>
      <c r="F20" s="1610"/>
      <c r="G20" s="1150"/>
      <c r="H20" s="448">
        <f t="shared" si="2"/>
        <v>0.23661999999999997</v>
      </c>
      <c r="I20" s="1767">
        <f t="shared" si="3"/>
        <v>0.20291000000000001</v>
      </c>
      <c r="J20" s="867"/>
      <c r="K20" s="448"/>
      <c r="L20" s="448">
        <f t="shared" si="4"/>
        <v>0.43952999999999998</v>
      </c>
      <c r="M20" s="448">
        <f>+Temporaries!D20</f>
        <v>-2.9169999999999995E-2</v>
      </c>
      <c r="N20" s="448">
        <f>+Temporaries!AD20</f>
        <v>3.5099999999999999E-2</v>
      </c>
      <c r="O20" s="448"/>
      <c r="P20" s="448"/>
      <c r="Q20" s="448"/>
      <c r="R20" s="448"/>
      <c r="S20" s="448"/>
      <c r="T20" s="448"/>
      <c r="U20" s="1495">
        <f>'Allocation = % of margin'!AB20</f>
        <v>0</v>
      </c>
      <c r="V20" s="448">
        <f t="shared" si="5"/>
        <v>0.50379999999999991</v>
      </c>
      <c r="W20" s="1095"/>
      <c r="X20" s="1095"/>
      <c r="AA20" s="510"/>
      <c r="AB20" s="873" t="s">
        <v>7</v>
      </c>
      <c r="AC20" s="1714">
        <f t="shared" si="6"/>
        <v>0.26578999999999986</v>
      </c>
      <c r="AD20" s="1715">
        <f t="shared" si="7"/>
        <v>0</v>
      </c>
      <c r="AE20" s="1715">
        <f t="shared" si="1"/>
        <v>0.20291000000000001</v>
      </c>
      <c r="AF20" s="1715">
        <f t="shared" si="8"/>
        <v>3.5099999999999999E-2</v>
      </c>
      <c r="AG20" s="1716">
        <f t="shared" si="9"/>
        <v>0.50379999999999991</v>
      </c>
      <c r="AH20" s="868">
        <f t="shared" si="10"/>
        <v>0</v>
      </c>
      <c r="AI20" s="528">
        <f t="shared" si="11"/>
        <v>0.46869999999999989</v>
      </c>
      <c r="AK20" s="869">
        <f t="shared" si="12"/>
        <v>0.26578999999999986</v>
      </c>
      <c r="AM20" s="1743"/>
      <c r="AN20" s="1548"/>
      <c r="AO20" s="1473"/>
    </row>
    <row r="21" spans="1:41" x14ac:dyDescent="0.25">
      <c r="A21" s="479">
        <f t="shared" si="0"/>
        <v>15</v>
      </c>
      <c r="B21" s="505" t="s">
        <v>858</v>
      </c>
      <c r="C21" s="452" t="s">
        <v>6</v>
      </c>
      <c r="D21" s="1611">
        <v>0.51518999999999993</v>
      </c>
      <c r="E21" s="1095">
        <f t="shared" si="13"/>
        <v>0.22356000000000001</v>
      </c>
      <c r="F21" s="1612"/>
      <c r="G21" s="1151"/>
      <c r="H21" s="454">
        <f>+D21-SUM(E21:G21)</f>
        <v>0.29162999999999994</v>
      </c>
      <c r="I21" s="1768">
        <f>+$I$13</f>
        <v>0.20291000000000001</v>
      </c>
      <c r="J21" s="872"/>
      <c r="K21" s="533"/>
      <c r="L21" s="454">
        <f>SUM(H21:K21)</f>
        <v>0.49453999999999998</v>
      </c>
      <c r="M21" s="454">
        <f>+Temporaries!D21</f>
        <v>-9.779999999999997E-3</v>
      </c>
      <c r="N21" s="454">
        <f>+Temporaries!AD21</f>
        <v>5.6059999999999999E-2</v>
      </c>
      <c r="O21" s="454"/>
      <c r="P21" s="454"/>
      <c r="Q21" s="454"/>
      <c r="R21" s="454"/>
      <c r="S21" s="454"/>
      <c r="T21" s="454"/>
      <c r="U21" s="1484">
        <f>'Allocation = % of margin'!AB21</f>
        <v>0</v>
      </c>
      <c r="V21" s="454">
        <f t="shared" si="5"/>
        <v>0.56037999999999999</v>
      </c>
      <c r="W21" s="1095"/>
      <c r="X21" s="1095"/>
      <c r="AA21" s="505" t="s">
        <v>858</v>
      </c>
      <c r="AB21" s="452" t="s">
        <v>6</v>
      </c>
      <c r="AC21" s="1714">
        <f t="shared" si="6"/>
        <v>0.30140999999999996</v>
      </c>
      <c r="AD21" s="1715">
        <f t="shared" si="7"/>
        <v>0</v>
      </c>
      <c r="AE21" s="1715">
        <f t="shared" si="1"/>
        <v>0.20291000000000001</v>
      </c>
      <c r="AF21" s="1715">
        <f t="shared" si="8"/>
        <v>5.6059999999999999E-2</v>
      </c>
      <c r="AG21" s="1716">
        <f t="shared" si="9"/>
        <v>0.56037999999999999</v>
      </c>
      <c r="AH21" s="868">
        <f t="shared" si="10"/>
        <v>0</v>
      </c>
      <c r="AI21" s="528">
        <f t="shared" si="11"/>
        <v>0.50431999999999999</v>
      </c>
      <c r="AK21" s="869">
        <f t="shared" si="12"/>
        <v>0.30140999999999996</v>
      </c>
      <c r="AM21" s="1743"/>
      <c r="AN21" s="1548"/>
      <c r="AO21" s="1473"/>
    </row>
    <row r="22" spans="1:41" x14ac:dyDescent="0.25">
      <c r="A22" s="479">
        <f t="shared" si="0"/>
        <v>16</v>
      </c>
      <c r="B22" s="510"/>
      <c r="C22" s="456" t="s">
        <v>7</v>
      </c>
      <c r="D22" s="1609">
        <v>0.47625999999999991</v>
      </c>
      <c r="E22" s="1060">
        <f t="shared" si="13"/>
        <v>0.22356000000000001</v>
      </c>
      <c r="F22" s="1610"/>
      <c r="G22" s="1150"/>
      <c r="H22" s="448">
        <f>+D22-SUM(E22:G22)</f>
        <v>0.25269999999999992</v>
      </c>
      <c r="I22" s="1767">
        <f>+$I$13</f>
        <v>0.20291000000000001</v>
      </c>
      <c r="J22" s="867"/>
      <c r="K22" s="448"/>
      <c r="L22" s="448">
        <f>SUM(H22:K22)</f>
        <v>0.45560999999999996</v>
      </c>
      <c r="M22" s="448">
        <f>+Temporaries!D22</f>
        <v>-1.286E-2</v>
      </c>
      <c r="N22" s="448">
        <f>+Temporaries!AD22</f>
        <v>5.2400000000000002E-2</v>
      </c>
      <c r="O22" s="448"/>
      <c r="P22" s="448"/>
      <c r="Q22" s="448"/>
      <c r="R22" s="448"/>
      <c r="S22" s="448"/>
      <c r="T22" s="448"/>
      <c r="U22" s="1495">
        <f>'Allocation = % of margin'!AB22</f>
        <v>0</v>
      </c>
      <c r="V22" s="448">
        <f t="shared" si="5"/>
        <v>0.52086999999999994</v>
      </c>
      <c r="W22" s="1095"/>
      <c r="X22" s="1095"/>
      <c r="AA22" s="510"/>
      <c r="AB22" s="456" t="s">
        <v>7</v>
      </c>
      <c r="AC22" s="1714">
        <f t="shared" si="6"/>
        <v>0.26555999999999991</v>
      </c>
      <c r="AD22" s="1715">
        <f t="shared" si="7"/>
        <v>0</v>
      </c>
      <c r="AE22" s="1715">
        <f t="shared" si="1"/>
        <v>0.20291000000000001</v>
      </c>
      <c r="AF22" s="1715">
        <f t="shared" si="8"/>
        <v>5.2400000000000002E-2</v>
      </c>
      <c r="AG22" s="1716">
        <f t="shared" si="9"/>
        <v>0.52086999999999994</v>
      </c>
      <c r="AH22" s="868">
        <f t="shared" si="10"/>
        <v>0</v>
      </c>
      <c r="AI22" s="528">
        <f t="shared" si="11"/>
        <v>0.46846999999999994</v>
      </c>
      <c r="AK22" s="869">
        <f t="shared" si="12"/>
        <v>0.26555999999999991</v>
      </c>
      <c r="AM22" s="1743"/>
      <c r="AN22" s="1548"/>
      <c r="AO22" s="1473"/>
    </row>
    <row r="23" spans="1:41" x14ac:dyDescent="0.25">
      <c r="A23" s="479">
        <f t="shared" si="0"/>
        <v>17</v>
      </c>
      <c r="B23" s="505" t="s">
        <v>161</v>
      </c>
      <c r="C23" s="452" t="s">
        <v>6</v>
      </c>
      <c r="D23" s="1611">
        <v>0.30018999999999996</v>
      </c>
      <c r="E23" s="1095">
        <v>0</v>
      </c>
      <c r="F23" s="1612"/>
      <c r="G23" s="1151"/>
      <c r="H23" s="454">
        <f t="shared" si="2"/>
        <v>0.30018999999999996</v>
      </c>
      <c r="I23" s="1768">
        <v>0</v>
      </c>
      <c r="J23" s="872"/>
      <c r="K23" s="454"/>
      <c r="L23" s="454">
        <f t="shared" si="4"/>
        <v>0.30018999999999996</v>
      </c>
      <c r="M23" s="454">
        <f>+Temporaries!D23</f>
        <v>-5.8E-4</v>
      </c>
      <c r="N23" s="454">
        <f>+Temporaries!AD23</f>
        <v>-4.8999999999999998E-4</v>
      </c>
      <c r="O23" s="454"/>
      <c r="P23" s="454"/>
      <c r="Q23" s="454"/>
      <c r="R23" s="454"/>
      <c r="S23" s="454"/>
      <c r="T23" s="454"/>
      <c r="U23" s="1484">
        <f>'Allocation = % of margin'!AB23</f>
        <v>0</v>
      </c>
      <c r="V23" s="454">
        <f t="shared" si="5"/>
        <v>0.30027999999999999</v>
      </c>
      <c r="W23" s="1095"/>
      <c r="X23" s="1095"/>
      <c r="AA23" s="505" t="s">
        <v>161</v>
      </c>
      <c r="AB23" s="871" t="s">
        <v>6</v>
      </c>
      <c r="AC23" s="1714">
        <f t="shared" si="6"/>
        <v>0.30076999999999998</v>
      </c>
      <c r="AD23" s="1715">
        <f t="shared" si="7"/>
        <v>0</v>
      </c>
      <c r="AE23" s="1715">
        <f t="shared" si="1"/>
        <v>0</v>
      </c>
      <c r="AF23" s="1715">
        <f t="shared" si="8"/>
        <v>-4.8999999999999998E-4</v>
      </c>
      <c r="AG23" s="1716">
        <f t="shared" si="9"/>
        <v>0.30027999999999999</v>
      </c>
      <c r="AH23" s="868">
        <f t="shared" si="10"/>
        <v>0</v>
      </c>
      <c r="AI23" s="528">
        <f t="shared" si="11"/>
        <v>0.30076999999999998</v>
      </c>
      <c r="AK23" s="869">
        <f t="shared" si="12"/>
        <v>0.30076999999999998</v>
      </c>
      <c r="AM23" s="1743"/>
      <c r="AN23" s="1548"/>
      <c r="AO23" s="1473"/>
    </row>
    <row r="24" spans="1:41" x14ac:dyDescent="0.25">
      <c r="A24" s="479">
        <f t="shared" si="0"/>
        <v>18</v>
      </c>
      <c r="B24" s="510"/>
      <c r="C24" s="456" t="s">
        <v>7</v>
      </c>
      <c r="D24" s="1609">
        <v>0.26449</v>
      </c>
      <c r="E24" s="1060">
        <v>0</v>
      </c>
      <c r="F24" s="1610"/>
      <c r="G24" s="1150"/>
      <c r="H24" s="448">
        <f t="shared" si="2"/>
        <v>0.26449</v>
      </c>
      <c r="I24" s="1767">
        <v>0</v>
      </c>
      <c r="J24" s="867"/>
      <c r="K24" s="448"/>
      <c r="L24" s="448">
        <f t="shared" si="4"/>
        <v>0.26449</v>
      </c>
      <c r="M24" s="448">
        <f>+Temporaries!D24</f>
        <v>-5.1000000000000004E-4</v>
      </c>
      <c r="N24" s="448">
        <f>+Temporaries!AD24</f>
        <v>-4.2999999999999999E-4</v>
      </c>
      <c r="O24" s="448"/>
      <c r="P24" s="448"/>
      <c r="Q24" s="448"/>
      <c r="R24" s="448"/>
      <c r="S24" s="448"/>
      <c r="T24" s="448"/>
      <c r="U24" s="1495">
        <f>'Allocation = % of margin'!AB24</f>
        <v>0</v>
      </c>
      <c r="V24" s="448">
        <f t="shared" si="5"/>
        <v>0.26457000000000003</v>
      </c>
      <c r="W24" s="1095"/>
      <c r="X24" s="1095"/>
      <c r="AA24" s="510"/>
      <c r="AB24" s="873" t="s">
        <v>7</v>
      </c>
      <c r="AC24" s="1714">
        <f t="shared" si="6"/>
        <v>0.26500000000000001</v>
      </c>
      <c r="AD24" s="1715">
        <f t="shared" si="7"/>
        <v>0</v>
      </c>
      <c r="AE24" s="1715">
        <f t="shared" si="1"/>
        <v>0</v>
      </c>
      <c r="AF24" s="1715">
        <f t="shared" si="8"/>
        <v>-4.2999999999999999E-4</v>
      </c>
      <c r="AG24" s="1716">
        <f t="shared" si="9"/>
        <v>0.26457000000000003</v>
      </c>
      <c r="AH24" s="868">
        <f t="shared" si="10"/>
        <v>0</v>
      </c>
      <c r="AI24" s="528">
        <f t="shared" si="11"/>
        <v>0.26500000000000001</v>
      </c>
      <c r="AK24" s="869">
        <f t="shared" si="12"/>
        <v>0.26500000000000001</v>
      </c>
      <c r="AM24" s="1743"/>
      <c r="AN24" s="1548"/>
      <c r="AO24" s="1473"/>
    </row>
    <row r="25" spans="1:41" x14ac:dyDescent="0.25">
      <c r="A25" s="479">
        <f t="shared" si="0"/>
        <v>19</v>
      </c>
      <c r="B25" s="505" t="s">
        <v>859</v>
      </c>
      <c r="C25" s="452" t="s">
        <v>6</v>
      </c>
      <c r="D25" s="1611">
        <v>0.47592000000000023</v>
      </c>
      <c r="E25" s="1095">
        <f>+$E$13</f>
        <v>0.22356000000000001</v>
      </c>
      <c r="F25" s="1612"/>
      <c r="G25" s="1151"/>
      <c r="H25" s="454">
        <f>+D25-SUM(E25:G25)</f>
        <v>0.25236000000000025</v>
      </c>
      <c r="I25" s="1768">
        <f>+$I$13</f>
        <v>0.20291000000000001</v>
      </c>
      <c r="J25" s="872"/>
      <c r="K25" s="454"/>
      <c r="L25" s="454">
        <f>SUM(H25:K25)</f>
        <v>0.45527000000000029</v>
      </c>
      <c r="M25" s="454">
        <f>+Temporaries!D25</f>
        <v>-4.9319999999999996E-2</v>
      </c>
      <c r="N25" s="454">
        <f>+Temporaries!AD25</f>
        <v>9.4599999999999962E-3</v>
      </c>
      <c r="O25" s="454"/>
      <c r="P25" s="454"/>
      <c r="Q25" s="454"/>
      <c r="R25" s="454"/>
      <c r="S25" s="454"/>
      <c r="T25" s="454"/>
      <c r="U25" s="1484">
        <f>'Allocation = % of margin'!AB25</f>
        <v>0</v>
      </c>
      <c r="V25" s="454">
        <f t="shared" si="5"/>
        <v>0.51405000000000034</v>
      </c>
      <c r="W25" s="1095"/>
      <c r="X25" s="1095"/>
      <c r="AA25" s="505" t="s">
        <v>859</v>
      </c>
      <c r="AB25" s="871" t="s">
        <v>6</v>
      </c>
      <c r="AC25" s="1714">
        <f t="shared" si="6"/>
        <v>0.30168000000000028</v>
      </c>
      <c r="AD25" s="1715">
        <f t="shared" si="7"/>
        <v>0</v>
      </c>
      <c r="AE25" s="1715">
        <f t="shared" si="1"/>
        <v>0.20291000000000001</v>
      </c>
      <c r="AF25" s="1715">
        <f t="shared" si="8"/>
        <v>9.4599999999999962E-3</v>
      </c>
      <c r="AG25" s="1716">
        <f t="shared" si="9"/>
        <v>0.51405000000000034</v>
      </c>
      <c r="AH25" s="868">
        <f t="shared" si="10"/>
        <v>0</v>
      </c>
      <c r="AI25" s="528">
        <f t="shared" si="11"/>
        <v>0.50459000000000032</v>
      </c>
      <c r="AK25" s="869">
        <f t="shared" si="12"/>
        <v>0.30168000000000028</v>
      </c>
      <c r="AM25" s="1743"/>
      <c r="AN25" s="1548"/>
      <c r="AO25" s="1473"/>
    </row>
    <row r="26" spans="1:41" x14ac:dyDescent="0.25">
      <c r="A26" s="479">
        <f t="shared" si="0"/>
        <v>20</v>
      </c>
      <c r="B26" s="510"/>
      <c r="C26" s="456" t="s">
        <v>7</v>
      </c>
      <c r="D26" s="1609">
        <v>0.43959999999999988</v>
      </c>
      <c r="E26" s="1060">
        <f>+$E$13</f>
        <v>0.22356000000000001</v>
      </c>
      <c r="F26" s="1610"/>
      <c r="G26" s="1150"/>
      <c r="H26" s="448">
        <f>+D26-SUM(E26:G26)</f>
        <v>0.21603999999999987</v>
      </c>
      <c r="I26" s="1767">
        <f>+$I$13</f>
        <v>0.20291000000000001</v>
      </c>
      <c r="J26" s="867"/>
      <c r="K26" s="448"/>
      <c r="L26" s="448">
        <f>SUM(H26:K26)</f>
        <v>0.41894999999999988</v>
      </c>
      <c r="M26" s="448">
        <f>+Temporaries!D26</f>
        <v>-4.9779999999999998E-2</v>
      </c>
      <c r="N26" s="448">
        <f>+Temporaries!AD26</f>
        <v>9.099999999999997E-3</v>
      </c>
      <c r="O26" s="448"/>
      <c r="P26" s="448"/>
      <c r="Q26" s="448"/>
      <c r="R26" s="448"/>
      <c r="S26" s="448"/>
      <c r="T26" s="448"/>
      <c r="U26" s="1495">
        <f>'Allocation = % of margin'!AB26</f>
        <v>0</v>
      </c>
      <c r="V26" s="448">
        <f t="shared" si="5"/>
        <v>0.47782999999999987</v>
      </c>
      <c r="W26" s="1095"/>
      <c r="X26" s="1095"/>
      <c r="AA26" s="510"/>
      <c r="AB26" s="1678" t="s">
        <v>7</v>
      </c>
      <c r="AC26" s="1714">
        <f t="shared" si="6"/>
        <v>0.26581999999999983</v>
      </c>
      <c r="AD26" s="1715">
        <f t="shared" si="7"/>
        <v>0</v>
      </c>
      <c r="AE26" s="1715">
        <f t="shared" si="1"/>
        <v>0.20291000000000001</v>
      </c>
      <c r="AF26" s="1715">
        <f t="shared" si="8"/>
        <v>9.099999999999997E-3</v>
      </c>
      <c r="AG26" s="1716">
        <f t="shared" si="9"/>
        <v>0.47782999999999987</v>
      </c>
      <c r="AH26" s="868">
        <f t="shared" si="10"/>
        <v>0</v>
      </c>
      <c r="AI26" s="528">
        <f t="shared" si="11"/>
        <v>0.46872999999999987</v>
      </c>
      <c r="AK26" s="869">
        <f t="shared" si="12"/>
        <v>0.26581999999999983</v>
      </c>
      <c r="AM26" s="1743"/>
      <c r="AN26" s="1548"/>
      <c r="AO26" s="1473"/>
    </row>
    <row r="27" spans="1:41" x14ac:dyDescent="0.25">
      <c r="A27" s="479">
        <f t="shared" si="0"/>
        <v>21</v>
      </c>
      <c r="B27" s="505" t="s">
        <v>860</v>
      </c>
      <c r="C27" s="452" t="s">
        <v>6</v>
      </c>
      <c r="D27" s="1611">
        <v>0.4930000000000001</v>
      </c>
      <c r="E27" s="1095">
        <f>+$E$13</f>
        <v>0.22356000000000001</v>
      </c>
      <c r="F27" s="1612"/>
      <c r="G27" s="1151"/>
      <c r="H27" s="454">
        <f t="shared" si="2"/>
        <v>0.26944000000000012</v>
      </c>
      <c r="I27" s="1768">
        <f t="shared" ref="I27:I40" si="14">+$I$13</f>
        <v>0.20291000000000001</v>
      </c>
      <c r="J27" s="872"/>
      <c r="K27" s="533"/>
      <c r="L27" s="454">
        <f t="shared" si="4"/>
        <v>0.47235000000000016</v>
      </c>
      <c r="M27" s="454">
        <f>+Temporaries!D27</f>
        <v>-3.1969999999999998E-2</v>
      </c>
      <c r="N27" s="454">
        <f>+Temporaries!AD27</f>
        <v>2.8359999999999996E-2</v>
      </c>
      <c r="O27" s="454"/>
      <c r="P27" s="454"/>
      <c r="Q27" s="454"/>
      <c r="R27" s="454"/>
      <c r="S27" s="454"/>
      <c r="T27" s="454"/>
      <c r="U27" s="1484">
        <f>'Allocation = % of margin'!AB27</f>
        <v>0</v>
      </c>
      <c r="V27" s="454">
        <f t="shared" si="5"/>
        <v>0.53268000000000004</v>
      </c>
      <c r="W27" s="1095"/>
      <c r="X27" s="1095"/>
      <c r="AA27" s="505" t="s">
        <v>162</v>
      </c>
      <c r="AB27" s="871" t="s">
        <v>6</v>
      </c>
      <c r="AC27" s="1714">
        <f t="shared" si="6"/>
        <v>0.30141000000000001</v>
      </c>
      <c r="AD27" s="1715">
        <f t="shared" si="7"/>
        <v>0</v>
      </c>
      <c r="AE27" s="1715">
        <f t="shared" si="1"/>
        <v>0.20291000000000001</v>
      </c>
      <c r="AF27" s="1715">
        <f t="shared" si="8"/>
        <v>2.8359999999999996E-2</v>
      </c>
      <c r="AG27" s="1716">
        <f t="shared" si="9"/>
        <v>0.53268000000000004</v>
      </c>
      <c r="AH27" s="868">
        <f t="shared" si="10"/>
        <v>0</v>
      </c>
      <c r="AI27" s="528">
        <f t="shared" si="11"/>
        <v>0.5043200000000001</v>
      </c>
      <c r="AK27" s="869">
        <f t="shared" si="12"/>
        <v>0.30141000000000007</v>
      </c>
      <c r="AM27" s="1743"/>
      <c r="AN27" s="1548"/>
      <c r="AO27" s="1473"/>
    </row>
    <row r="28" spans="1:41" x14ac:dyDescent="0.25">
      <c r="A28" s="479">
        <f t="shared" si="0"/>
        <v>22</v>
      </c>
      <c r="B28" s="510"/>
      <c r="C28" s="456" t="s">
        <v>7</v>
      </c>
      <c r="D28" s="1609">
        <v>0.45670999999999995</v>
      </c>
      <c r="E28" s="1060">
        <f>+$E$13</f>
        <v>0.22356000000000001</v>
      </c>
      <c r="F28" s="1610"/>
      <c r="G28" s="1150"/>
      <c r="H28" s="448">
        <f t="shared" si="2"/>
        <v>0.23314999999999994</v>
      </c>
      <c r="I28" s="1767">
        <f t="shared" si="14"/>
        <v>0.20291000000000001</v>
      </c>
      <c r="J28" s="867"/>
      <c r="K28" s="448"/>
      <c r="L28" s="448">
        <f t="shared" si="4"/>
        <v>0.43605999999999995</v>
      </c>
      <c r="M28" s="448">
        <f>+Temporaries!D28</f>
        <v>-3.2409999999999994E-2</v>
      </c>
      <c r="N28" s="448">
        <f>+Temporaries!AD28</f>
        <v>2.7999999999999997E-2</v>
      </c>
      <c r="O28" s="448"/>
      <c r="P28" s="448"/>
      <c r="Q28" s="448"/>
      <c r="R28" s="448"/>
      <c r="S28" s="448"/>
      <c r="T28" s="448"/>
      <c r="U28" s="1495">
        <f>'Allocation = % of margin'!AB28</f>
        <v>0</v>
      </c>
      <c r="V28" s="448">
        <f t="shared" si="5"/>
        <v>0.49646999999999997</v>
      </c>
      <c r="W28" s="1095"/>
      <c r="X28" s="1095"/>
      <c r="AA28" s="510"/>
      <c r="AB28" s="873" t="s">
        <v>7</v>
      </c>
      <c r="AC28" s="1714">
        <f t="shared" si="6"/>
        <v>0.26555999999999991</v>
      </c>
      <c r="AD28" s="1715">
        <f t="shared" si="7"/>
        <v>0</v>
      </c>
      <c r="AE28" s="1715">
        <f t="shared" si="1"/>
        <v>0.20291000000000001</v>
      </c>
      <c r="AF28" s="1715">
        <f t="shared" si="8"/>
        <v>2.7999999999999997E-2</v>
      </c>
      <c r="AG28" s="1716">
        <f t="shared" si="9"/>
        <v>0.49646999999999997</v>
      </c>
      <c r="AH28" s="868">
        <f t="shared" si="10"/>
        <v>0</v>
      </c>
      <c r="AI28" s="528">
        <f t="shared" si="11"/>
        <v>0.46846999999999994</v>
      </c>
      <c r="AK28" s="869">
        <f t="shared" si="12"/>
        <v>0.26555999999999991</v>
      </c>
      <c r="AM28" s="1743"/>
      <c r="AN28" s="1548"/>
      <c r="AO28" s="1473"/>
    </row>
    <row r="29" spans="1:41" x14ac:dyDescent="0.25">
      <c r="A29" s="479">
        <f t="shared" si="0"/>
        <v>23</v>
      </c>
      <c r="B29" s="505" t="s">
        <v>163</v>
      </c>
      <c r="C29" s="452" t="s">
        <v>6</v>
      </c>
      <c r="D29" s="1611">
        <v>0.30433999999999994</v>
      </c>
      <c r="E29" s="1095">
        <f t="shared" ref="E29:E40" si="15">+$E$13</f>
        <v>0.22356000000000001</v>
      </c>
      <c r="F29" s="1612"/>
      <c r="G29" s="1151"/>
      <c r="H29" s="454">
        <f t="shared" si="2"/>
        <v>8.0779999999999935E-2</v>
      </c>
      <c r="I29" s="1768">
        <f t="shared" si="14"/>
        <v>0.20291000000000001</v>
      </c>
      <c r="J29" s="872"/>
      <c r="K29" s="454"/>
      <c r="L29" s="454">
        <f t="shared" si="4"/>
        <v>0.28368999999999994</v>
      </c>
      <c r="M29" s="454">
        <f>+Temporaries!D29</f>
        <v>-3.7989999999999996E-2</v>
      </c>
      <c r="N29" s="454">
        <f>+Temporaries!AD29</f>
        <v>2.4049999999999995E-2</v>
      </c>
      <c r="O29" s="454"/>
      <c r="P29" s="454"/>
      <c r="Q29" s="454"/>
      <c r="R29" s="454"/>
      <c r="S29" s="454"/>
      <c r="T29" s="454"/>
      <c r="U29" s="1484">
        <f>'Allocation = % of margin'!AB29</f>
        <v>0</v>
      </c>
      <c r="V29" s="454">
        <f t="shared" si="5"/>
        <v>0.34572999999999998</v>
      </c>
      <c r="W29" s="1095"/>
      <c r="X29" s="1095"/>
      <c r="AA29" s="505" t="s">
        <v>163</v>
      </c>
      <c r="AB29" s="871" t="s">
        <v>6</v>
      </c>
      <c r="AC29" s="1714">
        <f t="shared" si="6"/>
        <v>0.11876999999999999</v>
      </c>
      <c r="AD29" s="1715">
        <f t="shared" si="7"/>
        <v>0</v>
      </c>
      <c r="AE29" s="1715">
        <f t="shared" si="1"/>
        <v>0.20291000000000001</v>
      </c>
      <c r="AF29" s="1715">
        <f t="shared" si="8"/>
        <v>2.4049999999999995E-2</v>
      </c>
      <c r="AG29" s="1716">
        <f t="shared" si="9"/>
        <v>0.34572999999999998</v>
      </c>
      <c r="AH29" s="868">
        <f t="shared" si="10"/>
        <v>0</v>
      </c>
      <c r="AI29" s="528">
        <f t="shared" si="11"/>
        <v>0.32167999999999997</v>
      </c>
      <c r="AK29" s="869">
        <f t="shared" si="12"/>
        <v>0.11876999999999996</v>
      </c>
      <c r="AM29" s="1743"/>
      <c r="AN29" s="1548"/>
      <c r="AO29" s="1473"/>
    </row>
    <row r="30" spans="1:41" x14ac:dyDescent="0.25">
      <c r="A30" s="479">
        <f t="shared" si="0"/>
        <v>24</v>
      </c>
      <c r="B30" s="505"/>
      <c r="C30" s="452" t="s">
        <v>7</v>
      </c>
      <c r="D30" s="1611">
        <v>0.29029999999999978</v>
      </c>
      <c r="E30" s="1095">
        <f t="shared" si="15"/>
        <v>0.22356000000000001</v>
      </c>
      <c r="F30" s="1612"/>
      <c r="G30" s="1151"/>
      <c r="H30" s="454">
        <f t="shared" si="2"/>
        <v>6.6739999999999772E-2</v>
      </c>
      <c r="I30" s="1768">
        <f t="shared" si="14"/>
        <v>0.20291000000000001</v>
      </c>
      <c r="J30" s="872"/>
      <c r="K30" s="454"/>
      <c r="L30" s="454">
        <f t="shared" si="4"/>
        <v>0.26964999999999978</v>
      </c>
      <c r="M30" s="454">
        <f>+Temporaries!D30</f>
        <v>-3.9579999999999997E-2</v>
      </c>
      <c r="N30" s="454">
        <f>+Temporaries!AD30</f>
        <v>2.2209999999999997E-2</v>
      </c>
      <c r="O30" s="454"/>
      <c r="P30" s="454"/>
      <c r="Q30" s="454"/>
      <c r="R30" s="454"/>
      <c r="S30" s="454"/>
      <c r="T30" s="454"/>
      <c r="U30" s="1484">
        <f>'Allocation = % of margin'!AB30</f>
        <v>0</v>
      </c>
      <c r="V30" s="454">
        <f t="shared" si="5"/>
        <v>0.33143999999999979</v>
      </c>
      <c r="W30" s="1095"/>
      <c r="X30" s="1095"/>
      <c r="AA30" s="505"/>
      <c r="AB30" s="871" t="s">
        <v>7</v>
      </c>
      <c r="AC30" s="1714">
        <f t="shared" si="6"/>
        <v>0.10631999999999979</v>
      </c>
      <c r="AD30" s="1715">
        <f t="shared" si="7"/>
        <v>0</v>
      </c>
      <c r="AE30" s="1715">
        <f t="shared" si="1"/>
        <v>0.20291000000000001</v>
      </c>
      <c r="AF30" s="1715">
        <f t="shared" si="8"/>
        <v>2.2209999999999997E-2</v>
      </c>
      <c r="AG30" s="1716">
        <f t="shared" si="9"/>
        <v>0.33143999999999979</v>
      </c>
      <c r="AH30" s="868">
        <f t="shared" si="10"/>
        <v>0</v>
      </c>
      <c r="AI30" s="528">
        <f t="shared" si="11"/>
        <v>0.30922999999999978</v>
      </c>
      <c r="AK30" s="869">
        <f t="shared" si="12"/>
        <v>0.10631999999999978</v>
      </c>
      <c r="AM30" s="1743"/>
      <c r="AN30" s="1548"/>
      <c r="AO30" s="1473"/>
    </row>
    <row r="31" spans="1:41" x14ac:dyDescent="0.25">
      <c r="A31" s="479">
        <f t="shared" si="0"/>
        <v>25</v>
      </c>
      <c r="B31" s="505"/>
      <c r="C31" s="452" t="s">
        <v>8</v>
      </c>
      <c r="D31" s="1611">
        <v>0.26236999999999994</v>
      </c>
      <c r="E31" s="1095">
        <f t="shared" si="15"/>
        <v>0.22356000000000001</v>
      </c>
      <c r="F31" s="1612"/>
      <c r="G31" s="1151"/>
      <c r="H31" s="454">
        <f t="shared" si="2"/>
        <v>3.8809999999999928E-2</v>
      </c>
      <c r="I31" s="1768">
        <f t="shared" si="14"/>
        <v>0.20291000000000001</v>
      </c>
      <c r="J31" s="872"/>
      <c r="K31" s="454"/>
      <c r="L31" s="454">
        <f t="shared" si="4"/>
        <v>0.24171999999999993</v>
      </c>
      <c r="M31" s="454">
        <f>+Temporaries!D31</f>
        <v>-4.2729999999999997E-2</v>
      </c>
      <c r="N31" s="454">
        <f>+Temporaries!AD31</f>
        <v>1.8519999999999995E-2</v>
      </c>
      <c r="O31" s="454"/>
      <c r="P31" s="454"/>
      <c r="Q31" s="454"/>
      <c r="R31" s="454"/>
      <c r="S31" s="454"/>
      <c r="T31" s="454"/>
      <c r="U31" s="1484">
        <f>'Allocation = % of margin'!AB31</f>
        <v>0</v>
      </c>
      <c r="V31" s="454">
        <f t="shared" si="5"/>
        <v>0.30296999999999991</v>
      </c>
      <c r="W31" s="1095"/>
      <c r="X31" s="1095"/>
      <c r="AA31" s="505"/>
      <c r="AB31" s="871" t="s">
        <v>8</v>
      </c>
      <c r="AC31" s="1714">
        <f t="shared" si="6"/>
        <v>8.1539999999999904E-2</v>
      </c>
      <c r="AD31" s="1715">
        <f t="shared" si="7"/>
        <v>0</v>
      </c>
      <c r="AE31" s="1715">
        <f t="shared" si="1"/>
        <v>0.20291000000000001</v>
      </c>
      <c r="AF31" s="1715">
        <f t="shared" si="8"/>
        <v>1.8519999999999995E-2</v>
      </c>
      <c r="AG31" s="1716">
        <f t="shared" si="9"/>
        <v>0.30296999999999991</v>
      </c>
      <c r="AH31" s="868">
        <f t="shared" si="10"/>
        <v>0</v>
      </c>
      <c r="AI31" s="528">
        <f t="shared" si="11"/>
        <v>0.28444999999999993</v>
      </c>
      <c r="AK31" s="869">
        <f t="shared" si="12"/>
        <v>8.1539999999999918E-2</v>
      </c>
      <c r="AM31" s="1743"/>
      <c r="AN31" s="1548"/>
      <c r="AO31" s="1473"/>
    </row>
    <row r="32" spans="1:41" x14ac:dyDescent="0.25">
      <c r="A32" s="479">
        <f t="shared" si="0"/>
        <v>26</v>
      </c>
      <c r="B32" s="505"/>
      <c r="C32" s="452" t="s">
        <v>9</v>
      </c>
      <c r="D32" s="1611">
        <v>0.2439800000000002</v>
      </c>
      <c r="E32" s="1095">
        <f t="shared" si="15"/>
        <v>0.22356000000000001</v>
      </c>
      <c r="F32" s="1612"/>
      <c r="G32" s="1151"/>
      <c r="H32" s="454">
        <f t="shared" si="2"/>
        <v>2.0420000000000188E-2</v>
      </c>
      <c r="I32" s="1768">
        <f t="shared" si="14"/>
        <v>0.20291000000000001</v>
      </c>
      <c r="J32" s="872"/>
      <c r="K32" s="454"/>
      <c r="L32" s="454">
        <f t="shared" si="4"/>
        <v>0.2233300000000002</v>
      </c>
      <c r="M32" s="454">
        <f>+Temporaries!D32</f>
        <v>-4.4809999999999996E-2</v>
      </c>
      <c r="N32" s="454">
        <f>+Temporaries!AD32</f>
        <v>1.6099999999999996E-2</v>
      </c>
      <c r="O32" s="454"/>
      <c r="P32" s="454"/>
      <c r="Q32" s="454"/>
      <c r="R32" s="454"/>
      <c r="S32" s="454"/>
      <c r="T32" s="454"/>
      <c r="U32" s="1484">
        <f>'Allocation = % of margin'!AB32</f>
        <v>0</v>
      </c>
      <c r="V32" s="454">
        <f t="shared" si="5"/>
        <v>0.28424000000000021</v>
      </c>
      <c r="W32" s="1095"/>
      <c r="X32" s="1095"/>
      <c r="AA32" s="505"/>
      <c r="AB32" s="871" t="s">
        <v>9</v>
      </c>
      <c r="AC32" s="1714">
        <f t="shared" si="6"/>
        <v>6.5230000000000204E-2</v>
      </c>
      <c r="AD32" s="1715">
        <f t="shared" si="7"/>
        <v>0</v>
      </c>
      <c r="AE32" s="1715">
        <f t="shared" si="1"/>
        <v>0.20291000000000001</v>
      </c>
      <c r="AF32" s="1715">
        <f t="shared" si="8"/>
        <v>1.6099999999999996E-2</v>
      </c>
      <c r="AG32" s="1716">
        <f t="shared" si="9"/>
        <v>0.28424000000000021</v>
      </c>
      <c r="AH32" s="868">
        <f t="shared" si="10"/>
        <v>0</v>
      </c>
      <c r="AI32" s="528">
        <f t="shared" si="11"/>
        <v>0.26814000000000021</v>
      </c>
      <c r="AK32" s="869">
        <f t="shared" si="12"/>
        <v>6.5230000000000204E-2</v>
      </c>
      <c r="AM32" s="1743"/>
      <c r="AN32" s="1548"/>
      <c r="AO32" s="1473"/>
    </row>
    <row r="33" spans="1:41" x14ac:dyDescent="0.25">
      <c r="A33" s="479">
        <f t="shared" si="0"/>
        <v>27</v>
      </c>
      <c r="B33" s="505"/>
      <c r="C33" s="452" t="s">
        <v>10</v>
      </c>
      <c r="D33" s="1611">
        <v>0.21944999999999995</v>
      </c>
      <c r="E33" s="1095">
        <f t="shared" si="15"/>
        <v>0.22356000000000001</v>
      </c>
      <c r="F33" s="1612"/>
      <c r="G33" s="1151"/>
      <c r="H33" s="454">
        <f t="shared" si="2"/>
        <v>-4.1100000000000581E-3</v>
      </c>
      <c r="I33" s="1768">
        <f t="shared" si="14"/>
        <v>0.20291000000000001</v>
      </c>
      <c r="J33" s="872"/>
      <c r="K33" s="454"/>
      <c r="L33" s="454">
        <f t="shared" si="4"/>
        <v>0.19879999999999995</v>
      </c>
      <c r="M33" s="454">
        <f>+Temporaries!D33</f>
        <v>-4.7589999999999993E-2</v>
      </c>
      <c r="N33" s="454">
        <f>+Temporaries!AD33</f>
        <v>1.2849999999999997E-2</v>
      </c>
      <c r="O33" s="454"/>
      <c r="P33" s="454"/>
      <c r="Q33" s="454"/>
      <c r="R33" s="454"/>
      <c r="S33" s="454"/>
      <c r="T33" s="454"/>
      <c r="U33" s="1484">
        <f>'Allocation = % of margin'!AB33</f>
        <v>0</v>
      </c>
      <c r="V33" s="454">
        <f t="shared" si="5"/>
        <v>0.25923999999999991</v>
      </c>
      <c r="W33" s="1095"/>
      <c r="X33" s="1095"/>
      <c r="AA33" s="505"/>
      <c r="AB33" s="871" t="s">
        <v>10</v>
      </c>
      <c r="AC33" s="1714">
        <f t="shared" si="6"/>
        <v>4.3479999999999908E-2</v>
      </c>
      <c r="AD33" s="1715">
        <f t="shared" si="7"/>
        <v>0</v>
      </c>
      <c r="AE33" s="1715">
        <f t="shared" si="1"/>
        <v>0.20291000000000001</v>
      </c>
      <c r="AF33" s="1715">
        <f t="shared" si="8"/>
        <v>1.2849999999999997E-2</v>
      </c>
      <c r="AG33" s="1716">
        <f t="shared" si="9"/>
        <v>0.25923999999999991</v>
      </c>
      <c r="AH33" s="868">
        <f t="shared" si="10"/>
        <v>0</v>
      </c>
      <c r="AI33" s="528">
        <f t="shared" si="11"/>
        <v>0.24638999999999991</v>
      </c>
      <c r="AK33" s="869">
        <f t="shared" si="12"/>
        <v>4.3479999999999908E-2</v>
      </c>
      <c r="AM33" s="1743"/>
      <c r="AN33" s="1548"/>
      <c r="AO33" s="1473"/>
    </row>
    <row r="34" spans="1:41" x14ac:dyDescent="0.25">
      <c r="A34" s="479">
        <f t="shared" si="0"/>
        <v>28</v>
      </c>
      <c r="B34" s="510"/>
      <c r="C34" s="456" t="s">
        <v>11</v>
      </c>
      <c r="D34" s="1609">
        <v>0.18881000000000006</v>
      </c>
      <c r="E34" s="1060">
        <f t="shared" si="15"/>
        <v>0.22356000000000001</v>
      </c>
      <c r="F34" s="1610"/>
      <c r="G34" s="1150"/>
      <c r="H34" s="448">
        <f t="shared" si="2"/>
        <v>-3.4749999999999948E-2</v>
      </c>
      <c r="I34" s="1767">
        <f t="shared" si="14"/>
        <v>0.20291000000000001</v>
      </c>
      <c r="J34" s="867"/>
      <c r="K34" s="448"/>
      <c r="L34" s="448">
        <f t="shared" si="4"/>
        <v>0.16816000000000006</v>
      </c>
      <c r="M34" s="448">
        <f>+Temporaries!D34</f>
        <v>-5.1049999999999998E-2</v>
      </c>
      <c r="N34" s="448">
        <f>+Temporaries!AD34</f>
        <v>8.7999999999999971E-3</v>
      </c>
      <c r="O34" s="448"/>
      <c r="P34" s="448"/>
      <c r="Q34" s="448"/>
      <c r="R34" s="448"/>
      <c r="S34" s="448"/>
      <c r="T34" s="448"/>
      <c r="U34" s="1495">
        <f>'Allocation = % of margin'!AB34</f>
        <v>0</v>
      </c>
      <c r="V34" s="448">
        <f t="shared" si="5"/>
        <v>0.22801000000000007</v>
      </c>
      <c r="W34" s="1095"/>
      <c r="X34" s="1095"/>
      <c r="AA34" s="510"/>
      <c r="AB34" s="873" t="s">
        <v>11</v>
      </c>
      <c r="AC34" s="1714">
        <f t="shared" si="6"/>
        <v>1.6300000000000071E-2</v>
      </c>
      <c r="AD34" s="1715">
        <f t="shared" si="7"/>
        <v>0</v>
      </c>
      <c r="AE34" s="1715">
        <f t="shared" si="1"/>
        <v>0.20291000000000001</v>
      </c>
      <c r="AF34" s="1715">
        <f t="shared" si="8"/>
        <v>8.7999999999999971E-3</v>
      </c>
      <c r="AG34" s="1716">
        <f t="shared" si="9"/>
        <v>0.22801000000000007</v>
      </c>
      <c r="AH34" s="868">
        <f t="shared" si="10"/>
        <v>0</v>
      </c>
      <c r="AI34" s="528">
        <f t="shared" si="11"/>
        <v>0.21921000000000007</v>
      </c>
      <c r="AK34" s="869">
        <f t="shared" si="12"/>
        <v>1.6300000000000064E-2</v>
      </c>
      <c r="AM34" s="1743"/>
      <c r="AN34" s="1548"/>
      <c r="AO34" s="1473"/>
    </row>
    <row r="35" spans="1:41" x14ac:dyDescent="0.25">
      <c r="A35" s="479">
        <f t="shared" si="0"/>
        <v>29</v>
      </c>
      <c r="B35" s="505" t="s">
        <v>164</v>
      </c>
      <c r="C35" s="452" t="s">
        <v>6</v>
      </c>
      <c r="D35" s="1611">
        <v>0.29139999999999999</v>
      </c>
      <c r="E35" s="1095">
        <f t="shared" si="15"/>
        <v>0.22356000000000001</v>
      </c>
      <c r="F35" s="1612"/>
      <c r="G35" s="1151"/>
      <c r="H35" s="454">
        <f t="shared" si="2"/>
        <v>6.7839999999999984E-2</v>
      </c>
      <c r="I35" s="1768">
        <f t="shared" si="14"/>
        <v>0.20291000000000001</v>
      </c>
      <c r="J35" s="872"/>
      <c r="K35" s="454"/>
      <c r="L35" s="454">
        <f t="shared" si="4"/>
        <v>0.27074999999999999</v>
      </c>
      <c r="M35" s="454">
        <f>+Temporaries!D35</f>
        <v>-5.0869999999999999E-2</v>
      </c>
      <c r="N35" s="454">
        <f>+Temporaries!AD35</f>
        <v>8.289999999999997E-3</v>
      </c>
      <c r="O35" s="454"/>
      <c r="P35" s="454"/>
      <c r="Q35" s="454"/>
      <c r="R35" s="454"/>
      <c r="S35" s="454"/>
      <c r="T35" s="454"/>
      <c r="U35" s="1484">
        <f>'Allocation = % of margin'!AB35</f>
        <v>0</v>
      </c>
      <c r="V35" s="454">
        <f t="shared" si="5"/>
        <v>0.32991000000000004</v>
      </c>
      <c r="W35" s="1095"/>
      <c r="X35" s="1095"/>
      <c r="AA35" s="505" t="s">
        <v>164</v>
      </c>
      <c r="AB35" s="871" t="s">
        <v>6</v>
      </c>
      <c r="AC35" s="1714">
        <f t="shared" si="6"/>
        <v>0.11871000000000004</v>
      </c>
      <c r="AD35" s="1715">
        <f t="shared" si="7"/>
        <v>0</v>
      </c>
      <c r="AE35" s="1715">
        <f t="shared" si="1"/>
        <v>0.20291000000000001</v>
      </c>
      <c r="AF35" s="1715">
        <f t="shared" si="8"/>
        <v>8.289999999999997E-3</v>
      </c>
      <c r="AG35" s="1716">
        <f t="shared" si="9"/>
        <v>0.32991000000000004</v>
      </c>
      <c r="AH35" s="868">
        <f t="shared" si="10"/>
        <v>0</v>
      </c>
      <c r="AI35" s="528">
        <f t="shared" si="11"/>
        <v>0.32162000000000002</v>
      </c>
      <c r="AK35" s="869">
        <f t="shared" si="12"/>
        <v>0.11871000000000001</v>
      </c>
      <c r="AM35" s="1743"/>
      <c r="AN35" s="1548"/>
      <c r="AO35" s="1473"/>
    </row>
    <row r="36" spans="1:41" x14ac:dyDescent="0.25">
      <c r="A36" s="479">
        <f t="shared" si="0"/>
        <v>30</v>
      </c>
      <c r="B36" s="505"/>
      <c r="C36" s="452" t="s">
        <v>7</v>
      </c>
      <c r="D36" s="1611">
        <v>0.27872000000000008</v>
      </c>
      <c r="E36" s="1095">
        <f t="shared" si="15"/>
        <v>0.22356000000000001</v>
      </c>
      <c r="F36" s="1612"/>
      <c r="G36" s="1151"/>
      <c r="H36" s="454">
        <f t="shared" si="2"/>
        <v>5.516000000000007E-2</v>
      </c>
      <c r="I36" s="1768">
        <f t="shared" si="14"/>
        <v>0.20291000000000001</v>
      </c>
      <c r="J36" s="872"/>
      <c r="K36" s="454"/>
      <c r="L36" s="454">
        <f t="shared" si="4"/>
        <v>0.25807000000000008</v>
      </c>
      <c r="M36" s="454">
        <f>+Temporaries!D36</f>
        <v>-5.11E-2</v>
      </c>
      <c r="N36" s="454">
        <f>+Temporaries!AD36</f>
        <v>8.0999999999999961E-3</v>
      </c>
      <c r="O36" s="454"/>
      <c r="P36" s="454"/>
      <c r="Q36" s="454"/>
      <c r="R36" s="454"/>
      <c r="S36" s="454"/>
      <c r="T36" s="454"/>
      <c r="U36" s="1484">
        <f>'Allocation = % of margin'!AB36</f>
        <v>0</v>
      </c>
      <c r="V36" s="454">
        <f t="shared" si="5"/>
        <v>0.31727000000000005</v>
      </c>
      <c r="W36" s="1095"/>
      <c r="X36" s="1095"/>
      <c r="AA36" s="505"/>
      <c r="AB36" s="871" t="s">
        <v>7</v>
      </c>
      <c r="AC36" s="1714">
        <f t="shared" si="6"/>
        <v>0.10626000000000005</v>
      </c>
      <c r="AD36" s="1715">
        <f t="shared" si="7"/>
        <v>0</v>
      </c>
      <c r="AE36" s="1715">
        <f t="shared" si="1"/>
        <v>0.20291000000000001</v>
      </c>
      <c r="AF36" s="1715">
        <f t="shared" si="8"/>
        <v>8.0999999999999961E-3</v>
      </c>
      <c r="AG36" s="1716">
        <f t="shared" si="9"/>
        <v>0.31727000000000005</v>
      </c>
      <c r="AH36" s="868">
        <f t="shared" si="10"/>
        <v>0</v>
      </c>
      <c r="AI36" s="528">
        <f t="shared" si="11"/>
        <v>0.30917000000000006</v>
      </c>
      <c r="AK36" s="869">
        <f t="shared" si="12"/>
        <v>0.10626000000000005</v>
      </c>
      <c r="AM36" s="1743"/>
      <c r="AN36" s="1548"/>
      <c r="AO36" s="1473"/>
    </row>
    <row r="37" spans="1:41" x14ac:dyDescent="0.25">
      <c r="A37" s="479">
        <f t="shared" si="0"/>
        <v>31</v>
      </c>
      <c r="B37" s="505"/>
      <c r="C37" s="452" t="s">
        <v>8</v>
      </c>
      <c r="D37" s="1611">
        <v>0.25346999999999992</v>
      </c>
      <c r="E37" s="1095">
        <f t="shared" si="15"/>
        <v>0.22356000000000001</v>
      </c>
      <c r="F37" s="1612"/>
      <c r="G37" s="1151"/>
      <c r="H37" s="454">
        <f t="shared" si="2"/>
        <v>2.9909999999999909E-2</v>
      </c>
      <c r="I37" s="1768">
        <f t="shared" si="14"/>
        <v>0.20291000000000001</v>
      </c>
      <c r="J37" s="872"/>
      <c r="K37" s="454"/>
      <c r="L37" s="454">
        <f t="shared" si="4"/>
        <v>0.23281999999999992</v>
      </c>
      <c r="M37" s="454">
        <f>+Temporaries!D37</f>
        <v>-5.1579999999999994E-2</v>
      </c>
      <c r="N37" s="454">
        <f>+Temporaries!AD37</f>
        <v>7.6899999999999972E-3</v>
      </c>
      <c r="O37" s="454"/>
      <c r="P37" s="454"/>
      <c r="Q37" s="454"/>
      <c r="R37" s="454"/>
      <c r="S37" s="454"/>
      <c r="T37" s="454"/>
      <c r="U37" s="1484">
        <f>'Allocation = % of margin'!AB37</f>
        <v>0</v>
      </c>
      <c r="V37" s="454">
        <f t="shared" si="5"/>
        <v>0.29208999999999991</v>
      </c>
      <c r="W37" s="1095"/>
      <c r="X37" s="1095"/>
      <c r="AA37" s="505"/>
      <c r="AB37" s="871" t="s">
        <v>8</v>
      </c>
      <c r="AC37" s="1714">
        <f t="shared" si="6"/>
        <v>8.1489999999999896E-2</v>
      </c>
      <c r="AD37" s="1715">
        <f t="shared" si="7"/>
        <v>0</v>
      </c>
      <c r="AE37" s="1715">
        <f t="shared" si="1"/>
        <v>0.20291000000000001</v>
      </c>
      <c r="AF37" s="1715">
        <f t="shared" si="8"/>
        <v>7.6899999999999972E-3</v>
      </c>
      <c r="AG37" s="1716">
        <f t="shared" si="9"/>
        <v>0.29208999999999985</v>
      </c>
      <c r="AH37" s="868">
        <f t="shared" si="10"/>
        <v>0</v>
      </c>
      <c r="AI37" s="528">
        <f t="shared" si="11"/>
        <v>0.28439999999999993</v>
      </c>
      <c r="AK37" s="869">
        <f t="shared" si="12"/>
        <v>8.1489999999999924E-2</v>
      </c>
      <c r="AM37" s="1743"/>
      <c r="AN37" s="1548"/>
      <c r="AO37" s="1473"/>
    </row>
    <row r="38" spans="1:41" x14ac:dyDescent="0.25">
      <c r="A38" s="479">
        <f t="shared" si="0"/>
        <v>32</v>
      </c>
      <c r="B38" s="505"/>
      <c r="C38" s="452" t="s">
        <v>9</v>
      </c>
      <c r="D38" s="1611">
        <v>0.23686000000000015</v>
      </c>
      <c r="E38" s="1095">
        <f t="shared" si="15"/>
        <v>0.22356000000000001</v>
      </c>
      <c r="F38" s="1612"/>
      <c r="G38" s="1151"/>
      <c r="H38" s="454">
        <f t="shared" si="2"/>
        <v>1.3300000000000145E-2</v>
      </c>
      <c r="I38" s="1768">
        <f t="shared" si="14"/>
        <v>0.20291000000000001</v>
      </c>
      <c r="J38" s="872"/>
      <c r="K38" s="454"/>
      <c r="L38" s="454">
        <f t="shared" si="4"/>
        <v>0.21621000000000015</v>
      </c>
      <c r="M38" s="454">
        <f>+Temporaries!D38</f>
        <v>-5.1889999999999999E-2</v>
      </c>
      <c r="N38" s="454">
        <f>+Temporaries!AD38</f>
        <v>7.4299999999999965E-3</v>
      </c>
      <c r="O38" s="454"/>
      <c r="P38" s="454"/>
      <c r="Q38" s="454"/>
      <c r="R38" s="454"/>
      <c r="S38" s="454"/>
      <c r="T38" s="454"/>
      <c r="U38" s="1484">
        <f>'Allocation = % of margin'!AB38</f>
        <v>0</v>
      </c>
      <c r="V38" s="454">
        <f t="shared" si="5"/>
        <v>0.27553000000000016</v>
      </c>
      <c r="W38" s="1095"/>
      <c r="X38" s="1095"/>
      <c r="AA38" s="505"/>
      <c r="AB38" s="871" t="s">
        <v>9</v>
      </c>
      <c r="AC38" s="1714">
        <f t="shared" si="6"/>
        <v>6.5190000000000164E-2</v>
      </c>
      <c r="AD38" s="1715">
        <f t="shared" si="7"/>
        <v>0</v>
      </c>
      <c r="AE38" s="1715">
        <f t="shared" si="1"/>
        <v>0.20291000000000001</v>
      </c>
      <c r="AF38" s="1715">
        <f t="shared" si="8"/>
        <v>7.4299999999999965E-3</v>
      </c>
      <c r="AG38" s="1716">
        <f t="shared" si="9"/>
        <v>0.27553000000000016</v>
      </c>
      <c r="AH38" s="868">
        <f t="shared" si="10"/>
        <v>0</v>
      </c>
      <c r="AI38" s="528">
        <f t="shared" si="11"/>
        <v>0.26810000000000017</v>
      </c>
      <c r="AK38" s="869">
        <f t="shared" si="12"/>
        <v>6.5190000000000164E-2</v>
      </c>
      <c r="AM38" s="1743"/>
      <c r="AN38" s="1548"/>
      <c r="AO38" s="1473"/>
    </row>
    <row r="39" spans="1:41" x14ac:dyDescent="0.25">
      <c r="A39" s="479">
        <f t="shared" si="0"/>
        <v>33</v>
      </c>
      <c r="B39" s="505"/>
      <c r="C39" s="452" t="s">
        <v>10</v>
      </c>
      <c r="D39" s="1611">
        <v>0.2147300000000002</v>
      </c>
      <c r="E39" s="1095">
        <f t="shared" si="15"/>
        <v>0.22356000000000001</v>
      </c>
      <c r="F39" s="1612"/>
      <c r="G39" s="1151"/>
      <c r="H39" s="454">
        <f t="shared" si="2"/>
        <v>-8.8299999999998102E-3</v>
      </c>
      <c r="I39" s="1768">
        <f t="shared" si="14"/>
        <v>0.20291000000000001</v>
      </c>
      <c r="J39" s="872"/>
      <c r="K39" s="454"/>
      <c r="L39" s="454">
        <f t="shared" si="4"/>
        <v>0.1940800000000002</v>
      </c>
      <c r="M39" s="454">
        <f>+Temporaries!D39</f>
        <v>-5.2299999999999999E-2</v>
      </c>
      <c r="N39" s="454">
        <f>+Temporaries!AD39</f>
        <v>7.0799999999999969E-3</v>
      </c>
      <c r="O39" s="454"/>
      <c r="P39" s="454"/>
      <c r="Q39" s="454"/>
      <c r="R39" s="454"/>
      <c r="S39" s="454"/>
      <c r="T39" s="454"/>
      <c r="U39" s="1484">
        <f>'Allocation = % of margin'!AB39</f>
        <v>0</v>
      </c>
      <c r="V39" s="454">
        <f t="shared" si="5"/>
        <v>0.25346000000000019</v>
      </c>
      <c r="W39" s="1095"/>
      <c r="X39" s="1095"/>
      <c r="AA39" s="505"/>
      <c r="AB39" s="871" t="s">
        <v>10</v>
      </c>
      <c r="AC39" s="1714">
        <f t="shared" si="6"/>
        <v>4.3470000000000182E-2</v>
      </c>
      <c r="AD39" s="1715">
        <f t="shared" si="7"/>
        <v>0</v>
      </c>
      <c r="AE39" s="1715">
        <f t="shared" si="1"/>
        <v>0.20291000000000001</v>
      </c>
      <c r="AF39" s="1715">
        <f t="shared" si="8"/>
        <v>7.0799999999999969E-3</v>
      </c>
      <c r="AG39" s="1716">
        <f t="shared" si="9"/>
        <v>0.25346000000000019</v>
      </c>
      <c r="AH39" s="868">
        <f t="shared" si="10"/>
        <v>0</v>
      </c>
      <c r="AI39" s="528">
        <f t="shared" si="11"/>
        <v>0.24638000000000018</v>
      </c>
      <c r="AK39" s="869">
        <f t="shared" si="12"/>
        <v>4.3470000000000175E-2</v>
      </c>
      <c r="AM39" s="1743"/>
      <c r="AN39" s="1548"/>
      <c r="AO39" s="1473"/>
    </row>
    <row r="40" spans="1:41" x14ac:dyDescent="0.25">
      <c r="A40" s="479">
        <f t="shared" si="0"/>
        <v>34</v>
      </c>
      <c r="B40" s="510"/>
      <c r="C40" s="456" t="s">
        <v>11</v>
      </c>
      <c r="D40" s="1609">
        <v>0.18703999999999993</v>
      </c>
      <c r="E40" s="1060">
        <f t="shared" si="15"/>
        <v>0.22356000000000001</v>
      </c>
      <c r="F40" s="1610"/>
      <c r="G40" s="1150"/>
      <c r="H40" s="448">
        <f t="shared" si="2"/>
        <v>-3.652000000000008E-2</v>
      </c>
      <c r="I40" s="1767">
        <f t="shared" si="14"/>
        <v>0.20291000000000001</v>
      </c>
      <c r="J40" s="867"/>
      <c r="K40" s="448"/>
      <c r="L40" s="448">
        <f t="shared" si="4"/>
        <v>0.16638999999999993</v>
      </c>
      <c r="M40" s="448">
        <f>+Temporaries!D40</f>
        <v>-5.2809999999999996E-2</v>
      </c>
      <c r="N40" s="448">
        <f>+Temporaries!AD40</f>
        <v>6.6399999999999966E-3</v>
      </c>
      <c r="O40" s="448"/>
      <c r="P40" s="448"/>
      <c r="Q40" s="448"/>
      <c r="R40" s="448"/>
      <c r="S40" s="448"/>
      <c r="T40" s="448"/>
      <c r="U40" s="1495">
        <f>'Allocation = % of margin'!AB40</f>
        <v>0</v>
      </c>
      <c r="V40" s="448">
        <f t="shared" si="5"/>
        <v>0.22583999999999993</v>
      </c>
      <c r="W40" s="1095"/>
      <c r="X40" s="1095"/>
      <c r="AA40" s="510"/>
      <c r="AB40" s="873" t="s">
        <v>11</v>
      </c>
      <c r="AC40" s="1714">
        <f t="shared" si="6"/>
        <v>1.6289999999999926E-2</v>
      </c>
      <c r="AD40" s="1715">
        <f t="shared" si="7"/>
        <v>0</v>
      </c>
      <c r="AE40" s="1715">
        <f t="shared" si="1"/>
        <v>0.20291000000000001</v>
      </c>
      <c r="AF40" s="1715">
        <f t="shared" si="8"/>
        <v>6.6399999999999966E-3</v>
      </c>
      <c r="AG40" s="1716">
        <f t="shared" si="9"/>
        <v>0.22583999999999993</v>
      </c>
      <c r="AH40" s="868">
        <f t="shared" si="10"/>
        <v>0</v>
      </c>
      <c r="AI40" s="528">
        <f t="shared" si="11"/>
        <v>0.21919999999999992</v>
      </c>
      <c r="AK40" s="869">
        <f t="shared" si="12"/>
        <v>1.6289999999999916E-2</v>
      </c>
      <c r="AM40" s="1743"/>
      <c r="AN40" s="1548"/>
      <c r="AO40" s="1473"/>
    </row>
    <row r="41" spans="1:41" x14ac:dyDescent="0.25">
      <c r="A41" s="479">
        <f t="shared" si="0"/>
        <v>35</v>
      </c>
      <c r="B41" s="505" t="s">
        <v>165</v>
      </c>
      <c r="C41" s="452" t="s">
        <v>6</v>
      </c>
      <c r="D41" s="1611">
        <v>0.11795</v>
      </c>
      <c r="E41" s="1095">
        <v>0</v>
      </c>
      <c r="F41" s="1612"/>
      <c r="G41" s="1151"/>
      <c r="H41" s="454">
        <f t="shared" si="2"/>
        <v>0.11795</v>
      </c>
      <c r="I41" s="1768">
        <v>0</v>
      </c>
      <c r="J41" s="872"/>
      <c r="K41" s="454"/>
      <c r="L41" s="454">
        <f t="shared" si="4"/>
        <v>0.11795</v>
      </c>
      <c r="M41" s="454">
        <f>+Temporaries!D41</f>
        <v>-2.3000000000000001E-4</v>
      </c>
      <c r="N41" s="454">
        <f>+Temporaries!AD41</f>
        <v>-2.2000000000000001E-4</v>
      </c>
      <c r="O41" s="454"/>
      <c r="P41" s="454"/>
      <c r="Q41" s="454"/>
      <c r="R41" s="454"/>
      <c r="S41" s="454"/>
      <c r="T41" s="454"/>
      <c r="U41" s="1484">
        <f>'Allocation = % of margin'!AB41</f>
        <v>0</v>
      </c>
      <c r="V41" s="454">
        <f t="shared" si="5"/>
        <v>0.11796</v>
      </c>
      <c r="W41" s="1095"/>
      <c r="X41" s="1095"/>
      <c r="AA41" s="505" t="s">
        <v>165</v>
      </c>
      <c r="AB41" s="871" t="s">
        <v>6</v>
      </c>
      <c r="AC41" s="1714">
        <f t="shared" si="6"/>
        <v>0.11817999999999999</v>
      </c>
      <c r="AD41" s="1715">
        <f t="shared" si="7"/>
        <v>0</v>
      </c>
      <c r="AE41" s="1715">
        <f t="shared" si="1"/>
        <v>0</v>
      </c>
      <c r="AF41" s="1715">
        <f t="shared" si="8"/>
        <v>-2.2000000000000001E-4</v>
      </c>
      <c r="AG41" s="1716">
        <f t="shared" si="9"/>
        <v>0.11796</v>
      </c>
      <c r="AH41" s="868">
        <f t="shared" si="10"/>
        <v>0</v>
      </c>
      <c r="AI41" s="528">
        <f t="shared" si="11"/>
        <v>0.11817999999999999</v>
      </c>
      <c r="AK41" s="869">
        <f t="shared" si="12"/>
        <v>0.11817999999999999</v>
      </c>
      <c r="AM41" s="1743"/>
      <c r="AN41" s="1548"/>
      <c r="AO41" s="1473"/>
    </row>
    <row r="42" spans="1:41" x14ac:dyDescent="0.25">
      <c r="A42" s="479">
        <f t="shared" si="0"/>
        <v>36</v>
      </c>
      <c r="B42" s="505"/>
      <c r="C42" s="452" t="s">
        <v>7</v>
      </c>
      <c r="D42" s="1611">
        <v>0.10557999999999999</v>
      </c>
      <c r="E42" s="1095">
        <v>0</v>
      </c>
      <c r="F42" s="1612"/>
      <c r="G42" s="1151"/>
      <c r="H42" s="454">
        <f t="shared" si="2"/>
        <v>0.10557999999999999</v>
      </c>
      <c r="I42" s="1768">
        <v>0</v>
      </c>
      <c r="J42" s="872"/>
      <c r="K42" s="454"/>
      <c r="L42" s="454">
        <f t="shared" si="4"/>
        <v>0.10557999999999999</v>
      </c>
      <c r="M42" s="454">
        <f>+Temporaries!D42</f>
        <v>-2.1000000000000001E-4</v>
      </c>
      <c r="N42" s="454">
        <f>+Temporaries!AD42</f>
        <v>-2.0000000000000001E-4</v>
      </c>
      <c r="O42" s="454"/>
      <c r="P42" s="454"/>
      <c r="Q42" s="454"/>
      <c r="R42" s="454"/>
      <c r="S42" s="454"/>
      <c r="T42" s="454"/>
      <c r="U42" s="1484">
        <f>'Allocation = % of margin'!AB42</f>
        <v>0</v>
      </c>
      <c r="V42" s="454">
        <f t="shared" si="5"/>
        <v>0.10558999999999999</v>
      </c>
      <c r="W42" s="1095"/>
      <c r="X42" s="1095"/>
      <c r="AA42" s="505"/>
      <c r="AB42" s="871" t="s">
        <v>7</v>
      </c>
      <c r="AC42" s="1714">
        <f t="shared" si="6"/>
        <v>0.10579</v>
      </c>
      <c r="AD42" s="1715">
        <f t="shared" si="7"/>
        <v>0</v>
      </c>
      <c r="AE42" s="1715">
        <f t="shared" si="1"/>
        <v>0</v>
      </c>
      <c r="AF42" s="1715">
        <f t="shared" si="8"/>
        <v>-2.0000000000000001E-4</v>
      </c>
      <c r="AG42" s="1716">
        <f t="shared" si="9"/>
        <v>0.10558999999999999</v>
      </c>
      <c r="AH42" s="868">
        <f t="shared" si="10"/>
        <v>0</v>
      </c>
      <c r="AI42" s="528">
        <f t="shared" si="11"/>
        <v>0.10579</v>
      </c>
      <c r="AK42" s="869">
        <f t="shared" si="12"/>
        <v>0.10579</v>
      </c>
      <c r="AM42" s="1743"/>
      <c r="AN42" s="1548"/>
      <c r="AO42" s="1473"/>
    </row>
    <row r="43" spans="1:41" x14ac:dyDescent="0.25">
      <c r="A43" s="479">
        <f t="shared" si="0"/>
        <v>37</v>
      </c>
      <c r="B43" s="505"/>
      <c r="C43" s="452" t="s">
        <v>8</v>
      </c>
      <c r="D43" s="1611">
        <v>8.0960000000000004E-2</v>
      </c>
      <c r="E43" s="1095">
        <v>0</v>
      </c>
      <c r="F43" s="1612"/>
      <c r="G43" s="1151"/>
      <c r="H43" s="454">
        <f t="shared" si="2"/>
        <v>8.0960000000000004E-2</v>
      </c>
      <c r="I43" s="1768">
        <v>0</v>
      </c>
      <c r="J43" s="872"/>
      <c r="K43" s="454"/>
      <c r="L43" s="454">
        <f t="shared" si="4"/>
        <v>8.0960000000000004E-2</v>
      </c>
      <c r="M43" s="454">
        <f>+Temporaries!D43</f>
        <v>-1.6000000000000001E-4</v>
      </c>
      <c r="N43" s="454">
        <f>+Temporaries!AD43</f>
        <v>-1.4999999999999999E-4</v>
      </c>
      <c r="O43" s="454"/>
      <c r="P43" s="454"/>
      <c r="Q43" s="454"/>
      <c r="R43" s="454"/>
      <c r="S43" s="454"/>
      <c r="T43" s="454"/>
      <c r="U43" s="1484">
        <f>'Allocation = % of margin'!AB43</f>
        <v>0</v>
      </c>
      <c r="V43" s="454">
        <f t="shared" si="5"/>
        <v>8.097E-2</v>
      </c>
      <c r="W43" s="1095"/>
      <c r="X43" s="1095"/>
      <c r="AA43" s="505"/>
      <c r="AB43" s="871" t="s">
        <v>8</v>
      </c>
      <c r="AC43" s="1714">
        <f t="shared" si="6"/>
        <v>8.1119999999999998E-2</v>
      </c>
      <c r="AD43" s="1715">
        <f t="shared" si="7"/>
        <v>0</v>
      </c>
      <c r="AE43" s="1715">
        <f t="shared" si="1"/>
        <v>0</v>
      </c>
      <c r="AF43" s="1715">
        <f t="shared" si="8"/>
        <v>-1.4999999999999999E-4</v>
      </c>
      <c r="AG43" s="1716">
        <f t="shared" si="9"/>
        <v>8.097E-2</v>
      </c>
      <c r="AH43" s="868">
        <f t="shared" si="10"/>
        <v>0</v>
      </c>
      <c r="AI43" s="528">
        <f t="shared" si="11"/>
        <v>8.1119999999999998E-2</v>
      </c>
      <c r="AK43" s="869">
        <f t="shared" si="12"/>
        <v>8.1119999999999998E-2</v>
      </c>
      <c r="AM43" s="1743"/>
      <c r="AN43" s="1548"/>
      <c r="AO43" s="1473"/>
    </row>
    <row r="44" spans="1:41" x14ac:dyDescent="0.25">
      <c r="A44" s="479">
        <f t="shared" si="0"/>
        <v>38</v>
      </c>
      <c r="B44" s="505"/>
      <c r="C44" s="452" t="s">
        <v>9</v>
      </c>
      <c r="D44" s="1611">
        <v>6.4769999999999994E-2</v>
      </c>
      <c r="E44" s="1095">
        <v>0</v>
      </c>
      <c r="F44" s="1612"/>
      <c r="G44" s="1151"/>
      <c r="H44" s="454">
        <f t="shared" si="2"/>
        <v>6.4769999999999994E-2</v>
      </c>
      <c r="I44" s="1768">
        <v>0</v>
      </c>
      <c r="J44" s="872"/>
      <c r="K44" s="454"/>
      <c r="L44" s="454">
        <f t="shared" si="4"/>
        <v>6.4769999999999994E-2</v>
      </c>
      <c r="M44" s="454">
        <f>+Temporaries!D44</f>
        <v>-1.2999999999999999E-4</v>
      </c>
      <c r="N44" s="454">
        <f>+Temporaries!AD44</f>
        <v>-1.2E-4</v>
      </c>
      <c r="O44" s="454"/>
      <c r="P44" s="454"/>
      <c r="Q44" s="454"/>
      <c r="R44" s="454"/>
      <c r="S44" s="454"/>
      <c r="T44" s="454"/>
      <c r="U44" s="1484">
        <f>'Allocation = % of margin'!AB44</f>
        <v>0</v>
      </c>
      <c r="V44" s="454">
        <f t="shared" si="5"/>
        <v>6.4780000000000004E-2</v>
      </c>
      <c r="W44" s="1095"/>
      <c r="X44" s="1095"/>
      <c r="AA44" s="505"/>
      <c r="AB44" s="871" t="s">
        <v>9</v>
      </c>
      <c r="AC44" s="1714">
        <f t="shared" si="6"/>
        <v>6.4899999999999999E-2</v>
      </c>
      <c r="AD44" s="1715">
        <f t="shared" si="7"/>
        <v>0</v>
      </c>
      <c r="AE44" s="1715">
        <f t="shared" si="1"/>
        <v>0</v>
      </c>
      <c r="AF44" s="1715">
        <f t="shared" si="8"/>
        <v>-1.2E-4</v>
      </c>
      <c r="AG44" s="1716">
        <f t="shared" si="9"/>
        <v>6.4780000000000004E-2</v>
      </c>
      <c r="AH44" s="868">
        <f t="shared" si="10"/>
        <v>0</v>
      </c>
      <c r="AI44" s="528">
        <f t="shared" si="11"/>
        <v>6.4899999999999999E-2</v>
      </c>
      <c r="AK44" s="869">
        <f t="shared" si="12"/>
        <v>6.4899999999999999E-2</v>
      </c>
      <c r="AM44" s="1743"/>
      <c r="AN44" s="1548"/>
      <c r="AO44" s="1473"/>
    </row>
    <row r="45" spans="1:41" x14ac:dyDescent="0.25">
      <c r="A45" s="479">
        <f t="shared" si="0"/>
        <v>39</v>
      </c>
      <c r="B45" s="505"/>
      <c r="C45" s="452" t="s">
        <v>10</v>
      </c>
      <c r="D45" s="1611">
        <v>4.3180000000000003E-2</v>
      </c>
      <c r="E45" s="1095">
        <v>0</v>
      </c>
      <c r="F45" s="1612"/>
      <c r="G45" s="1151"/>
      <c r="H45" s="454">
        <f t="shared" si="2"/>
        <v>4.3180000000000003E-2</v>
      </c>
      <c r="I45" s="1768">
        <v>0</v>
      </c>
      <c r="J45" s="872"/>
      <c r="K45" s="454"/>
      <c r="L45" s="454">
        <f t="shared" si="4"/>
        <v>4.3180000000000003E-2</v>
      </c>
      <c r="M45" s="454">
        <f>+Temporaries!D45</f>
        <v>-9.0000000000000006E-5</v>
      </c>
      <c r="N45" s="454">
        <f>+Temporaries!AD45</f>
        <v>-8.0000000000000007E-5</v>
      </c>
      <c r="O45" s="454"/>
      <c r="P45" s="454"/>
      <c r="Q45" s="454"/>
      <c r="R45" s="454"/>
      <c r="S45" s="454"/>
      <c r="T45" s="454"/>
      <c r="U45" s="1484">
        <f>'Allocation = % of margin'!AB45</f>
        <v>0</v>
      </c>
      <c r="V45" s="454">
        <f t="shared" si="5"/>
        <v>4.3190000000000006E-2</v>
      </c>
      <c r="W45" s="1095"/>
      <c r="X45" s="1095"/>
      <c r="AA45" s="505"/>
      <c r="AB45" s="871" t="s">
        <v>10</v>
      </c>
      <c r="AC45" s="1714">
        <f t="shared" si="6"/>
        <v>4.3270000000000003E-2</v>
      </c>
      <c r="AD45" s="1715">
        <f t="shared" si="7"/>
        <v>0</v>
      </c>
      <c r="AE45" s="1715">
        <f t="shared" si="1"/>
        <v>0</v>
      </c>
      <c r="AF45" s="1715">
        <f t="shared" si="8"/>
        <v>-8.0000000000000007E-5</v>
      </c>
      <c r="AG45" s="1716">
        <f t="shared" si="9"/>
        <v>4.3190000000000006E-2</v>
      </c>
      <c r="AH45" s="868">
        <f t="shared" si="10"/>
        <v>0</v>
      </c>
      <c r="AI45" s="528">
        <f t="shared" si="11"/>
        <v>4.3270000000000003E-2</v>
      </c>
      <c r="AK45" s="869">
        <f t="shared" ref="AK45:AK67" si="16">AI45-I45</f>
        <v>4.3270000000000003E-2</v>
      </c>
      <c r="AM45" s="1743"/>
      <c r="AN45" s="1548"/>
      <c r="AO45" s="1473"/>
    </row>
    <row r="46" spans="1:41" x14ac:dyDescent="0.25">
      <c r="A46" s="479">
        <f t="shared" si="0"/>
        <v>40</v>
      </c>
      <c r="B46" s="510"/>
      <c r="C46" s="456" t="s">
        <v>11</v>
      </c>
      <c r="D46" s="1609">
        <v>1.619E-2</v>
      </c>
      <c r="E46" s="1060">
        <v>0</v>
      </c>
      <c r="F46" s="1610"/>
      <c r="G46" s="1150"/>
      <c r="H46" s="448">
        <f t="shared" si="2"/>
        <v>1.619E-2</v>
      </c>
      <c r="I46" s="1767">
        <v>0</v>
      </c>
      <c r="J46" s="867"/>
      <c r="K46" s="448"/>
      <c r="L46" s="448">
        <f t="shared" si="4"/>
        <v>1.619E-2</v>
      </c>
      <c r="M46" s="448">
        <f>+Temporaries!D46</f>
        <v>-3.0000000000000001E-5</v>
      </c>
      <c r="N46" s="448">
        <f>+Temporaries!AD46</f>
        <v>-3.0000000000000001E-5</v>
      </c>
      <c r="O46" s="448"/>
      <c r="P46" s="448"/>
      <c r="Q46" s="448"/>
      <c r="R46" s="448"/>
      <c r="S46" s="448"/>
      <c r="T46" s="448"/>
      <c r="U46" s="1495">
        <f>'Allocation = % of margin'!AB46</f>
        <v>0</v>
      </c>
      <c r="V46" s="448">
        <f t="shared" si="5"/>
        <v>1.619E-2</v>
      </c>
      <c r="W46" s="1095"/>
      <c r="X46" s="1095"/>
      <c r="AA46" s="510"/>
      <c r="AB46" s="873" t="s">
        <v>11</v>
      </c>
      <c r="AC46" s="1714">
        <f t="shared" si="6"/>
        <v>1.6219999999999998E-2</v>
      </c>
      <c r="AD46" s="1715">
        <f t="shared" si="7"/>
        <v>0</v>
      </c>
      <c r="AE46" s="1715">
        <f t="shared" si="1"/>
        <v>0</v>
      </c>
      <c r="AF46" s="1715">
        <f t="shared" si="8"/>
        <v>-3.0000000000000001E-5</v>
      </c>
      <c r="AG46" s="1716">
        <f t="shared" si="9"/>
        <v>1.619E-2</v>
      </c>
      <c r="AH46" s="868">
        <f t="shared" si="10"/>
        <v>0</v>
      </c>
      <c r="AI46" s="528">
        <f t="shared" si="11"/>
        <v>1.6219999999999998E-2</v>
      </c>
      <c r="AK46" s="869">
        <f t="shared" si="16"/>
        <v>1.6219999999999998E-2</v>
      </c>
      <c r="AM46" s="1743"/>
      <c r="AN46" s="1548"/>
      <c r="AO46" s="1473"/>
    </row>
    <row r="47" spans="1:41" x14ac:dyDescent="0.25">
      <c r="A47" s="479">
        <f t="shared" si="0"/>
        <v>41</v>
      </c>
      <c r="B47" s="505" t="s">
        <v>861</v>
      </c>
      <c r="C47" s="452" t="s">
        <v>6</v>
      </c>
      <c r="D47" s="1611">
        <v>0.31897999999999999</v>
      </c>
      <c r="E47" s="1095">
        <f t="shared" ref="E47:E58" si="17">+$E$13</f>
        <v>0.22356000000000001</v>
      </c>
      <c r="F47" s="1612"/>
      <c r="G47" s="1151"/>
      <c r="H47" s="454">
        <f t="shared" ref="H47:H52" si="18">+D47-SUM(E47:G47)</f>
        <v>9.5419999999999977E-2</v>
      </c>
      <c r="I47" s="1768">
        <f t="shared" ref="I47:I52" si="19">+$I$13</f>
        <v>0.20291000000000001</v>
      </c>
      <c r="J47" s="872"/>
      <c r="K47" s="454"/>
      <c r="L47" s="454">
        <f t="shared" ref="L47:L52" si="20">SUM(H47:K47)</f>
        <v>0.29832999999999998</v>
      </c>
      <c r="M47" s="454">
        <f>+Temporaries!D47</f>
        <v>-2.3139999999999997E-2</v>
      </c>
      <c r="N47" s="454">
        <f>+Temporaries!AD47</f>
        <v>3.8870000000000002E-2</v>
      </c>
      <c r="O47" s="454"/>
      <c r="P47" s="454"/>
      <c r="Q47" s="454"/>
      <c r="R47" s="454"/>
      <c r="S47" s="454"/>
      <c r="T47" s="454"/>
      <c r="U47" s="1484">
        <f>'Allocation = % of margin'!AB47</f>
        <v>0</v>
      </c>
      <c r="V47" s="454">
        <f t="shared" si="5"/>
        <v>0.36033999999999999</v>
      </c>
      <c r="W47" s="1095"/>
      <c r="X47" s="1095"/>
      <c r="AA47" s="505" t="s">
        <v>861</v>
      </c>
      <c r="AB47" s="452" t="s">
        <v>6</v>
      </c>
      <c r="AC47" s="1714">
        <f t="shared" si="6"/>
        <v>0.11855999999999998</v>
      </c>
      <c r="AD47" s="1715">
        <f t="shared" si="7"/>
        <v>0</v>
      </c>
      <c r="AE47" s="1715">
        <f t="shared" si="1"/>
        <v>0.20291000000000001</v>
      </c>
      <c r="AF47" s="1715">
        <f t="shared" si="8"/>
        <v>3.8870000000000002E-2</v>
      </c>
      <c r="AG47" s="1716">
        <f t="shared" si="9"/>
        <v>0.36033999999999999</v>
      </c>
      <c r="AH47" s="868">
        <f t="shared" si="10"/>
        <v>0</v>
      </c>
      <c r="AI47" s="528">
        <f t="shared" si="11"/>
        <v>0.32146999999999998</v>
      </c>
      <c r="AK47" s="869">
        <f t="shared" si="16"/>
        <v>0.11855999999999997</v>
      </c>
      <c r="AM47" s="1743"/>
      <c r="AN47" s="1548"/>
      <c r="AO47" s="1473"/>
    </row>
    <row r="48" spans="1:41" x14ac:dyDescent="0.25">
      <c r="A48" s="479">
        <f t="shared" si="0"/>
        <v>42</v>
      </c>
      <c r="B48" s="505"/>
      <c r="C48" s="452" t="s">
        <v>7</v>
      </c>
      <c r="D48" s="1611">
        <v>0.30522999999999989</v>
      </c>
      <c r="E48" s="1095">
        <f t="shared" si="17"/>
        <v>0.22356000000000001</v>
      </c>
      <c r="F48" s="1612"/>
      <c r="G48" s="1151"/>
      <c r="H48" s="454">
        <f t="shared" si="18"/>
        <v>8.1669999999999882E-2</v>
      </c>
      <c r="I48" s="1768">
        <f t="shared" si="19"/>
        <v>0.20291000000000001</v>
      </c>
      <c r="J48" s="872"/>
      <c r="K48" s="454"/>
      <c r="L48" s="454">
        <f t="shared" si="20"/>
        <v>0.28457999999999989</v>
      </c>
      <c r="M48" s="454">
        <f>+Temporaries!D48</f>
        <v>-2.445E-2</v>
      </c>
      <c r="N48" s="454">
        <f>+Temporaries!AD48</f>
        <v>3.7449999999999997E-2</v>
      </c>
      <c r="O48" s="454"/>
      <c r="P48" s="454"/>
      <c r="Q48" s="454"/>
      <c r="R48" s="454"/>
      <c r="S48" s="454"/>
      <c r="T48" s="454"/>
      <c r="U48" s="1484">
        <f>'Allocation = % of margin'!AB48</f>
        <v>0</v>
      </c>
      <c r="V48" s="454">
        <f t="shared" si="5"/>
        <v>0.3464799999999999</v>
      </c>
      <c r="W48" s="1095"/>
      <c r="X48" s="1095"/>
      <c r="AA48" s="505"/>
      <c r="AB48" s="452" t="s">
        <v>7</v>
      </c>
      <c r="AC48" s="1714">
        <f t="shared" si="6"/>
        <v>0.10611999999999989</v>
      </c>
      <c r="AD48" s="1715">
        <f t="shared" si="7"/>
        <v>0</v>
      </c>
      <c r="AE48" s="1715">
        <f t="shared" si="1"/>
        <v>0.20291000000000001</v>
      </c>
      <c r="AF48" s="1715">
        <f t="shared" si="8"/>
        <v>3.7449999999999997E-2</v>
      </c>
      <c r="AG48" s="1716">
        <f t="shared" si="9"/>
        <v>0.3464799999999999</v>
      </c>
      <c r="AH48" s="868">
        <f t="shared" si="10"/>
        <v>0</v>
      </c>
      <c r="AI48" s="528">
        <f t="shared" si="11"/>
        <v>0.30902999999999992</v>
      </c>
      <c r="AK48" s="869">
        <f t="shared" si="16"/>
        <v>0.10611999999999991</v>
      </c>
      <c r="AM48" s="1743"/>
      <c r="AN48" s="1548"/>
      <c r="AO48" s="1473"/>
    </row>
    <row r="49" spans="1:41" x14ac:dyDescent="0.25">
      <c r="A49" s="479">
        <f t="shared" si="0"/>
        <v>43</v>
      </c>
      <c r="B49" s="505"/>
      <c r="C49" s="452" t="s">
        <v>8</v>
      </c>
      <c r="D49" s="1611">
        <v>0.27787000000000012</v>
      </c>
      <c r="E49" s="1095">
        <f t="shared" si="17"/>
        <v>0.22356000000000001</v>
      </c>
      <c r="F49" s="1612"/>
      <c r="G49" s="1151"/>
      <c r="H49" s="454">
        <f t="shared" si="18"/>
        <v>5.4310000000000108E-2</v>
      </c>
      <c r="I49" s="1768">
        <f t="shared" si="19"/>
        <v>0.20291000000000001</v>
      </c>
      <c r="J49" s="872"/>
      <c r="K49" s="454"/>
      <c r="L49" s="454">
        <f t="shared" si="20"/>
        <v>0.25722000000000012</v>
      </c>
      <c r="M49" s="454">
        <f>+Temporaries!D49</f>
        <v>-2.7069999999999997E-2</v>
      </c>
      <c r="N49" s="454">
        <f>+Temporaries!AD49</f>
        <v>3.4619999999999998E-2</v>
      </c>
      <c r="O49" s="454"/>
      <c r="P49" s="454"/>
      <c r="Q49" s="454"/>
      <c r="R49" s="454"/>
      <c r="S49" s="454"/>
      <c r="T49" s="454"/>
      <c r="U49" s="1484">
        <f>'Allocation = % of margin'!AB49</f>
        <v>0</v>
      </c>
      <c r="V49" s="454">
        <f t="shared" si="5"/>
        <v>0.31891000000000008</v>
      </c>
      <c r="W49" s="1095"/>
      <c r="X49" s="1095"/>
      <c r="AA49" s="505"/>
      <c r="AB49" s="452" t="s">
        <v>8</v>
      </c>
      <c r="AC49" s="1714">
        <f t="shared" si="6"/>
        <v>8.1380000000000077E-2</v>
      </c>
      <c r="AD49" s="1715">
        <f t="shared" si="7"/>
        <v>0</v>
      </c>
      <c r="AE49" s="1715">
        <f t="shared" si="1"/>
        <v>0.20291000000000001</v>
      </c>
      <c r="AF49" s="1715">
        <f t="shared" si="8"/>
        <v>3.4619999999999998E-2</v>
      </c>
      <c r="AG49" s="1716">
        <f t="shared" si="9"/>
        <v>0.31891000000000008</v>
      </c>
      <c r="AH49" s="868">
        <f t="shared" si="10"/>
        <v>0</v>
      </c>
      <c r="AI49" s="528">
        <f t="shared" si="11"/>
        <v>0.2842900000000001</v>
      </c>
      <c r="AK49" s="869">
        <f t="shared" si="16"/>
        <v>8.1380000000000091E-2</v>
      </c>
      <c r="AM49" s="1743"/>
      <c r="AN49" s="1548"/>
      <c r="AO49" s="1473"/>
    </row>
    <row r="50" spans="1:41" x14ac:dyDescent="0.25">
      <c r="A50" s="479">
        <f t="shared" si="0"/>
        <v>44</v>
      </c>
      <c r="B50" s="505"/>
      <c r="C50" s="452" t="s">
        <v>9</v>
      </c>
      <c r="D50" s="1611">
        <v>0.25987999999999994</v>
      </c>
      <c r="E50" s="1095">
        <f t="shared" si="17"/>
        <v>0.22356000000000001</v>
      </c>
      <c r="F50" s="1612"/>
      <c r="G50" s="1151"/>
      <c r="H50" s="454">
        <f t="shared" si="18"/>
        <v>3.6319999999999936E-2</v>
      </c>
      <c r="I50" s="1768">
        <f t="shared" si="19"/>
        <v>0.20291000000000001</v>
      </c>
      <c r="J50" s="872"/>
      <c r="K50" s="454"/>
      <c r="L50" s="454">
        <f t="shared" si="20"/>
        <v>0.23922999999999994</v>
      </c>
      <c r="M50" s="454">
        <f>+Temporaries!D50</f>
        <v>-2.8779999999999997E-2</v>
      </c>
      <c r="N50" s="454">
        <f>+Temporaries!AD50</f>
        <v>3.2759999999999997E-2</v>
      </c>
      <c r="O50" s="454"/>
      <c r="P50" s="454"/>
      <c r="Q50" s="454"/>
      <c r="R50" s="454"/>
      <c r="S50" s="454"/>
      <c r="T50" s="454"/>
      <c r="U50" s="1484">
        <f>'Allocation = % of margin'!AB50</f>
        <v>0</v>
      </c>
      <c r="V50" s="454">
        <f t="shared" si="5"/>
        <v>0.30076999999999993</v>
      </c>
      <c r="W50" s="1095"/>
      <c r="X50" s="1095"/>
      <c r="AA50" s="505"/>
      <c r="AB50" s="452" t="s">
        <v>9</v>
      </c>
      <c r="AC50" s="1714">
        <f t="shared" si="6"/>
        <v>6.5099999999999922E-2</v>
      </c>
      <c r="AD50" s="1715">
        <f t="shared" si="7"/>
        <v>0</v>
      </c>
      <c r="AE50" s="1715">
        <f t="shared" si="1"/>
        <v>0.20291000000000001</v>
      </c>
      <c r="AF50" s="1715">
        <f t="shared" si="8"/>
        <v>3.2759999999999997E-2</v>
      </c>
      <c r="AG50" s="1716">
        <f t="shared" si="9"/>
        <v>0.30076999999999993</v>
      </c>
      <c r="AH50" s="868">
        <f t="shared" si="10"/>
        <v>0</v>
      </c>
      <c r="AI50" s="528">
        <f t="shared" si="11"/>
        <v>0.26800999999999991</v>
      </c>
      <c r="AK50" s="869">
        <f t="shared" si="16"/>
        <v>6.5099999999999908E-2</v>
      </c>
      <c r="AM50" s="1743"/>
      <c r="AN50" s="1548"/>
      <c r="AO50" s="1473"/>
    </row>
    <row r="51" spans="1:41" x14ac:dyDescent="0.25">
      <c r="A51" s="479">
        <f t="shared" si="0"/>
        <v>45</v>
      </c>
      <c r="B51" s="505"/>
      <c r="C51" s="452" t="s">
        <v>10</v>
      </c>
      <c r="D51" s="1611">
        <v>0.23588000000000003</v>
      </c>
      <c r="E51" s="1095">
        <f t="shared" si="17"/>
        <v>0.22356000000000001</v>
      </c>
      <c r="F51" s="1612"/>
      <c r="G51" s="1151"/>
      <c r="H51" s="454">
        <f t="shared" si="18"/>
        <v>1.2320000000000025E-2</v>
      </c>
      <c r="I51" s="1768">
        <f t="shared" si="19"/>
        <v>0.20291000000000001</v>
      </c>
      <c r="J51" s="872"/>
      <c r="K51" s="454"/>
      <c r="L51" s="454">
        <f t="shared" si="20"/>
        <v>0.21523000000000003</v>
      </c>
      <c r="M51" s="454">
        <f>+Temporaries!D51</f>
        <v>-3.1079999999999997E-2</v>
      </c>
      <c r="N51" s="454">
        <f>+Temporaries!AD51</f>
        <v>3.0289999999999997E-2</v>
      </c>
      <c r="O51" s="454"/>
      <c r="P51" s="454"/>
      <c r="Q51" s="454"/>
      <c r="R51" s="454"/>
      <c r="S51" s="454"/>
      <c r="T51" s="454"/>
      <c r="U51" s="1484">
        <f>'Allocation = % of margin'!AB51</f>
        <v>0</v>
      </c>
      <c r="V51" s="454">
        <f t="shared" si="5"/>
        <v>0.27660000000000001</v>
      </c>
      <c r="W51" s="1095"/>
      <c r="X51" s="1095"/>
      <c r="AA51" s="505"/>
      <c r="AB51" s="452" t="s">
        <v>10</v>
      </c>
      <c r="AC51" s="1714">
        <f t="shared" si="6"/>
        <v>4.3400000000000008E-2</v>
      </c>
      <c r="AD51" s="1715">
        <f t="shared" si="7"/>
        <v>0</v>
      </c>
      <c r="AE51" s="1715">
        <f t="shared" si="1"/>
        <v>0.20291000000000001</v>
      </c>
      <c r="AF51" s="1715">
        <f t="shared" si="8"/>
        <v>3.0289999999999997E-2</v>
      </c>
      <c r="AG51" s="1716">
        <f t="shared" si="9"/>
        <v>0.27660000000000001</v>
      </c>
      <c r="AH51" s="868">
        <f t="shared" si="10"/>
        <v>0</v>
      </c>
      <c r="AI51" s="528">
        <f t="shared" si="11"/>
        <v>0.24631000000000003</v>
      </c>
      <c r="AK51" s="869">
        <f t="shared" si="16"/>
        <v>4.3400000000000022E-2</v>
      </c>
      <c r="AM51" s="1743"/>
      <c r="AN51" s="1548"/>
      <c r="AO51" s="1473"/>
    </row>
    <row r="52" spans="1:41" x14ac:dyDescent="0.25">
      <c r="A52" s="479">
        <f t="shared" si="0"/>
        <v>46</v>
      </c>
      <c r="B52" s="510"/>
      <c r="C52" s="456" t="s">
        <v>11</v>
      </c>
      <c r="D52" s="1609">
        <v>0.20589999999999992</v>
      </c>
      <c r="E52" s="1060">
        <f t="shared" si="17"/>
        <v>0.22356000000000001</v>
      </c>
      <c r="F52" s="1610"/>
      <c r="G52" s="1150"/>
      <c r="H52" s="448">
        <f t="shared" si="18"/>
        <v>-1.7660000000000092E-2</v>
      </c>
      <c r="I52" s="1767">
        <f t="shared" si="19"/>
        <v>0.20291000000000001</v>
      </c>
      <c r="J52" s="867"/>
      <c r="K52" s="448"/>
      <c r="L52" s="448">
        <f t="shared" si="20"/>
        <v>0.18524999999999991</v>
      </c>
      <c r="M52" s="448">
        <f>+Temporaries!D52</f>
        <v>-3.3939999999999998E-2</v>
      </c>
      <c r="N52" s="448">
        <f>+Temporaries!AD52</f>
        <v>2.7189999999999999E-2</v>
      </c>
      <c r="O52" s="448"/>
      <c r="P52" s="448"/>
      <c r="Q52" s="448"/>
      <c r="R52" s="448"/>
      <c r="S52" s="448"/>
      <c r="T52" s="448"/>
      <c r="U52" s="1495">
        <f>'Allocation = % of margin'!AB52</f>
        <v>0</v>
      </c>
      <c r="V52" s="448">
        <f t="shared" si="5"/>
        <v>0.2463799999999999</v>
      </c>
      <c r="W52" s="1095"/>
      <c r="X52" s="1095"/>
      <c r="AA52" s="510"/>
      <c r="AB52" s="456" t="s">
        <v>11</v>
      </c>
      <c r="AC52" s="1714">
        <f t="shared" si="6"/>
        <v>1.6279999999999899E-2</v>
      </c>
      <c r="AD52" s="1715">
        <f t="shared" si="7"/>
        <v>0</v>
      </c>
      <c r="AE52" s="1715">
        <f t="shared" si="1"/>
        <v>0.20291000000000001</v>
      </c>
      <c r="AF52" s="1715">
        <f t="shared" si="8"/>
        <v>2.7189999999999999E-2</v>
      </c>
      <c r="AG52" s="1716">
        <f t="shared" si="9"/>
        <v>0.2463799999999999</v>
      </c>
      <c r="AH52" s="868">
        <f t="shared" si="10"/>
        <v>0</v>
      </c>
      <c r="AI52" s="528">
        <f t="shared" si="11"/>
        <v>0.21918999999999991</v>
      </c>
      <c r="AK52" s="869">
        <f t="shared" si="16"/>
        <v>1.6279999999999906E-2</v>
      </c>
      <c r="AM52" s="1743"/>
      <c r="AN52" s="1548"/>
      <c r="AO52" s="1473"/>
    </row>
    <row r="53" spans="1:41" x14ac:dyDescent="0.25">
      <c r="A53" s="479">
        <f t="shared" si="0"/>
        <v>47</v>
      </c>
      <c r="B53" s="505" t="s">
        <v>862</v>
      </c>
      <c r="C53" s="452" t="s">
        <v>6</v>
      </c>
      <c r="D53" s="1611">
        <v>0.30886999999999998</v>
      </c>
      <c r="E53" s="1095">
        <f t="shared" si="17"/>
        <v>0.22356000000000001</v>
      </c>
      <c r="F53" s="1612"/>
      <c r="G53" s="1151"/>
      <c r="H53" s="454">
        <f t="shared" si="2"/>
        <v>8.5309999999999969E-2</v>
      </c>
      <c r="I53" s="1768">
        <f t="shared" ref="I53:I58" si="21">+$I$13</f>
        <v>0.20291000000000001</v>
      </c>
      <c r="J53" s="872"/>
      <c r="K53" s="454"/>
      <c r="L53" s="454">
        <f t="shared" si="4"/>
        <v>0.28821999999999998</v>
      </c>
      <c r="M53" s="454">
        <f>+Temporaries!D53</f>
        <v>-3.3389999999999996E-2</v>
      </c>
      <c r="N53" s="454">
        <f>+Temporaries!AD53</f>
        <v>2.7669999999999997E-2</v>
      </c>
      <c r="O53" s="454"/>
      <c r="P53" s="454"/>
      <c r="Q53" s="454"/>
      <c r="R53" s="454"/>
      <c r="S53" s="454"/>
      <c r="T53" s="454"/>
      <c r="U53" s="1484">
        <f>'Allocation = % of margin'!AB53</f>
        <v>0</v>
      </c>
      <c r="V53" s="454">
        <f t="shared" si="5"/>
        <v>0.34927999999999992</v>
      </c>
      <c r="W53" s="1095"/>
      <c r="X53" s="1095"/>
      <c r="AA53" s="505" t="s">
        <v>862</v>
      </c>
      <c r="AB53" s="871" t="s">
        <v>6</v>
      </c>
      <c r="AC53" s="1714">
        <f t="shared" si="6"/>
        <v>0.11869999999999992</v>
      </c>
      <c r="AD53" s="1715">
        <f t="shared" si="7"/>
        <v>0</v>
      </c>
      <c r="AE53" s="1715">
        <f t="shared" si="1"/>
        <v>0.20291000000000001</v>
      </c>
      <c r="AF53" s="1715">
        <f t="shared" si="8"/>
        <v>2.7669999999999997E-2</v>
      </c>
      <c r="AG53" s="1716">
        <f t="shared" si="9"/>
        <v>0.34927999999999992</v>
      </c>
      <c r="AH53" s="868">
        <f t="shared" si="10"/>
        <v>0</v>
      </c>
      <c r="AI53" s="528">
        <f t="shared" si="11"/>
        <v>0.32160999999999995</v>
      </c>
      <c r="AK53" s="869">
        <f t="shared" si="16"/>
        <v>0.11869999999999994</v>
      </c>
      <c r="AM53" s="1743"/>
      <c r="AN53" s="1548"/>
      <c r="AO53" s="1473"/>
    </row>
    <row r="54" spans="1:41" x14ac:dyDescent="0.25">
      <c r="A54" s="479">
        <f t="shared" si="0"/>
        <v>48</v>
      </c>
      <c r="B54" s="505"/>
      <c r="C54" s="452" t="s">
        <v>7</v>
      </c>
      <c r="D54" s="1611">
        <v>0.29617999999999989</v>
      </c>
      <c r="E54" s="1095">
        <f t="shared" si="17"/>
        <v>0.22356000000000001</v>
      </c>
      <c r="F54" s="1612"/>
      <c r="G54" s="1151"/>
      <c r="H54" s="454">
        <f t="shared" si="2"/>
        <v>7.2619999999999879E-2</v>
      </c>
      <c r="I54" s="1768">
        <f t="shared" si="21"/>
        <v>0.20291000000000001</v>
      </c>
      <c r="J54" s="872"/>
      <c r="K54" s="454"/>
      <c r="L54" s="454">
        <f t="shared" si="4"/>
        <v>0.27552999999999989</v>
      </c>
      <c r="M54" s="454">
        <f>+Temporaries!D54</f>
        <v>-3.363E-2</v>
      </c>
      <c r="N54" s="454">
        <f>+Temporaries!AD54</f>
        <v>2.743E-2</v>
      </c>
      <c r="O54" s="454"/>
      <c r="P54" s="454"/>
      <c r="Q54" s="454"/>
      <c r="R54" s="454"/>
      <c r="S54" s="454"/>
      <c r="T54" s="454"/>
      <c r="U54" s="1484">
        <f>'Allocation = % of margin'!AB54</f>
        <v>0</v>
      </c>
      <c r="V54" s="454">
        <f t="shared" si="5"/>
        <v>0.33658999999999989</v>
      </c>
      <c r="W54" s="1095"/>
      <c r="X54" s="1095"/>
      <c r="AA54" s="505"/>
      <c r="AB54" s="871" t="s">
        <v>7</v>
      </c>
      <c r="AC54" s="1714">
        <f t="shared" si="6"/>
        <v>0.10624999999999989</v>
      </c>
      <c r="AD54" s="1715">
        <f t="shared" si="7"/>
        <v>0</v>
      </c>
      <c r="AE54" s="1715">
        <f t="shared" si="1"/>
        <v>0.20291000000000001</v>
      </c>
      <c r="AF54" s="1715">
        <f t="shared" si="8"/>
        <v>2.743E-2</v>
      </c>
      <c r="AG54" s="1716">
        <f t="shared" si="9"/>
        <v>0.33658999999999989</v>
      </c>
      <c r="AH54" s="868">
        <f t="shared" si="10"/>
        <v>0</v>
      </c>
      <c r="AI54" s="528">
        <f t="shared" si="11"/>
        <v>0.30915999999999988</v>
      </c>
      <c r="AK54" s="869">
        <f t="shared" si="16"/>
        <v>0.10624999999999987</v>
      </c>
      <c r="AM54" s="1743"/>
      <c r="AN54" s="1548"/>
      <c r="AO54" s="1473"/>
    </row>
    <row r="55" spans="1:41" x14ac:dyDescent="0.25">
      <c r="A55" s="479">
        <f t="shared" si="0"/>
        <v>49</v>
      </c>
      <c r="B55" s="505"/>
      <c r="C55" s="452" t="s">
        <v>8</v>
      </c>
      <c r="D55" s="1611">
        <v>0.27094000000000013</v>
      </c>
      <c r="E55" s="1095">
        <f t="shared" si="17"/>
        <v>0.22356000000000001</v>
      </c>
      <c r="F55" s="1612"/>
      <c r="G55" s="1151"/>
      <c r="H55" s="454">
        <f t="shared" si="2"/>
        <v>4.7380000000000116E-2</v>
      </c>
      <c r="I55" s="1768">
        <f t="shared" si="21"/>
        <v>0.20291000000000001</v>
      </c>
      <c r="J55" s="872"/>
      <c r="K55" s="454"/>
      <c r="L55" s="454">
        <f t="shared" si="4"/>
        <v>0.25029000000000012</v>
      </c>
      <c r="M55" s="454">
        <f>+Temporaries!D55</f>
        <v>-3.4099999999999998E-2</v>
      </c>
      <c r="N55" s="454">
        <f>+Temporaries!AD55</f>
        <v>2.6939999999999999E-2</v>
      </c>
      <c r="O55" s="454"/>
      <c r="P55" s="454"/>
      <c r="Q55" s="454"/>
      <c r="R55" s="454"/>
      <c r="S55" s="454"/>
      <c r="T55" s="454"/>
      <c r="U55" s="1484">
        <f>'Allocation = % of margin'!AB55</f>
        <v>0</v>
      </c>
      <c r="V55" s="454">
        <f t="shared" si="5"/>
        <v>0.31133000000000016</v>
      </c>
      <c r="W55" s="1095"/>
      <c r="X55" s="1095"/>
      <c r="AA55" s="505"/>
      <c r="AB55" s="871" t="s">
        <v>8</v>
      </c>
      <c r="AC55" s="1714">
        <f t="shared" si="6"/>
        <v>8.1480000000000163E-2</v>
      </c>
      <c r="AD55" s="1715">
        <f t="shared" si="7"/>
        <v>0</v>
      </c>
      <c r="AE55" s="1715">
        <f t="shared" si="1"/>
        <v>0.20291000000000001</v>
      </c>
      <c r="AF55" s="1715">
        <f t="shared" si="8"/>
        <v>2.6939999999999999E-2</v>
      </c>
      <c r="AG55" s="1716">
        <f t="shared" si="9"/>
        <v>0.31133000000000016</v>
      </c>
      <c r="AH55" s="868">
        <f t="shared" si="10"/>
        <v>0</v>
      </c>
      <c r="AI55" s="528">
        <f t="shared" si="11"/>
        <v>0.28439000000000014</v>
      </c>
      <c r="AK55" s="869">
        <f t="shared" si="16"/>
        <v>8.1480000000000136E-2</v>
      </c>
      <c r="AM55" s="1743"/>
      <c r="AN55" s="1548"/>
      <c r="AO55" s="1473"/>
    </row>
    <row r="56" spans="1:41" x14ac:dyDescent="0.25">
      <c r="A56" s="479">
        <f t="shared" si="0"/>
        <v>50</v>
      </c>
      <c r="B56" s="505"/>
      <c r="C56" s="452" t="s">
        <v>9</v>
      </c>
      <c r="D56" s="1611">
        <v>0.25432999999999983</v>
      </c>
      <c r="E56" s="1095">
        <f t="shared" si="17"/>
        <v>0.22356000000000001</v>
      </c>
      <c r="F56" s="1612"/>
      <c r="G56" s="1151"/>
      <c r="H56" s="454">
        <f t="shared" si="2"/>
        <v>3.0769999999999825E-2</v>
      </c>
      <c r="I56" s="1768">
        <f t="shared" si="21"/>
        <v>0.20291000000000001</v>
      </c>
      <c r="J56" s="872"/>
      <c r="K56" s="454"/>
      <c r="L56" s="454">
        <f t="shared" si="4"/>
        <v>0.23367999999999983</v>
      </c>
      <c r="M56" s="454">
        <f>+Temporaries!D56</f>
        <v>-3.4409999999999996E-2</v>
      </c>
      <c r="N56" s="454">
        <f>+Temporaries!AD56</f>
        <v>2.6609999999999998E-2</v>
      </c>
      <c r="O56" s="454"/>
      <c r="P56" s="454"/>
      <c r="Q56" s="454"/>
      <c r="R56" s="454"/>
      <c r="S56" s="454"/>
      <c r="T56" s="454"/>
      <c r="U56" s="1484">
        <f>'Allocation = % of margin'!AB56</f>
        <v>0</v>
      </c>
      <c r="V56" s="454">
        <f t="shared" si="5"/>
        <v>0.29469999999999985</v>
      </c>
      <c r="W56" s="1095"/>
      <c r="X56" s="1095"/>
      <c r="AA56" s="505"/>
      <c r="AB56" s="871" t="s">
        <v>9</v>
      </c>
      <c r="AC56" s="1714">
        <f t="shared" si="6"/>
        <v>6.5179999999999849E-2</v>
      </c>
      <c r="AD56" s="1715">
        <f t="shared" si="7"/>
        <v>0</v>
      </c>
      <c r="AE56" s="1715">
        <f t="shared" si="1"/>
        <v>0.20291000000000001</v>
      </c>
      <c r="AF56" s="1715">
        <f t="shared" si="8"/>
        <v>2.6609999999999998E-2</v>
      </c>
      <c r="AG56" s="1716">
        <f t="shared" si="9"/>
        <v>0.29469999999999985</v>
      </c>
      <c r="AH56" s="868">
        <f t="shared" si="10"/>
        <v>0</v>
      </c>
      <c r="AI56" s="528">
        <f t="shared" si="11"/>
        <v>0.26808999999999983</v>
      </c>
      <c r="AK56" s="869">
        <f t="shared" si="16"/>
        <v>6.5179999999999821E-2</v>
      </c>
      <c r="AM56" s="1743"/>
      <c r="AN56" s="1548"/>
      <c r="AO56" s="1473"/>
    </row>
    <row r="57" spans="1:41" x14ac:dyDescent="0.25">
      <c r="A57" s="479">
        <f t="shared" si="0"/>
        <v>51</v>
      </c>
      <c r="B57" s="505"/>
      <c r="C57" s="452" t="s">
        <v>10</v>
      </c>
      <c r="D57" s="1611">
        <v>0.23218000000000003</v>
      </c>
      <c r="E57" s="1095">
        <f t="shared" si="17"/>
        <v>0.22356000000000001</v>
      </c>
      <c r="F57" s="1612"/>
      <c r="G57" s="1151"/>
      <c r="H57" s="454">
        <f t="shared" si="2"/>
        <v>8.6200000000000165E-3</v>
      </c>
      <c r="I57" s="1768">
        <f t="shared" si="21"/>
        <v>0.20291000000000001</v>
      </c>
      <c r="J57" s="872"/>
      <c r="K57" s="454"/>
      <c r="L57" s="454">
        <f t="shared" si="4"/>
        <v>0.21153000000000002</v>
      </c>
      <c r="M57" s="454">
        <f>+Temporaries!D57</f>
        <v>-3.483E-2</v>
      </c>
      <c r="N57" s="454">
        <f>+Temporaries!AD57</f>
        <v>2.6179999999999998E-2</v>
      </c>
      <c r="O57" s="454"/>
      <c r="P57" s="454"/>
      <c r="Q57" s="454"/>
      <c r="R57" s="454"/>
      <c r="S57" s="454"/>
      <c r="T57" s="454"/>
      <c r="U57" s="1484">
        <f>'Allocation = % of margin'!AB57</f>
        <v>0</v>
      </c>
      <c r="V57" s="454">
        <f t="shared" si="5"/>
        <v>0.27254</v>
      </c>
      <c r="W57" s="1095"/>
      <c r="X57" s="1095"/>
      <c r="AA57" s="505"/>
      <c r="AB57" s="871" t="s">
        <v>10</v>
      </c>
      <c r="AC57" s="1714">
        <f t="shared" si="6"/>
        <v>4.3450000000000003E-2</v>
      </c>
      <c r="AD57" s="1715">
        <f t="shared" si="7"/>
        <v>0</v>
      </c>
      <c r="AE57" s="1715">
        <f t="shared" si="1"/>
        <v>0.20291000000000001</v>
      </c>
      <c r="AF57" s="1715">
        <f t="shared" si="8"/>
        <v>2.6179999999999998E-2</v>
      </c>
      <c r="AG57" s="1716">
        <f t="shared" si="9"/>
        <v>0.27254</v>
      </c>
      <c r="AH57" s="868">
        <f t="shared" si="10"/>
        <v>0</v>
      </c>
      <c r="AI57" s="528">
        <f t="shared" si="11"/>
        <v>0.24636</v>
      </c>
      <c r="AK57" s="869">
        <f t="shared" si="16"/>
        <v>4.3449999999999989E-2</v>
      </c>
      <c r="AM57" s="1743"/>
      <c r="AN57" s="1548"/>
      <c r="AO57" s="1473"/>
    </row>
    <row r="58" spans="1:41" x14ac:dyDescent="0.25">
      <c r="A58" s="479">
        <f>+A57+1</f>
        <v>52</v>
      </c>
      <c r="B58" s="510"/>
      <c r="C58" s="456" t="s">
        <v>11</v>
      </c>
      <c r="D58" s="1609">
        <v>0.20451999999999992</v>
      </c>
      <c r="E58" s="1060">
        <f t="shared" si="17"/>
        <v>0.22356000000000001</v>
      </c>
      <c r="F58" s="1610"/>
      <c r="G58" s="1150"/>
      <c r="H58" s="448">
        <f t="shared" si="2"/>
        <v>-1.9040000000000085E-2</v>
      </c>
      <c r="I58" s="1767">
        <f t="shared" si="21"/>
        <v>0.20291000000000001</v>
      </c>
      <c r="J58" s="867"/>
      <c r="K58" s="448"/>
      <c r="L58" s="448">
        <f t="shared" si="4"/>
        <v>0.18386999999999992</v>
      </c>
      <c r="M58" s="448">
        <f>+Temporaries!D58</f>
        <v>-3.5339999999999996E-2</v>
      </c>
      <c r="N58" s="448">
        <f>+Temporaries!AD58</f>
        <v>2.5649999999999999E-2</v>
      </c>
      <c r="O58" s="448"/>
      <c r="P58" s="448"/>
      <c r="Q58" s="448"/>
      <c r="R58" s="448"/>
      <c r="S58" s="448"/>
      <c r="T58" s="448"/>
      <c r="U58" s="1495">
        <f>'Allocation = % of margin'!AB58</f>
        <v>0</v>
      </c>
      <c r="V58" s="448">
        <f t="shared" si="5"/>
        <v>0.24485999999999991</v>
      </c>
      <c r="W58" s="1095"/>
      <c r="X58" s="1095"/>
      <c r="AA58" s="510"/>
      <c r="AB58" s="873" t="s">
        <v>11</v>
      </c>
      <c r="AC58" s="1714">
        <f t="shared" si="6"/>
        <v>1.6299999999999905E-2</v>
      </c>
      <c r="AD58" s="1715">
        <f t="shared" si="7"/>
        <v>0</v>
      </c>
      <c r="AE58" s="1715">
        <f t="shared" si="1"/>
        <v>0.20291000000000001</v>
      </c>
      <c r="AF58" s="1715">
        <f t="shared" si="8"/>
        <v>2.5649999999999999E-2</v>
      </c>
      <c r="AG58" s="1716">
        <f t="shared" si="9"/>
        <v>0.24485999999999991</v>
      </c>
      <c r="AH58" s="868">
        <f t="shared" si="10"/>
        <v>0</v>
      </c>
      <c r="AI58" s="528">
        <f t="shared" si="11"/>
        <v>0.2192099999999999</v>
      </c>
      <c r="AK58" s="869">
        <f t="shared" si="16"/>
        <v>1.6299999999999898E-2</v>
      </c>
      <c r="AM58" s="1743"/>
      <c r="AN58" s="1548"/>
      <c r="AO58" s="1473"/>
    </row>
    <row r="59" spans="1:41" x14ac:dyDescent="0.25">
      <c r="A59" s="479">
        <f t="shared" ref="A59:A64" si="22">+A58+1</f>
        <v>53</v>
      </c>
      <c r="B59" s="505" t="s">
        <v>166</v>
      </c>
      <c r="C59" s="452" t="s">
        <v>6</v>
      </c>
      <c r="D59" s="1613">
        <v>0.11796999999999999</v>
      </c>
      <c r="E59" s="513">
        <v>0</v>
      </c>
      <c r="F59" s="1153"/>
      <c r="G59" s="1152"/>
      <c r="H59" s="511">
        <f t="shared" si="2"/>
        <v>0.11796999999999999</v>
      </c>
      <c r="I59" s="875">
        <v>0</v>
      </c>
      <c r="J59" s="874"/>
      <c r="K59" s="511"/>
      <c r="L59" s="511">
        <f t="shared" si="4"/>
        <v>0.11796999999999999</v>
      </c>
      <c r="M59" s="511">
        <f>+Temporaries!D59</f>
        <v>-2.1000000000000001E-4</v>
      </c>
      <c r="N59" s="511">
        <f>+Temporaries!AD59</f>
        <v>-2.0000000000000001E-4</v>
      </c>
      <c r="O59" s="511"/>
      <c r="P59" s="511"/>
      <c r="Q59" s="511"/>
      <c r="R59" s="511"/>
      <c r="S59" s="511"/>
      <c r="T59" s="511"/>
      <c r="U59" s="1590">
        <f>'Allocation = % of margin'!AB59</f>
        <v>0</v>
      </c>
      <c r="V59" s="511">
        <f t="shared" si="5"/>
        <v>0.11797999999999999</v>
      </c>
      <c r="W59" s="1095"/>
      <c r="X59" s="1095"/>
      <c r="AA59" s="505" t="s">
        <v>166</v>
      </c>
      <c r="AB59" s="871" t="s">
        <v>6</v>
      </c>
      <c r="AC59" s="1714">
        <f t="shared" si="6"/>
        <v>0.11817999999999999</v>
      </c>
      <c r="AD59" s="1715">
        <f t="shared" si="7"/>
        <v>0</v>
      </c>
      <c r="AE59" s="1715">
        <f t="shared" si="1"/>
        <v>0</v>
      </c>
      <c r="AF59" s="1715">
        <f t="shared" si="8"/>
        <v>-2.0000000000000001E-4</v>
      </c>
      <c r="AG59" s="1716">
        <f t="shared" si="9"/>
        <v>0.11797999999999999</v>
      </c>
      <c r="AH59" s="868">
        <f t="shared" si="10"/>
        <v>0</v>
      </c>
      <c r="AI59" s="528">
        <f t="shared" si="11"/>
        <v>0.11817999999999999</v>
      </c>
      <c r="AK59" s="869">
        <f t="shared" si="16"/>
        <v>0.11817999999999999</v>
      </c>
      <c r="AM59" s="1743"/>
      <c r="AN59" s="1548"/>
      <c r="AO59" s="1473"/>
    </row>
    <row r="60" spans="1:41" s="538" customFormat="1" x14ac:dyDescent="0.25">
      <c r="A60" s="479">
        <f t="shared" si="22"/>
        <v>54</v>
      </c>
      <c r="B60" s="505"/>
      <c r="C60" s="452" t="s">
        <v>7</v>
      </c>
      <c r="D60" s="1613">
        <v>0.1056</v>
      </c>
      <c r="E60" s="513">
        <v>0</v>
      </c>
      <c r="F60" s="1153"/>
      <c r="G60" s="1153"/>
      <c r="H60" s="513">
        <f t="shared" si="2"/>
        <v>0.1056</v>
      </c>
      <c r="I60" s="875">
        <v>0</v>
      </c>
      <c r="J60" s="875"/>
      <c r="K60" s="513"/>
      <c r="L60" s="513">
        <f t="shared" si="4"/>
        <v>0.1056</v>
      </c>
      <c r="M60" s="513">
        <f>+Temporaries!D60</f>
        <v>-1.9000000000000001E-4</v>
      </c>
      <c r="N60" s="513">
        <f>+Temporaries!AD60</f>
        <v>-1.8000000000000001E-4</v>
      </c>
      <c r="O60" s="513"/>
      <c r="P60" s="513"/>
      <c r="Q60" s="513"/>
      <c r="R60" s="513"/>
      <c r="S60" s="513"/>
      <c r="T60" s="513"/>
      <c r="U60" s="1590">
        <f>'Allocation = % of margin'!AB60</f>
        <v>0</v>
      </c>
      <c r="V60" s="513">
        <f t="shared" si="5"/>
        <v>0.10561</v>
      </c>
      <c r="W60" s="1095"/>
      <c r="X60" s="1095"/>
      <c r="AA60" s="505"/>
      <c r="AB60" s="871" t="s">
        <v>7</v>
      </c>
      <c r="AC60" s="1714">
        <f t="shared" si="6"/>
        <v>0.10579</v>
      </c>
      <c r="AD60" s="1715">
        <f t="shared" si="7"/>
        <v>0</v>
      </c>
      <c r="AE60" s="1715">
        <f t="shared" si="1"/>
        <v>0</v>
      </c>
      <c r="AF60" s="1715">
        <f t="shared" si="8"/>
        <v>-1.8000000000000001E-4</v>
      </c>
      <c r="AG60" s="1716">
        <f t="shared" si="9"/>
        <v>0.10561</v>
      </c>
      <c r="AH60" s="868">
        <f t="shared" si="10"/>
        <v>0</v>
      </c>
      <c r="AI60" s="528">
        <f t="shared" si="11"/>
        <v>0.10579</v>
      </c>
      <c r="AJ60" s="437"/>
      <c r="AK60" s="869">
        <f t="shared" si="16"/>
        <v>0.10579</v>
      </c>
      <c r="AM60" s="1743"/>
      <c r="AN60" s="1548"/>
      <c r="AO60" s="1473"/>
    </row>
    <row r="61" spans="1:41" s="538" customFormat="1" x14ac:dyDescent="0.25">
      <c r="A61" s="479">
        <f t="shared" si="22"/>
        <v>55</v>
      </c>
      <c r="B61" s="505"/>
      <c r="C61" s="452" t="s">
        <v>8</v>
      </c>
      <c r="D61" s="1613">
        <v>8.0979999999999996E-2</v>
      </c>
      <c r="E61" s="513">
        <v>0</v>
      </c>
      <c r="F61" s="1153"/>
      <c r="G61" s="1153"/>
      <c r="H61" s="513">
        <f t="shared" si="2"/>
        <v>8.0979999999999996E-2</v>
      </c>
      <c r="I61" s="875">
        <v>0</v>
      </c>
      <c r="J61" s="875"/>
      <c r="K61" s="513"/>
      <c r="L61" s="513">
        <f t="shared" si="4"/>
        <v>8.0979999999999996E-2</v>
      </c>
      <c r="M61" s="513">
        <f>+Temporaries!D61</f>
        <v>-1.3999999999999999E-4</v>
      </c>
      <c r="N61" s="513">
        <f>+Temporaries!AD61</f>
        <v>-1.3999999999999999E-4</v>
      </c>
      <c r="O61" s="513"/>
      <c r="P61" s="513"/>
      <c r="Q61" s="513"/>
      <c r="R61" s="513"/>
      <c r="S61" s="513"/>
      <c r="T61" s="513"/>
      <c r="U61" s="1590">
        <f>'Allocation = % of margin'!AB61</f>
        <v>0</v>
      </c>
      <c r="V61" s="513">
        <f t="shared" si="5"/>
        <v>8.0979999999999996E-2</v>
      </c>
      <c r="W61" s="1095"/>
      <c r="X61" s="1095"/>
      <c r="AA61" s="505"/>
      <c r="AB61" s="871" t="s">
        <v>8</v>
      </c>
      <c r="AC61" s="1714">
        <f t="shared" si="6"/>
        <v>8.1119999999999998E-2</v>
      </c>
      <c r="AD61" s="1715">
        <f t="shared" ref="AD61:AD67" si="23">+J61</f>
        <v>0</v>
      </c>
      <c r="AE61" s="1715">
        <f t="shared" ref="AE61:AE67" si="24">+I61</f>
        <v>0</v>
      </c>
      <c r="AF61" s="1715">
        <f t="shared" si="8"/>
        <v>-1.3999999999999999E-4</v>
      </c>
      <c r="AG61" s="1716">
        <f t="shared" si="9"/>
        <v>8.0979999999999996E-2</v>
      </c>
      <c r="AH61" s="868">
        <f t="shared" si="10"/>
        <v>0</v>
      </c>
      <c r="AI61" s="528">
        <f t="shared" si="11"/>
        <v>8.1119999999999998E-2</v>
      </c>
      <c r="AJ61" s="437"/>
      <c r="AK61" s="869">
        <f t="shared" si="16"/>
        <v>8.1119999999999998E-2</v>
      </c>
      <c r="AM61" s="1743"/>
      <c r="AN61" s="1548"/>
      <c r="AO61" s="1473"/>
    </row>
    <row r="62" spans="1:41" s="538" customFormat="1" x14ac:dyDescent="0.25">
      <c r="A62" s="479">
        <f t="shared" si="22"/>
        <v>56</v>
      </c>
      <c r="B62" s="505"/>
      <c r="C62" s="452" t="s">
        <v>9</v>
      </c>
      <c r="D62" s="1613">
        <v>6.479E-2</v>
      </c>
      <c r="E62" s="513">
        <v>0</v>
      </c>
      <c r="F62" s="1153"/>
      <c r="G62" s="1153"/>
      <c r="H62" s="513">
        <f t="shared" si="2"/>
        <v>6.479E-2</v>
      </c>
      <c r="I62" s="875">
        <v>0</v>
      </c>
      <c r="J62" s="875"/>
      <c r="K62" s="513"/>
      <c r="L62" s="513">
        <f t="shared" si="4"/>
        <v>6.479E-2</v>
      </c>
      <c r="M62" s="513">
        <f>+Temporaries!D62</f>
        <v>-1.1E-4</v>
      </c>
      <c r="N62" s="513">
        <f>+Temporaries!AD62</f>
        <v>-1.1E-4</v>
      </c>
      <c r="O62" s="513"/>
      <c r="P62" s="513"/>
      <c r="Q62" s="513"/>
      <c r="R62" s="513"/>
      <c r="S62" s="513"/>
      <c r="T62" s="513"/>
      <c r="U62" s="1590">
        <f>'Allocation = % of margin'!AB62</f>
        <v>0</v>
      </c>
      <c r="V62" s="513">
        <f t="shared" si="5"/>
        <v>6.479E-2</v>
      </c>
      <c r="W62" s="1095"/>
      <c r="X62" s="1095"/>
      <c r="AA62" s="505"/>
      <c r="AB62" s="871" t="s">
        <v>9</v>
      </c>
      <c r="AC62" s="1714">
        <f t="shared" si="6"/>
        <v>6.4899999999999999E-2</v>
      </c>
      <c r="AD62" s="1715">
        <f t="shared" si="23"/>
        <v>0</v>
      </c>
      <c r="AE62" s="1715">
        <f t="shared" si="24"/>
        <v>0</v>
      </c>
      <c r="AF62" s="1715">
        <f t="shared" si="8"/>
        <v>-1.1E-4</v>
      </c>
      <c r="AG62" s="1716">
        <f t="shared" si="9"/>
        <v>6.479E-2</v>
      </c>
      <c r="AH62" s="868">
        <f t="shared" si="10"/>
        <v>0</v>
      </c>
      <c r="AI62" s="528">
        <f t="shared" si="11"/>
        <v>6.4899999999999999E-2</v>
      </c>
      <c r="AJ62" s="437"/>
      <c r="AK62" s="869">
        <f t="shared" si="16"/>
        <v>6.4899999999999999E-2</v>
      </c>
      <c r="AM62" s="1743"/>
      <c r="AN62" s="1548"/>
      <c r="AO62" s="1473"/>
    </row>
    <row r="63" spans="1:41" s="538" customFormat="1" x14ac:dyDescent="0.25">
      <c r="A63" s="479">
        <f t="shared" si="22"/>
        <v>57</v>
      </c>
      <c r="B63" s="505"/>
      <c r="C63" s="452" t="s">
        <v>10</v>
      </c>
      <c r="D63" s="1613">
        <v>4.3190000000000006E-2</v>
      </c>
      <c r="E63" s="513">
        <v>0</v>
      </c>
      <c r="F63" s="1153"/>
      <c r="G63" s="1153"/>
      <c r="H63" s="513">
        <f t="shared" si="2"/>
        <v>4.3190000000000006E-2</v>
      </c>
      <c r="I63" s="875">
        <v>0</v>
      </c>
      <c r="J63" s="875"/>
      <c r="K63" s="513"/>
      <c r="L63" s="513">
        <f t="shared" si="4"/>
        <v>4.3190000000000006E-2</v>
      </c>
      <c r="M63" s="513">
        <f>+Temporaries!D63</f>
        <v>-8.0000000000000007E-5</v>
      </c>
      <c r="N63" s="513">
        <f>+Temporaries!AD63</f>
        <v>-6.9999999999999994E-5</v>
      </c>
      <c r="O63" s="513"/>
      <c r="P63" s="513"/>
      <c r="Q63" s="513"/>
      <c r="R63" s="513"/>
      <c r="S63" s="513"/>
      <c r="T63" s="513"/>
      <c r="U63" s="1590">
        <f>'Allocation = % of margin'!AB63</f>
        <v>0</v>
      </c>
      <c r="V63" s="513">
        <f t="shared" si="5"/>
        <v>4.3200000000000002E-2</v>
      </c>
      <c r="W63" s="1095"/>
      <c r="X63" s="1095"/>
      <c r="AA63" s="505"/>
      <c r="AB63" s="871" t="s">
        <v>10</v>
      </c>
      <c r="AC63" s="1714">
        <f t="shared" si="6"/>
        <v>4.3270000000000003E-2</v>
      </c>
      <c r="AD63" s="1715">
        <f t="shared" si="23"/>
        <v>0</v>
      </c>
      <c r="AE63" s="1715">
        <f t="shared" si="24"/>
        <v>0</v>
      </c>
      <c r="AF63" s="1715">
        <f t="shared" si="8"/>
        <v>-6.9999999999999994E-5</v>
      </c>
      <c r="AG63" s="1716">
        <f t="shared" si="9"/>
        <v>4.3200000000000002E-2</v>
      </c>
      <c r="AH63" s="868">
        <f t="shared" si="10"/>
        <v>0</v>
      </c>
      <c r="AI63" s="528">
        <f t="shared" si="11"/>
        <v>4.3270000000000003E-2</v>
      </c>
      <c r="AJ63" s="437"/>
      <c r="AK63" s="869">
        <f t="shared" si="16"/>
        <v>4.3270000000000003E-2</v>
      </c>
      <c r="AM63" s="1743"/>
      <c r="AN63" s="1548"/>
      <c r="AO63" s="1473"/>
    </row>
    <row r="64" spans="1:41" s="538" customFormat="1" x14ac:dyDescent="0.25">
      <c r="A64" s="479">
        <f t="shared" si="22"/>
        <v>58</v>
      </c>
      <c r="B64" s="510"/>
      <c r="C64" s="456" t="s">
        <v>11</v>
      </c>
      <c r="D64" s="534">
        <v>1.619E-2</v>
      </c>
      <c r="E64" s="458">
        <v>0</v>
      </c>
      <c r="F64" s="1154"/>
      <c r="G64" s="1154"/>
      <c r="H64" s="458">
        <f t="shared" si="2"/>
        <v>1.619E-2</v>
      </c>
      <c r="I64" s="876">
        <v>0</v>
      </c>
      <c r="J64" s="876"/>
      <c r="K64" s="458"/>
      <c r="L64" s="458">
        <f t="shared" si="4"/>
        <v>1.619E-2</v>
      </c>
      <c r="M64" s="458">
        <f>+Temporaries!D64</f>
        <v>-3.0000000000000001E-5</v>
      </c>
      <c r="N64" s="458">
        <f>+Temporaries!AD64</f>
        <v>-3.0000000000000001E-5</v>
      </c>
      <c r="O64" s="458"/>
      <c r="P64" s="458"/>
      <c r="Q64" s="458"/>
      <c r="R64" s="458"/>
      <c r="S64" s="458"/>
      <c r="T64" s="458"/>
      <c r="U64" s="1497">
        <f>'Allocation = % of margin'!AB64</f>
        <v>0</v>
      </c>
      <c r="V64" s="458">
        <f t="shared" si="5"/>
        <v>1.619E-2</v>
      </c>
      <c r="W64" s="1095"/>
      <c r="X64" s="1095"/>
      <c r="AA64" s="510"/>
      <c r="AB64" s="873" t="s">
        <v>11</v>
      </c>
      <c r="AC64" s="1714">
        <f t="shared" si="6"/>
        <v>1.6219999999999998E-2</v>
      </c>
      <c r="AD64" s="1715">
        <f t="shared" si="23"/>
        <v>0</v>
      </c>
      <c r="AE64" s="1715">
        <f t="shared" si="24"/>
        <v>0</v>
      </c>
      <c r="AF64" s="1715">
        <f t="shared" si="8"/>
        <v>-3.0000000000000001E-5</v>
      </c>
      <c r="AG64" s="1716">
        <f t="shared" si="9"/>
        <v>1.619E-2</v>
      </c>
      <c r="AH64" s="868">
        <f t="shared" si="10"/>
        <v>0</v>
      </c>
      <c r="AI64" s="528">
        <f t="shared" si="11"/>
        <v>1.6219999999999998E-2</v>
      </c>
      <c r="AJ64" s="437"/>
      <c r="AK64" s="869">
        <f t="shared" si="16"/>
        <v>1.6219999999999998E-2</v>
      </c>
      <c r="AM64" s="1743"/>
      <c r="AN64" s="1548"/>
      <c r="AO64" s="1473"/>
    </row>
    <row r="65" spans="1:41" s="538" customFormat="1" x14ac:dyDescent="0.25">
      <c r="A65" s="479">
        <f>+A64+1</f>
        <v>59</v>
      </c>
      <c r="B65" s="510" t="s">
        <v>167</v>
      </c>
      <c r="C65" s="455"/>
      <c r="D65" s="1614">
        <v>4.9800000000000001E-3</v>
      </c>
      <c r="E65" s="457">
        <v>0</v>
      </c>
      <c r="F65" s="1155"/>
      <c r="G65" s="1155"/>
      <c r="H65" s="457">
        <f t="shared" si="2"/>
        <v>4.9800000000000001E-3</v>
      </c>
      <c r="I65" s="877">
        <v>0</v>
      </c>
      <c r="J65" s="877">
        <v>0</v>
      </c>
      <c r="K65" s="457">
        <v>0</v>
      </c>
      <c r="L65" s="457">
        <f t="shared" si="4"/>
        <v>4.9800000000000001E-3</v>
      </c>
      <c r="M65" s="457">
        <f>+Temporaries!D65</f>
        <v>-1.0000000000000001E-5</v>
      </c>
      <c r="N65" s="457">
        <f>+Temporaries!AD65</f>
        <v>-1.0000000000000001E-5</v>
      </c>
      <c r="O65" s="457"/>
      <c r="P65" s="457"/>
      <c r="Q65" s="457"/>
      <c r="R65" s="457"/>
      <c r="S65" s="457"/>
      <c r="T65" s="457"/>
      <c r="U65" s="1496">
        <f>'Allocation = % of margin'!AB65</f>
        <v>0</v>
      </c>
      <c r="V65" s="457">
        <f t="shared" si="5"/>
        <v>4.9800000000000001E-3</v>
      </c>
      <c r="W65" s="1095"/>
      <c r="X65" s="1095"/>
      <c r="AA65" s="510" t="s">
        <v>167</v>
      </c>
      <c r="AB65" s="510"/>
      <c r="AC65" s="1714">
        <f t="shared" si="6"/>
        <v>4.9899999999999996E-3</v>
      </c>
      <c r="AD65" s="1715">
        <f t="shared" si="23"/>
        <v>0</v>
      </c>
      <c r="AE65" s="1715">
        <f t="shared" si="24"/>
        <v>0</v>
      </c>
      <c r="AF65" s="1715">
        <f t="shared" si="8"/>
        <v>-1.0000000000000001E-5</v>
      </c>
      <c r="AG65" s="1716">
        <f t="shared" si="9"/>
        <v>4.9800000000000001E-3</v>
      </c>
      <c r="AH65" s="868">
        <f t="shared" si="10"/>
        <v>0</v>
      </c>
      <c r="AI65" s="528">
        <f t="shared" si="11"/>
        <v>4.9899999999999996E-3</v>
      </c>
      <c r="AJ65" s="437"/>
      <c r="AK65" s="869">
        <f t="shared" si="16"/>
        <v>4.9899999999999996E-3</v>
      </c>
      <c r="AM65" s="1743"/>
      <c r="AN65" s="1548"/>
      <c r="AO65" s="1473"/>
    </row>
    <row r="66" spans="1:41" s="538" customFormat="1" x14ac:dyDescent="0.25">
      <c r="A66" s="479">
        <f t="shared" ref="A66:A75" si="25">+A65+1</f>
        <v>60</v>
      </c>
      <c r="B66" s="450" t="s">
        <v>168</v>
      </c>
      <c r="C66" s="447"/>
      <c r="D66" s="534">
        <v>4.9800000000000001E-3</v>
      </c>
      <c r="E66" s="458">
        <v>0</v>
      </c>
      <c r="F66" s="1154"/>
      <c r="G66" s="1154"/>
      <c r="H66" s="458">
        <f t="shared" si="2"/>
        <v>4.9800000000000001E-3</v>
      </c>
      <c r="I66" s="876">
        <v>0</v>
      </c>
      <c r="J66" s="876">
        <v>0</v>
      </c>
      <c r="K66" s="458">
        <v>0</v>
      </c>
      <c r="L66" s="458">
        <f t="shared" si="4"/>
        <v>4.9800000000000001E-3</v>
      </c>
      <c r="M66" s="458">
        <f>+Temporaries!D66</f>
        <v>-1.0000000000000001E-5</v>
      </c>
      <c r="N66" s="458">
        <f>+Temporaries!AD66</f>
        <v>-1.0000000000000001E-5</v>
      </c>
      <c r="O66" s="458"/>
      <c r="P66" s="458"/>
      <c r="Q66" s="458"/>
      <c r="R66" s="458"/>
      <c r="S66" s="458"/>
      <c r="T66" s="458"/>
      <c r="U66" s="1497">
        <f>'Allocation = % of margin'!AB66</f>
        <v>0</v>
      </c>
      <c r="V66" s="458">
        <f t="shared" si="5"/>
        <v>4.9800000000000001E-3</v>
      </c>
      <c r="W66" s="1095"/>
      <c r="X66" s="1095"/>
      <c r="AA66" s="450" t="s">
        <v>168</v>
      </c>
      <c r="AB66" s="450"/>
      <c r="AC66" s="1714">
        <f t="shared" si="6"/>
        <v>4.9899999999999996E-3</v>
      </c>
      <c r="AD66" s="1715">
        <f t="shared" si="23"/>
        <v>0</v>
      </c>
      <c r="AE66" s="1715">
        <f t="shared" si="24"/>
        <v>0</v>
      </c>
      <c r="AF66" s="1715">
        <f t="shared" si="8"/>
        <v>-1.0000000000000001E-5</v>
      </c>
      <c r="AG66" s="1716">
        <f t="shared" si="9"/>
        <v>4.9800000000000001E-3</v>
      </c>
      <c r="AH66" s="868">
        <f t="shared" si="10"/>
        <v>0</v>
      </c>
      <c r="AI66" s="528">
        <f t="shared" si="11"/>
        <v>4.9899999999999996E-3</v>
      </c>
      <c r="AJ66" s="437"/>
      <c r="AK66" s="869">
        <f t="shared" si="16"/>
        <v>4.9899999999999996E-3</v>
      </c>
      <c r="AM66" s="1743"/>
      <c r="AN66" s="1548"/>
      <c r="AO66" s="1473"/>
    </row>
    <row r="67" spans="1:41" s="538" customFormat="1" ht="13.8" thickBot="1" x14ac:dyDescent="0.3">
      <c r="A67" s="479">
        <f t="shared" si="25"/>
        <v>61</v>
      </c>
      <c r="B67" s="449" t="s">
        <v>217</v>
      </c>
      <c r="C67" s="447"/>
      <c r="D67" s="534"/>
      <c r="E67" s="459"/>
      <c r="F67" s="459"/>
      <c r="G67" s="459"/>
      <c r="H67" s="459"/>
      <c r="I67" s="876"/>
      <c r="J67" s="878"/>
      <c r="K67" s="459"/>
      <c r="L67" s="459"/>
      <c r="M67" s="459"/>
      <c r="N67" s="459"/>
      <c r="O67" s="459"/>
      <c r="P67" s="459"/>
      <c r="Q67" s="459"/>
      <c r="R67" s="459"/>
      <c r="S67" s="459"/>
      <c r="T67" s="459"/>
      <c r="U67" s="1497"/>
      <c r="V67" s="459"/>
      <c r="W67" s="513"/>
      <c r="X67" s="1095"/>
      <c r="AA67" s="450">
        <v>54</v>
      </c>
      <c r="AB67" s="450"/>
      <c r="AC67" s="1751">
        <f t="shared" si="6"/>
        <v>0</v>
      </c>
      <c r="AD67" s="1717">
        <f t="shared" si="23"/>
        <v>0</v>
      </c>
      <c r="AE67" s="1717">
        <f t="shared" si="24"/>
        <v>0</v>
      </c>
      <c r="AF67" s="1717">
        <f t="shared" si="8"/>
        <v>0</v>
      </c>
      <c r="AG67" s="1718">
        <f t="shared" si="9"/>
        <v>0</v>
      </c>
      <c r="AH67" s="868">
        <f t="shared" si="10"/>
        <v>0</v>
      </c>
      <c r="AI67" s="528">
        <f t="shared" si="11"/>
        <v>0</v>
      </c>
      <c r="AJ67" s="437"/>
      <c r="AK67" s="869">
        <f t="shared" si="16"/>
        <v>0</v>
      </c>
      <c r="AM67" s="1743"/>
      <c r="AN67" s="1548"/>
      <c r="AO67" s="1473"/>
    </row>
    <row r="68" spans="1:41" x14ac:dyDescent="0.25">
      <c r="A68" s="479">
        <f t="shared" si="25"/>
        <v>62</v>
      </c>
      <c r="X68" s="1095"/>
      <c r="AD68" s="1702"/>
      <c r="AE68" s="1702"/>
      <c r="AF68" s="1702"/>
      <c r="AG68" s="1702"/>
      <c r="AH68" s="868"/>
      <c r="AM68" s="442"/>
      <c r="AO68" s="1473"/>
    </row>
    <row r="69" spans="1:41" ht="13.8" thickBot="1" x14ac:dyDescent="0.3">
      <c r="A69" s="479">
        <f t="shared" si="25"/>
        <v>63</v>
      </c>
      <c r="B69" s="460" t="s">
        <v>171</v>
      </c>
      <c r="X69" s="1095"/>
      <c r="AD69" s="1702"/>
      <c r="AE69" s="1702"/>
      <c r="AF69" s="1702"/>
      <c r="AG69" s="1702"/>
      <c r="AH69" s="868"/>
      <c r="AM69" s="442"/>
      <c r="AO69" s="1473"/>
    </row>
    <row r="70" spans="1:41" ht="13.8" thickBot="1" x14ac:dyDescent="0.3">
      <c r="A70" s="479">
        <f t="shared" si="25"/>
        <v>64</v>
      </c>
      <c r="B70" s="539" t="s">
        <v>172</v>
      </c>
      <c r="C70" s="462"/>
      <c r="D70" s="1501" t="s">
        <v>1181</v>
      </c>
      <c r="E70" s="1123" t="str">
        <f>+D70</f>
        <v>2018-19 PGA</v>
      </c>
      <c r="F70" s="1123" t="str">
        <f>+E70</f>
        <v>2018-19 PGA</v>
      </c>
      <c r="G70" s="1123" t="str">
        <f>+F70</f>
        <v>2018-19 PGA</v>
      </c>
      <c r="H70" s="463"/>
      <c r="I70" s="879" t="s">
        <v>846</v>
      </c>
      <c r="J70" s="879" t="s">
        <v>846</v>
      </c>
      <c r="K70" s="879" t="s">
        <v>846</v>
      </c>
      <c r="L70" s="463"/>
      <c r="M70" s="463"/>
      <c r="N70" s="463"/>
      <c r="O70" s="463"/>
      <c r="P70" s="463"/>
      <c r="Q70" s="463"/>
      <c r="R70" s="463"/>
      <c r="S70" s="463"/>
      <c r="T70" s="463"/>
      <c r="U70" s="1597"/>
      <c r="V70" s="463"/>
      <c r="W70" s="538"/>
      <c r="X70" s="1095"/>
      <c r="AD70" s="1702"/>
      <c r="AE70" s="1702"/>
      <c r="AF70" s="1702"/>
      <c r="AG70" s="1702"/>
      <c r="AH70" s="868"/>
      <c r="AM70" s="442"/>
      <c r="AO70" s="1473"/>
    </row>
    <row r="71" spans="1:41" ht="13.8" thickBot="1" x14ac:dyDescent="0.3">
      <c r="A71" s="479">
        <f t="shared" si="25"/>
        <v>65</v>
      </c>
      <c r="B71" s="540"/>
      <c r="W71" s="538"/>
      <c r="X71" s="1095"/>
      <c r="AD71" s="1702"/>
      <c r="AE71" s="1702"/>
      <c r="AF71" s="1702"/>
      <c r="AG71" s="1702"/>
      <c r="AH71" s="868"/>
      <c r="AM71" s="442"/>
      <c r="AO71" s="1473"/>
    </row>
    <row r="72" spans="1:41" ht="13.8" thickBot="1" x14ac:dyDescent="0.3">
      <c r="A72" s="479">
        <f t="shared" si="25"/>
        <v>66</v>
      </c>
      <c r="B72" s="539" t="s">
        <v>24</v>
      </c>
      <c r="C72" s="462"/>
      <c r="D72" s="463"/>
      <c r="E72" s="463"/>
      <c r="F72" s="463"/>
      <c r="G72" s="463"/>
      <c r="H72" s="463"/>
      <c r="I72" s="1769"/>
      <c r="J72" s="880"/>
      <c r="K72" s="463"/>
      <c r="L72" s="463"/>
      <c r="M72" s="881" t="s">
        <v>69</v>
      </c>
      <c r="N72" s="881" t="s">
        <v>1104</v>
      </c>
      <c r="O72" s="881"/>
      <c r="P72" s="881"/>
      <c r="Q72" s="881"/>
      <c r="R72" s="881"/>
      <c r="S72" s="881"/>
      <c r="T72" s="881"/>
      <c r="U72" s="1597"/>
      <c r="V72" s="463"/>
      <c r="W72" s="538"/>
      <c r="X72" s="1095"/>
      <c r="AD72" s="1702"/>
      <c r="AE72" s="1702"/>
      <c r="AF72" s="1702"/>
      <c r="AG72" s="1702"/>
      <c r="AH72" s="868"/>
      <c r="AM72" s="442"/>
      <c r="AO72" s="1473"/>
    </row>
    <row r="73" spans="1:41" ht="13.8" thickBot="1" x14ac:dyDescent="0.3">
      <c r="A73" s="479">
        <f t="shared" si="25"/>
        <v>67</v>
      </c>
      <c r="B73" s="539" t="s">
        <v>175</v>
      </c>
      <c r="C73" s="462"/>
      <c r="D73" s="463"/>
      <c r="E73" s="463"/>
      <c r="F73" s="463"/>
      <c r="G73" s="463"/>
      <c r="H73" s="463"/>
      <c r="I73" s="1769"/>
      <c r="J73" s="880"/>
      <c r="K73" s="463"/>
      <c r="L73" s="463"/>
      <c r="M73" s="463"/>
      <c r="N73" s="463"/>
      <c r="O73" s="463"/>
      <c r="P73" s="463"/>
      <c r="Q73" s="463"/>
      <c r="R73" s="463"/>
      <c r="S73" s="463"/>
      <c r="T73" s="463"/>
      <c r="U73" s="1592"/>
      <c r="V73" s="463"/>
      <c r="W73" s="538"/>
      <c r="X73" s="1095"/>
      <c r="AD73" s="1702"/>
      <c r="AE73" s="1702"/>
      <c r="AF73" s="1702"/>
      <c r="AG73" s="1702"/>
      <c r="AH73" s="868"/>
      <c r="AM73" s="442"/>
      <c r="AO73" s="1473"/>
    </row>
    <row r="74" spans="1:41" x14ac:dyDescent="0.25">
      <c r="A74" s="479">
        <f>+A71+1</f>
        <v>66</v>
      </c>
      <c r="B74" s="540" t="s">
        <v>639</v>
      </c>
      <c r="X74" s="1095"/>
      <c r="AD74" s="1702"/>
      <c r="AE74" s="1702"/>
      <c r="AF74" s="1702"/>
      <c r="AG74" s="1702"/>
      <c r="AH74" s="868"/>
      <c r="AM74" s="442"/>
      <c r="AO74" s="1473"/>
    </row>
    <row r="75" spans="1:41" x14ac:dyDescent="0.25">
      <c r="A75" s="479">
        <f t="shared" si="25"/>
        <v>67</v>
      </c>
      <c r="B75" s="540"/>
      <c r="X75" s="1095"/>
      <c r="AD75" s="1702"/>
      <c r="AE75" s="1702"/>
      <c r="AF75" s="1702"/>
      <c r="AG75" s="1702"/>
      <c r="AH75" s="868"/>
      <c r="AM75" s="442"/>
      <c r="AO75" s="1473"/>
    </row>
    <row r="76" spans="1:41" x14ac:dyDescent="0.25">
      <c r="B76" s="540"/>
      <c r="AD76" s="1702"/>
      <c r="AE76" s="1702"/>
      <c r="AF76" s="1702"/>
      <c r="AG76" s="1702"/>
      <c r="AH76" s="868"/>
      <c r="AM76" s="442"/>
      <c r="AO76" s="1473"/>
    </row>
    <row r="77" spans="1:41" x14ac:dyDescent="0.25">
      <c r="AD77" s="1702"/>
      <c r="AE77" s="1702"/>
      <c r="AF77" s="1702"/>
      <c r="AG77" s="1702"/>
      <c r="AH77" s="868"/>
      <c r="AM77" s="442"/>
      <c r="AO77" s="1473"/>
    </row>
    <row r="78" spans="1:41" x14ac:dyDescent="0.25">
      <c r="AD78" s="1702"/>
      <c r="AE78" s="1702"/>
      <c r="AF78" s="1702"/>
      <c r="AG78" s="1702"/>
      <c r="AH78" s="868"/>
    </row>
    <row r="79" spans="1:41" x14ac:dyDescent="0.25">
      <c r="AD79" s="1702"/>
      <c r="AE79" s="1702"/>
      <c r="AF79" s="1702"/>
      <c r="AG79" s="1702"/>
      <c r="AH79" s="868"/>
    </row>
    <row r="80" spans="1:41" x14ac:dyDescent="0.25">
      <c r="AD80" s="1702"/>
      <c r="AE80" s="1702"/>
      <c r="AF80" s="1702"/>
      <c r="AG80" s="1702"/>
      <c r="AH80" s="868"/>
    </row>
    <row r="81" spans="33:33" x14ac:dyDescent="0.25">
      <c r="AG81" s="538"/>
    </row>
    <row r="82" spans="33:33" x14ac:dyDescent="0.25">
      <c r="AG82" s="538"/>
    </row>
    <row r="83" spans="33:33" x14ac:dyDescent="0.25">
      <c r="AG83" s="538"/>
    </row>
    <row r="84" spans="33:33" x14ac:dyDescent="0.25">
      <c r="AG84" s="538"/>
    </row>
  </sheetData>
  <phoneticPr fontId="2" type="noConversion"/>
  <printOptions horizontalCentered="1"/>
  <pageMargins left="0.5" right="0.5" top="0.5" bottom="0.5" header="0.25" footer="0.25"/>
  <pageSetup scale="57" orientation="landscape" r:id="rId1"/>
  <headerFooter alignWithMargins="0">
    <oddHeader xml:space="preserve">&amp;RUG-181053 NWN Compliance Filing
Advice 19-07 / Work Paper
</oddHeader>
    <oddFooter xml:space="preserve">&amp;C&amp;F &amp;D &amp;T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BF135"/>
  <sheetViews>
    <sheetView showGridLines="0" zoomScaleNormal="100" zoomScaleSheetLayoutView="100" workbookViewId="0">
      <pane xSplit="3" ySplit="11" topLeftCell="D12" activePane="bottomRight" state="frozen"/>
      <selection activeCell="E2" sqref="E2"/>
      <selection pane="topRight" activeCell="E2" sqref="E2"/>
      <selection pane="bottomLeft" activeCell="E2" sqref="E2"/>
      <selection pane="bottomRight" activeCell="E2" sqref="E2"/>
    </sheetView>
  </sheetViews>
  <sheetFormatPr defaultColWidth="9.33203125" defaultRowHeight="13.2" x14ac:dyDescent="0.25"/>
  <cols>
    <col min="1" max="1" width="4.88671875" style="437" customWidth="1"/>
    <col min="2" max="2" width="15.33203125" style="436" customWidth="1"/>
    <col min="3" max="3" width="9.33203125" style="436"/>
    <col min="4" max="4" width="14.88671875" style="476" customWidth="1"/>
    <col min="5" max="5" width="14.88671875" style="655" customWidth="1"/>
    <col min="6" max="10" width="14.88671875" style="653" customWidth="1"/>
    <col min="11" max="11" width="13.88671875" style="653" customWidth="1"/>
    <col min="12" max="12" width="14.88671875" style="653" customWidth="1"/>
    <col min="13" max="14" width="14.88671875" style="653" hidden="1" customWidth="1"/>
    <col min="15" max="21" width="14.88671875" style="436" hidden="1" customWidth="1"/>
    <col min="22" max="22" width="16.88671875" style="436" customWidth="1"/>
    <col min="23" max="23" width="14.88671875" style="436" customWidth="1"/>
    <col min="24" max="28" width="14.88671875" style="436" hidden="1" customWidth="1"/>
    <col min="29" max="29" width="13.88671875" style="436" hidden="1" customWidth="1"/>
    <col min="30" max="30" width="17.88671875" style="436" customWidth="1"/>
    <col min="31" max="31" width="15.88671875" style="436" customWidth="1"/>
    <col min="32" max="38" width="15.88671875" style="437" customWidth="1"/>
    <col min="39" max="39" width="12.6640625" style="437" customWidth="1"/>
    <col min="40" max="40" width="15.109375" style="437" customWidth="1"/>
    <col min="41" max="41" width="15.88671875" style="437" customWidth="1"/>
    <col min="42" max="42" width="5.88671875" style="437" customWidth="1"/>
    <col min="43" max="43" width="15.88671875" style="437" customWidth="1"/>
    <col min="44" max="44" width="5.88671875" style="437" customWidth="1"/>
    <col min="45" max="45" width="15.88671875" style="437" customWidth="1"/>
    <col min="46" max="46" width="5.88671875" style="437" customWidth="1"/>
    <col min="47" max="51" width="17.88671875" style="437" customWidth="1"/>
    <col min="52" max="53" width="16.88671875" style="437" customWidth="1"/>
    <col min="54" max="54" width="23.109375" style="437" bestFit="1" customWidth="1"/>
    <col min="55" max="59" width="16.88671875" style="437" customWidth="1"/>
    <col min="60" max="72" width="15.88671875" style="437" customWidth="1"/>
    <col min="73" max="16384" width="9.33203125" style="437"/>
  </cols>
  <sheetData>
    <row r="1" spans="1:58" ht="13.8" x14ac:dyDescent="0.25">
      <c r="A1" s="435" t="str">
        <f>+'Washington volumes'!A1</f>
        <v>NW Natural</v>
      </c>
    </row>
    <row r="2" spans="1:58" ht="13.8" x14ac:dyDescent="0.25">
      <c r="A2" s="435" t="str">
        <f>+'Washington volumes'!A2</f>
        <v>Rates &amp; Regulatory Affairs</v>
      </c>
    </row>
    <row r="3" spans="1:58" ht="13.8" x14ac:dyDescent="0.25">
      <c r="A3" s="435" t="str">
        <f>+'Washington volumes'!A3</f>
        <v>2019-2020 PGA Filing - Washington: September Filing</v>
      </c>
    </row>
    <row r="4" spans="1:58" ht="13.8" x14ac:dyDescent="0.25">
      <c r="A4" s="435" t="s">
        <v>65</v>
      </c>
    </row>
    <row r="5" spans="1:58" x14ac:dyDescent="0.25">
      <c r="D5" s="436"/>
      <c r="E5" s="653"/>
      <c r="V5" s="528"/>
    </row>
    <row r="6" spans="1:58" x14ac:dyDescent="0.25">
      <c r="A6" s="1038"/>
      <c r="B6" s="1039"/>
      <c r="C6" s="1039"/>
      <c r="D6" s="1039"/>
      <c r="E6" s="1039"/>
      <c r="F6" s="1528"/>
      <c r="H6" s="1528"/>
      <c r="AG6" s="1461"/>
    </row>
    <row r="7" spans="1:58" x14ac:dyDescent="0.25">
      <c r="A7" s="438">
        <v>1</v>
      </c>
      <c r="D7" s="436"/>
      <c r="E7" s="653"/>
      <c r="F7" s="1528"/>
      <c r="G7" s="1528"/>
      <c r="K7" s="654"/>
      <c r="L7" s="654"/>
      <c r="M7" s="654"/>
      <c r="N7" s="654"/>
      <c r="O7" s="439"/>
      <c r="P7" s="439"/>
      <c r="Q7" s="439"/>
      <c r="R7" s="439"/>
      <c r="S7" s="439"/>
      <c r="T7" s="439"/>
      <c r="U7" s="439"/>
      <c r="V7" s="439"/>
      <c r="W7" s="439"/>
      <c r="X7" s="439"/>
      <c r="Y7" s="439"/>
      <c r="Z7" s="439"/>
      <c r="AA7" s="439"/>
      <c r="AB7" s="439"/>
      <c r="AC7" s="439"/>
      <c r="AG7" s="1439" t="s">
        <v>1079</v>
      </c>
      <c r="AH7" s="1469" t="s">
        <v>1116</v>
      </c>
      <c r="AI7" s="1085" t="s">
        <v>836</v>
      </c>
      <c r="AJ7" s="1085"/>
      <c r="AK7" s="1085"/>
      <c r="AL7" s="1085"/>
      <c r="AM7" s="1085"/>
      <c r="AN7" s="1775" t="s">
        <v>1148</v>
      </c>
      <c r="AO7" s="1085"/>
      <c r="AP7" s="1085"/>
      <c r="AQ7" s="1085"/>
      <c r="AR7" s="1085"/>
      <c r="AS7" s="1090" t="s">
        <v>837</v>
      </c>
      <c r="AT7" s="1085"/>
      <c r="AU7" s="1085"/>
      <c r="AV7" s="1085"/>
      <c r="AW7" s="1085"/>
      <c r="AX7" s="1085"/>
      <c r="AZ7" s="1324" t="s">
        <v>1068</v>
      </c>
      <c r="BA7" s="1324" t="s">
        <v>1068</v>
      </c>
      <c r="BB7" s="1324" t="s">
        <v>1068</v>
      </c>
      <c r="BC7" s="1324"/>
      <c r="BE7" s="1466"/>
      <c r="BF7" s="1466"/>
    </row>
    <row r="8" spans="1:58" x14ac:dyDescent="0.25">
      <c r="A8" s="438">
        <f t="shared" ref="A8:A54" si="0">+A7+1</f>
        <v>2</v>
      </c>
      <c r="D8" s="440"/>
      <c r="E8" s="1094"/>
      <c r="F8" s="1528"/>
      <c r="K8" s="1094"/>
      <c r="L8" s="1094"/>
      <c r="M8" s="1094"/>
      <c r="N8" s="1094"/>
      <c r="O8" s="440"/>
      <c r="P8" s="440"/>
      <c r="Q8" s="440"/>
      <c r="R8" s="440"/>
      <c r="S8" s="440"/>
      <c r="T8" s="440"/>
      <c r="U8" s="440"/>
      <c r="V8" s="440"/>
      <c r="W8" s="440"/>
      <c r="X8" s="440"/>
      <c r="Y8" s="440"/>
      <c r="Z8" s="440"/>
      <c r="AA8" s="440"/>
      <c r="AB8" s="440"/>
      <c r="AC8" s="439"/>
      <c r="AG8" s="1439" t="s">
        <v>1080</v>
      </c>
      <c r="AH8" s="1469" t="s">
        <v>1117</v>
      </c>
      <c r="AI8" s="1085"/>
      <c r="AJ8" s="1085"/>
      <c r="AK8" s="1085"/>
      <c r="AL8" s="1085"/>
      <c r="AM8" s="1085"/>
      <c r="AN8" s="1775"/>
      <c r="AO8" s="1085"/>
      <c r="AP8" s="1085"/>
      <c r="AQ8" s="1085"/>
      <c r="AR8" s="1085"/>
      <c r="AS8" s="1090" t="s">
        <v>838</v>
      </c>
      <c r="AT8" s="1085"/>
      <c r="AU8" s="1085"/>
      <c r="AV8" s="1085"/>
      <c r="AW8" s="1085"/>
      <c r="AX8" s="1085"/>
      <c r="AZ8" s="1325" t="s">
        <v>827</v>
      </c>
      <c r="BA8" s="1325" t="s">
        <v>828</v>
      </c>
      <c r="BB8" s="1325" t="s">
        <v>1133</v>
      </c>
      <c r="BC8" s="1325"/>
      <c r="BE8" s="1466"/>
      <c r="BF8" s="1466"/>
    </row>
    <row r="9" spans="1:58" x14ac:dyDescent="0.25">
      <c r="A9" s="438">
        <f t="shared" si="0"/>
        <v>3</v>
      </c>
      <c r="D9" s="439" t="s">
        <v>30</v>
      </c>
      <c r="E9" s="654" t="s">
        <v>30</v>
      </c>
      <c r="F9" s="654" t="s">
        <v>36</v>
      </c>
      <c r="G9" s="654" t="s">
        <v>36</v>
      </c>
      <c r="H9" s="654" t="s">
        <v>36</v>
      </c>
      <c r="I9" s="654"/>
      <c r="J9" s="654"/>
      <c r="K9" s="654" t="s">
        <v>36</v>
      </c>
      <c r="L9" s="654" t="s">
        <v>36</v>
      </c>
      <c r="M9" s="654"/>
      <c r="N9" s="654"/>
      <c r="O9" s="439"/>
      <c r="P9" s="439"/>
      <c r="Q9" s="439"/>
      <c r="R9" s="439"/>
      <c r="S9" s="439"/>
      <c r="T9" s="439"/>
      <c r="U9" s="439"/>
      <c r="V9" s="439" t="s">
        <v>36</v>
      </c>
      <c r="W9" s="439" t="s">
        <v>36</v>
      </c>
      <c r="X9" s="1158" t="s">
        <v>712</v>
      </c>
      <c r="Y9" s="1158"/>
      <c r="Z9" s="671"/>
      <c r="AA9" s="671"/>
      <c r="AB9" s="671"/>
      <c r="AC9" s="671"/>
      <c r="AG9" s="1439" t="s">
        <v>1081</v>
      </c>
      <c r="AH9" s="1469" t="s">
        <v>1081</v>
      </c>
      <c r="AI9" s="1086" t="s">
        <v>826</v>
      </c>
      <c r="AJ9" s="1086"/>
      <c r="AK9" s="1086"/>
      <c r="AL9" s="1086"/>
      <c r="AM9" s="1085"/>
      <c r="AN9" s="1775"/>
      <c r="AO9" s="1087" t="s">
        <v>1107</v>
      </c>
      <c r="AP9" s="1085"/>
      <c r="AQ9" s="1087" t="s">
        <v>827</v>
      </c>
      <c r="AR9" s="1085"/>
      <c r="AS9" s="1087" t="s">
        <v>832</v>
      </c>
      <c r="AT9" s="1089"/>
      <c r="AU9" s="1086" t="s">
        <v>828</v>
      </c>
      <c r="AV9" s="1086"/>
      <c r="AW9" s="1088"/>
      <c r="AX9" s="1088"/>
      <c r="AZ9" s="1324" t="s">
        <v>1069</v>
      </c>
      <c r="BA9" s="1324" t="s">
        <v>1069</v>
      </c>
      <c r="BB9" s="1324"/>
      <c r="BC9" s="1324"/>
      <c r="BE9" s="1467" t="s">
        <v>1112</v>
      </c>
      <c r="BF9" s="1468"/>
    </row>
    <row r="10" spans="1:58" s="442" customFormat="1" ht="51.75" customHeight="1" thickBot="1" x14ac:dyDescent="0.3">
      <c r="A10" s="438">
        <f t="shared" si="0"/>
        <v>4</v>
      </c>
      <c r="B10" s="436"/>
      <c r="C10" s="436"/>
      <c r="D10" s="441" t="s">
        <v>60</v>
      </c>
      <c r="E10" s="1498" t="s">
        <v>1141</v>
      </c>
      <c r="F10" s="1498" t="s">
        <v>25</v>
      </c>
      <c r="G10" s="1498" t="s">
        <v>63</v>
      </c>
      <c r="H10" s="1498" t="s">
        <v>64</v>
      </c>
      <c r="I10" s="1498" t="s">
        <v>1138</v>
      </c>
      <c r="J10" s="1498" t="s">
        <v>1139</v>
      </c>
      <c r="K10" s="1498" t="str">
        <f>+Inputs!C42</f>
        <v>R&amp;C Energy Efficiency Programs</v>
      </c>
      <c r="L10" s="1498" t="str">
        <f>+'Allocation = % of margin'!Q7</f>
        <v>Low Income Bill Pay Assistance (GREAT)</v>
      </c>
      <c r="M10" s="1492" t="s">
        <v>1138</v>
      </c>
      <c r="N10" s="1492" t="s">
        <v>1139</v>
      </c>
      <c r="O10" s="441"/>
      <c r="P10" s="441"/>
      <c r="Q10" s="441"/>
      <c r="R10" s="441"/>
      <c r="S10" s="441"/>
      <c r="T10" s="441"/>
      <c r="U10" s="441"/>
      <c r="V10" s="441" t="str">
        <f>+'Allocation = % of margin'!T7</f>
        <v>WA-LIEE</v>
      </c>
      <c r="W10" s="441" t="s">
        <v>1162</v>
      </c>
      <c r="X10" s="672" t="s">
        <v>711</v>
      </c>
      <c r="Y10" s="672" t="s">
        <v>711</v>
      </c>
      <c r="Z10" s="672" t="s">
        <v>711</v>
      </c>
      <c r="AA10" s="672" t="s">
        <v>711</v>
      </c>
      <c r="AB10" s="672" t="s">
        <v>711</v>
      </c>
      <c r="AC10" s="672" t="s">
        <v>711</v>
      </c>
      <c r="AD10" s="441" t="s">
        <v>1106</v>
      </c>
      <c r="AE10" s="441" t="s">
        <v>61</v>
      </c>
      <c r="AG10" s="1140" t="s">
        <v>1159</v>
      </c>
      <c r="AH10" s="1140" t="s">
        <v>1160</v>
      </c>
      <c r="AI10" s="1140" t="s">
        <v>824</v>
      </c>
      <c r="AJ10" s="1140" t="s">
        <v>825</v>
      </c>
      <c r="AK10" s="1140" t="s">
        <v>1110</v>
      </c>
      <c r="AL10" s="1140" t="s">
        <v>1111</v>
      </c>
      <c r="AO10" s="1140" t="s">
        <v>1098</v>
      </c>
      <c r="AQ10" s="1140" t="s">
        <v>868</v>
      </c>
      <c r="AS10" s="479" t="s">
        <v>833</v>
      </c>
      <c r="AT10" s="479"/>
      <c r="AU10" s="479" t="s">
        <v>831</v>
      </c>
      <c r="AV10" s="479" t="s">
        <v>829</v>
      </c>
      <c r="AW10" s="1084" t="s">
        <v>830</v>
      </c>
      <c r="AX10" s="479" t="s">
        <v>59</v>
      </c>
      <c r="AZ10" s="1326" t="s">
        <v>1070</v>
      </c>
      <c r="BA10" s="1323"/>
      <c r="BB10" s="1323"/>
      <c r="BC10" s="1323"/>
      <c r="BE10" s="1465" t="s">
        <v>1113</v>
      </c>
      <c r="BF10" s="1465" t="s">
        <v>1114</v>
      </c>
    </row>
    <row r="11" spans="1:58" s="442" customFormat="1" x14ac:dyDescent="0.25">
      <c r="A11" s="438">
        <f t="shared" si="0"/>
        <v>5</v>
      </c>
      <c r="B11" s="436"/>
      <c r="C11" s="436"/>
      <c r="D11" s="443"/>
      <c r="E11" s="1499"/>
      <c r="F11" s="1499"/>
      <c r="G11" s="1499"/>
      <c r="H11" s="600"/>
      <c r="I11" s="600" t="s">
        <v>1153</v>
      </c>
      <c r="J11" s="600" t="s">
        <v>1154</v>
      </c>
      <c r="K11" s="600"/>
      <c r="L11" s="600"/>
      <c r="M11" s="1493" t="s">
        <v>1137</v>
      </c>
      <c r="N11" s="1493" t="s">
        <v>1140</v>
      </c>
      <c r="O11" s="444"/>
      <c r="P11" s="444"/>
      <c r="Q11" s="444"/>
      <c r="R11" s="444"/>
      <c r="S11" s="444"/>
      <c r="T11" s="444"/>
      <c r="U11" s="444"/>
      <c r="V11" s="444"/>
      <c r="W11" s="439"/>
      <c r="X11" s="439"/>
      <c r="Y11" s="439"/>
      <c r="Z11" s="439"/>
      <c r="AA11" s="439"/>
      <c r="AB11" s="439"/>
      <c r="AC11" s="439"/>
      <c r="AD11" s="439" t="s">
        <v>1142</v>
      </c>
      <c r="AE11" s="439" t="s">
        <v>1103</v>
      </c>
      <c r="AG11" s="1465"/>
      <c r="AK11" s="1485"/>
      <c r="AM11" s="479" t="s">
        <v>834</v>
      </c>
      <c r="AN11" s="479"/>
      <c r="AO11" s="444"/>
      <c r="AS11" s="444"/>
      <c r="AU11" s="442" t="s">
        <v>869</v>
      </c>
      <c r="AZ11" s="1774" t="s">
        <v>1131</v>
      </c>
      <c r="BA11" s="1774" t="s">
        <v>1132</v>
      </c>
      <c r="BB11" s="1774" t="s">
        <v>1134</v>
      </c>
      <c r="BC11" s="1325"/>
    </row>
    <row r="12" spans="1:58" s="442" customFormat="1" x14ac:dyDescent="0.25">
      <c r="A12" s="438">
        <f t="shared" si="0"/>
        <v>6</v>
      </c>
      <c r="B12" s="445" t="s">
        <v>2</v>
      </c>
      <c r="C12" s="445" t="s">
        <v>3</v>
      </c>
      <c r="D12" s="446" t="s">
        <v>77</v>
      </c>
      <c r="E12" s="1059"/>
      <c r="F12" s="1059" t="s">
        <v>78</v>
      </c>
      <c r="G12" s="1059" t="s">
        <v>16</v>
      </c>
      <c r="H12" s="1059" t="s">
        <v>79</v>
      </c>
      <c r="I12" s="1059" t="s">
        <v>80</v>
      </c>
      <c r="J12" s="1059" t="s">
        <v>81</v>
      </c>
      <c r="K12" s="1059" t="s">
        <v>80</v>
      </c>
      <c r="L12" s="1059" t="s">
        <v>81</v>
      </c>
      <c r="M12" s="1494" t="s">
        <v>80</v>
      </c>
      <c r="N12" s="1494" t="s">
        <v>81</v>
      </c>
      <c r="O12" s="446"/>
      <c r="P12" s="446"/>
      <c r="Q12" s="446"/>
      <c r="R12" s="446"/>
      <c r="S12" s="446"/>
      <c r="T12" s="446"/>
      <c r="U12" s="446"/>
      <c r="V12" s="446" t="s">
        <v>82</v>
      </c>
      <c r="W12" s="446" t="s">
        <v>83</v>
      </c>
      <c r="X12" s="446"/>
      <c r="Y12" s="446"/>
      <c r="Z12" s="446"/>
      <c r="AA12" s="446"/>
      <c r="AB12" s="446"/>
      <c r="AC12" s="446"/>
      <c r="AD12" s="446" t="s">
        <v>83</v>
      </c>
      <c r="AE12" s="446" t="s">
        <v>85</v>
      </c>
      <c r="AK12" s="1485"/>
      <c r="AM12" s="479" t="s">
        <v>835</v>
      </c>
      <c r="AN12" s="479"/>
      <c r="AO12" s="444"/>
      <c r="AS12" s="444"/>
      <c r="AZ12" s="1774" t="s">
        <v>1131</v>
      </c>
      <c r="BA12" s="1774"/>
      <c r="BB12" s="1774"/>
      <c r="BC12" s="1698" t="s">
        <v>1163</v>
      </c>
    </row>
    <row r="13" spans="1:58" x14ac:dyDescent="0.25">
      <c r="A13" s="438">
        <f t="shared" si="0"/>
        <v>7</v>
      </c>
      <c r="B13" s="450" t="s">
        <v>4</v>
      </c>
      <c r="C13" s="447"/>
      <c r="D13" s="1609">
        <v>9.8399999999999876E-3</v>
      </c>
      <c r="E13" s="1615">
        <v>-5.3129999999999997E-2</v>
      </c>
      <c r="F13" s="1060">
        <f>+'Allocation equal ¢ per therm'!H13</f>
        <v>3.5499999999999997E-2</v>
      </c>
      <c r="G13" s="1060">
        <f>+'Allocation equal ¢ per therm'!K13</f>
        <v>-2.912E-2</v>
      </c>
      <c r="H13" s="1060">
        <f>+'Allocation equal ¢ per therm'!N13</f>
        <v>0</v>
      </c>
      <c r="I13" s="1060">
        <f>SUM(F13:H13)</f>
        <v>6.3799999999999968E-3</v>
      </c>
      <c r="J13" s="1060">
        <f>I13-E13</f>
        <v>5.9509999999999993E-2</v>
      </c>
      <c r="K13" s="1060">
        <f>+'Allocation = % of margin'!P13</f>
        <v>6.8110000000000004E-2</v>
      </c>
      <c r="L13" s="1060">
        <f>+'Allocation = % of margin'!S13</f>
        <v>6.1999999999999998E-3</v>
      </c>
      <c r="M13" s="1060">
        <v>0</v>
      </c>
      <c r="N13" s="1060">
        <v>0</v>
      </c>
      <c r="O13" s="1060"/>
      <c r="P13" s="1060"/>
      <c r="Q13" s="1060"/>
      <c r="R13" s="1060"/>
      <c r="S13" s="1060"/>
      <c r="T13" s="1060"/>
      <c r="U13" s="1060"/>
      <c r="V13" s="1060">
        <f>+'Allocation = % of margin'!V13</f>
        <v>2.31E-3</v>
      </c>
      <c r="W13" s="1060">
        <f>+'Allocation = % of margin'!Y13</f>
        <v>-1.17E-3</v>
      </c>
      <c r="X13" s="1060"/>
      <c r="Y13" s="1060"/>
      <c r="Z13" s="1060"/>
      <c r="AA13" s="1060"/>
      <c r="AB13" s="1060"/>
      <c r="AC13" s="1060"/>
      <c r="AD13" s="1060">
        <f>I13+SUM(K13:W13)</f>
        <v>8.183E-2</v>
      </c>
      <c r="AE13" s="448">
        <f>+AD13-D13</f>
        <v>7.1990000000000012E-2</v>
      </c>
      <c r="AF13" s="454"/>
      <c r="AG13" s="663">
        <f>+AD13-K13</f>
        <v>1.3719999999999996E-2</v>
      </c>
      <c r="AH13" s="663">
        <f t="shared" ref="AH13:AH57" si="1">+W13+V13+L13</f>
        <v>7.3399999999999993E-3</v>
      </c>
      <c r="AI13" s="663">
        <f t="shared" ref="AI13:AI20" si="2">+F13</f>
        <v>3.5499999999999997E-2</v>
      </c>
      <c r="AJ13" s="663">
        <f t="shared" ref="AJ13:AJ20" si="3">+G13+H13</f>
        <v>-2.912E-2</v>
      </c>
      <c r="AK13" s="1643">
        <f>SUM(K13:V13)</f>
        <v>7.6620000000000008E-2</v>
      </c>
      <c r="AL13" s="663">
        <f t="shared" ref="AL13:AL44" si="4">SUM(AI13:AK13)</f>
        <v>8.3000000000000004E-2</v>
      </c>
      <c r="AM13" s="454">
        <f t="shared" ref="AM13:AM44" si="5">+AK13-AO13-AQ13-AX13</f>
        <v>1.1700000000000078E-3</v>
      </c>
      <c r="AN13" s="454">
        <f>+AI13+AJ13</f>
        <v>6.3799999999999968E-3</v>
      </c>
      <c r="AO13" s="454">
        <f t="shared" ref="AO13:AO44" si="6">+W13</f>
        <v>-1.17E-3</v>
      </c>
      <c r="AQ13" s="454">
        <f t="shared" ref="AQ13:AQ44" si="7">+K13</f>
        <v>6.8110000000000004E-2</v>
      </c>
      <c r="AS13" s="454">
        <f>+'Rates in detail'!U13</f>
        <v>0</v>
      </c>
      <c r="AT13" s="454"/>
      <c r="AU13" s="454"/>
      <c r="AV13" s="454">
        <f t="shared" ref="AV13:AV44" si="8">+L13</f>
        <v>6.1999999999999998E-3</v>
      </c>
      <c r="AW13" s="454">
        <f t="shared" ref="AW13:AW44" si="9">+V13</f>
        <v>2.31E-3</v>
      </c>
      <c r="AX13" s="454">
        <f>SUM(AU13:AW13)</f>
        <v>8.5100000000000002E-3</v>
      </c>
      <c r="AZ13" s="1696">
        <v>5.4109999999999998E-2</v>
      </c>
      <c r="BA13" s="1660">
        <v>1.0059999999999999E-2</v>
      </c>
      <c r="BB13" s="1696">
        <v>-5.3129999999999997E-2</v>
      </c>
      <c r="BC13" s="1696">
        <v>-1.1999999999999999E-3</v>
      </c>
      <c r="BE13" s="454">
        <f>+AK13-K13</f>
        <v>8.5100000000000037E-3</v>
      </c>
      <c r="BF13" s="454">
        <f>+AL13-K13</f>
        <v>1.489E-2</v>
      </c>
    </row>
    <row r="14" spans="1:58" x14ac:dyDescent="0.25">
      <c r="A14" s="438">
        <f t="shared" si="0"/>
        <v>8</v>
      </c>
      <c r="B14" s="450" t="s">
        <v>5</v>
      </c>
      <c r="C14" s="447"/>
      <c r="D14" s="1609">
        <v>-1.9999999999999879E-4</v>
      </c>
      <c r="E14" s="1609">
        <v>-5.3129999999999997E-2</v>
      </c>
      <c r="F14" s="1060">
        <f>+'Allocation equal ¢ per therm'!H14</f>
        <v>3.5499999999999997E-2</v>
      </c>
      <c r="G14" s="1060">
        <f>+'Allocation equal ¢ per therm'!K14</f>
        <v>-2.912E-2</v>
      </c>
      <c r="H14" s="1060">
        <f>+'Allocation equal ¢ per therm'!N14</f>
        <v>0</v>
      </c>
      <c r="I14" s="1060">
        <f t="shared" ref="I14:I66" si="10">SUM(F14:H14)</f>
        <v>6.3799999999999968E-3</v>
      </c>
      <c r="J14" s="1060">
        <f t="shared" ref="J14:J66" si="11">I14-E14</f>
        <v>5.9509999999999993E-2</v>
      </c>
      <c r="K14" s="1060">
        <f>+'Allocation = % of margin'!P14</f>
        <v>5.6300000000000003E-2</v>
      </c>
      <c r="L14" s="1060">
        <f>+'Allocation = % of margin'!S14</f>
        <v>5.1200000000000004E-3</v>
      </c>
      <c r="M14" s="1495">
        <v>0</v>
      </c>
      <c r="N14" s="1495">
        <v>0</v>
      </c>
      <c r="O14" s="448"/>
      <c r="P14" s="448"/>
      <c r="Q14" s="448"/>
      <c r="R14" s="448"/>
      <c r="S14" s="448"/>
      <c r="T14" s="448"/>
      <c r="U14" s="448"/>
      <c r="V14" s="448">
        <f>+'Allocation = % of margin'!V14</f>
        <v>1.9E-3</v>
      </c>
      <c r="W14" s="448">
        <f>+'Allocation = % of margin'!Y14</f>
        <v>-9.7999999999999997E-4</v>
      </c>
      <c r="X14" s="448"/>
      <c r="Y14" s="448"/>
      <c r="Z14" s="448"/>
      <c r="AA14" s="448"/>
      <c r="AB14" s="448"/>
      <c r="AC14" s="448"/>
      <c r="AD14" s="448">
        <f t="shared" ref="AD14:AD66" si="12">I14+SUM(K14:W14)</f>
        <v>6.8720000000000003E-2</v>
      </c>
      <c r="AE14" s="448">
        <f t="shared" ref="AE14:AE66" si="13">+AD14-D14</f>
        <v>6.8920000000000009E-2</v>
      </c>
      <c r="AF14" s="454"/>
      <c r="AG14" s="663">
        <f t="shared" ref="AG14:AG24" si="14">+AD14-K14</f>
        <v>1.242E-2</v>
      </c>
      <c r="AH14" s="663">
        <f t="shared" si="1"/>
        <v>6.0400000000000002E-3</v>
      </c>
      <c r="AI14" s="663">
        <f t="shared" si="2"/>
        <v>3.5499999999999997E-2</v>
      </c>
      <c r="AJ14" s="663">
        <f t="shared" si="3"/>
        <v>-2.912E-2</v>
      </c>
      <c r="AK14" s="1643">
        <f t="shared" ref="AK14:AK67" si="15">SUM(K14:V14)</f>
        <v>6.3320000000000001E-2</v>
      </c>
      <c r="AL14" s="663">
        <f t="shared" si="4"/>
        <v>6.9699999999999998E-2</v>
      </c>
      <c r="AM14" s="454">
        <f t="shared" si="5"/>
        <v>9.7999999999999303E-4</v>
      </c>
      <c r="AN14" s="454">
        <f t="shared" ref="AN14:AN67" si="16">+AI14+AJ14</f>
        <v>6.3799999999999968E-3</v>
      </c>
      <c r="AO14" s="454">
        <f t="shared" si="6"/>
        <v>-9.7999999999999997E-4</v>
      </c>
      <c r="AQ14" s="454">
        <f t="shared" si="7"/>
        <v>5.6300000000000003E-2</v>
      </c>
      <c r="AS14" s="454">
        <f>+'Rates in detail'!U14</f>
        <v>0</v>
      </c>
      <c r="AT14" s="454"/>
      <c r="AU14" s="454"/>
      <c r="AV14" s="454">
        <f t="shared" si="8"/>
        <v>5.1200000000000004E-3</v>
      </c>
      <c r="AW14" s="454">
        <f t="shared" si="9"/>
        <v>1.9E-3</v>
      </c>
      <c r="AX14" s="454">
        <f t="shared" ref="AX14:AX67" si="17">SUM(AU14:AW14)</f>
        <v>7.0200000000000002E-3</v>
      </c>
      <c r="AZ14" s="1696">
        <v>4.548E-2</v>
      </c>
      <c r="BA14" s="1660">
        <v>8.4600000000000005E-3</v>
      </c>
      <c r="BB14" s="1696">
        <v>-5.3129999999999997E-2</v>
      </c>
      <c r="BC14" s="1696">
        <v>-1.01E-3</v>
      </c>
      <c r="BE14" s="454">
        <f t="shared" ref="BE14:BE67" si="18">+AK14-K14</f>
        <v>7.0199999999999985E-3</v>
      </c>
      <c r="BF14" s="454">
        <f t="shared" ref="BF14:BF67" si="19">+AL14-K14</f>
        <v>1.3399999999999995E-2</v>
      </c>
    </row>
    <row r="15" spans="1:58" x14ac:dyDescent="0.25">
      <c r="A15" s="438">
        <f t="shared" si="0"/>
        <v>9</v>
      </c>
      <c r="B15" s="450" t="s">
        <v>14</v>
      </c>
      <c r="C15" s="447"/>
      <c r="D15" s="1609">
        <v>-1.3939999999999994E-2</v>
      </c>
      <c r="E15" s="1609">
        <v>-5.3129999999999997E-2</v>
      </c>
      <c r="F15" s="1060">
        <f>+'Allocation equal ¢ per therm'!H15</f>
        <v>3.5499999999999997E-2</v>
      </c>
      <c r="G15" s="1060">
        <f>+'Allocation equal ¢ per therm'!K15</f>
        <v>-2.912E-2</v>
      </c>
      <c r="H15" s="1060">
        <f>+'Allocation equal ¢ per therm'!N15</f>
        <v>0</v>
      </c>
      <c r="I15" s="1060">
        <f t="shared" si="10"/>
        <v>6.3799999999999968E-3</v>
      </c>
      <c r="J15" s="1060">
        <f t="shared" si="11"/>
        <v>5.9509999999999993E-2</v>
      </c>
      <c r="K15" s="1060">
        <f>+'Allocation = % of margin'!P15</f>
        <v>4.1959999999999997E-2</v>
      </c>
      <c r="L15" s="1060">
        <f>+'Allocation = % of margin'!S15</f>
        <v>3.82E-3</v>
      </c>
      <c r="M15" s="1495">
        <v>0</v>
      </c>
      <c r="N15" s="1495">
        <v>0</v>
      </c>
      <c r="O15" s="448"/>
      <c r="P15" s="448"/>
      <c r="Q15" s="448"/>
      <c r="R15" s="448"/>
      <c r="S15" s="448"/>
      <c r="T15" s="448"/>
      <c r="U15" s="448"/>
      <c r="V15" s="448">
        <f>+'Allocation = % of margin'!V15</f>
        <v>1.42E-3</v>
      </c>
      <c r="W15" s="448">
        <f>+'Allocation = % of margin'!Y15</f>
        <v>-7.2000000000000005E-4</v>
      </c>
      <c r="X15" s="448"/>
      <c r="Y15" s="448"/>
      <c r="Z15" s="448"/>
      <c r="AA15" s="448"/>
      <c r="AB15" s="448"/>
      <c r="AC15" s="448"/>
      <c r="AD15" s="448">
        <f t="shared" si="12"/>
        <v>5.285999999999999E-2</v>
      </c>
      <c r="AE15" s="448">
        <f t="shared" si="13"/>
        <v>6.6799999999999984E-2</v>
      </c>
      <c r="AF15" s="454"/>
      <c r="AG15" s="663">
        <f t="shared" si="14"/>
        <v>1.0899999999999993E-2</v>
      </c>
      <c r="AH15" s="663">
        <f t="shared" si="1"/>
        <v>4.5199999999999997E-3</v>
      </c>
      <c r="AI15" s="663">
        <f t="shared" si="2"/>
        <v>3.5499999999999997E-2</v>
      </c>
      <c r="AJ15" s="663">
        <f t="shared" si="3"/>
        <v>-2.912E-2</v>
      </c>
      <c r="AK15" s="1643">
        <f t="shared" si="15"/>
        <v>4.7199999999999992E-2</v>
      </c>
      <c r="AL15" s="663">
        <f t="shared" si="4"/>
        <v>5.3579999999999989E-2</v>
      </c>
      <c r="AM15" s="454">
        <f t="shared" si="5"/>
        <v>7.1999999999999321E-4</v>
      </c>
      <c r="AN15" s="454">
        <f t="shared" si="16"/>
        <v>6.3799999999999968E-3</v>
      </c>
      <c r="AO15" s="454">
        <f t="shared" si="6"/>
        <v>-7.2000000000000005E-4</v>
      </c>
      <c r="AQ15" s="454">
        <f t="shared" si="7"/>
        <v>4.1959999999999997E-2</v>
      </c>
      <c r="AS15" s="454">
        <f>+'Rates in detail'!U15</f>
        <v>0</v>
      </c>
      <c r="AT15" s="454"/>
      <c r="AU15" s="454"/>
      <c r="AV15" s="454">
        <f t="shared" si="8"/>
        <v>3.82E-3</v>
      </c>
      <c r="AW15" s="454">
        <f t="shared" si="9"/>
        <v>1.42E-3</v>
      </c>
      <c r="AX15" s="454">
        <f t="shared" si="17"/>
        <v>5.2399999999999999E-3</v>
      </c>
      <c r="AZ15" s="1696">
        <v>3.3680000000000002E-2</v>
      </c>
      <c r="BA15" s="1660">
        <v>6.2599999999999999E-3</v>
      </c>
      <c r="BB15" s="1696">
        <v>-5.3129999999999997E-2</v>
      </c>
      <c r="BC15" s="1696">
        <v>-7.5000000000000002E-4</v>
      </c>
      <c r="BE15" s="454">
        <f t="shared" si="18"/>
        <v>5.2399999999999947E-3</v>
      </c>
      <c r="BF15" s="454">
        <f t="shared" si="19"/>
        <v>1.1619999999999991E-2</v>
      </c>
    </row>
    <row r="16" spans="1:58" x14ac:dyDescent="0.25">
      <c r="A16" s="438">
        <f t="shared" si="0"/>
        <v>10</v>
      </c>
      <c r="B16" s="450" t="s">
        <v>12</v>
      </c>
      <c r="C16" s="447"/>
      <c r="D16" s="1609">
        <v>-1.8099999999999991E-2</v>
      </c>
      <c r="E16" s="1609">
        <v>-5.3129999999999997E-2</v>
      </c>
      <c r="F16" s="1060">
        <f>+'Allocation equal ¢ per therm'!H16</f>
        <v>3.5499999999999997E-2</v>
      </c>
      <c r="G16" s="1060">
        <f>+'Allocation equal ¢ per therm'!K16</f>
        <v>-2.912E-2</v>
      </c>
      <c r="H16" s="1060">
        <f>+'Allocation equal ¢ per therm'!N16</f>
        <v>0</v>
      </c>
      <c r="I16" s="1060">
        <f t="shared" si="10"/>
        <v>6.3799999999999968E-3</v>
      </c>
      <c r="J16" s="1060">
        <f t="shared" si="11"/>
        <v>5.9509999999999993E-2</v>
      </c>
      <c r="K16" s="1060">
        <f>+'Allocation = % of margin'!P16</f>
        <v>3.7429999999999998E-2</v>
      </c>
      <c r="L16" s="1060">
        <f>+'Allocation = % of margin'!S16</f>
        <v>3.4099999999999998E-3</v>
      </c>
      <c r="M16" s="1495">
        <v>0</v>
      </c>
      <c r="N16" s="1495">
        <v>0</v>
      </c>
      <c r="O16" s="448"/>
      <c r="P16" s="448"/>
      <c r="Q16" s="448"/>
      <c r="R16" s="448"/>
      <c r="S16" s="448"/>
      <c r="T16" s="448"/>
      <c r="U16" s="448"/>
      <c r="V16" s="448">
        <f>+'Allocation = % of margin'!V16</f>
        <v>1.2700000000000001E-3</v>
      </c>
      <c r="W16" s="448">
        <f>+'Allocation = % of margin'!Y16</f>
        <v>-6.4000000000000005E-4</v>
      </c>
      <c r="X16" s="448"/>
      <c r="Y16" s="448"/>
      <c r="Z16" s="448"/>
      <c r="AA16" s="448"/>
      <c r="AB16" s="448"/>
      <c r="AC16" s="448"/>
      <c r="AD16" s="448">
        <f t="shared" si="12"/>
        <v>4.7849999999999997E-2</v>
      </c>
      <c r="AE16" s="448">
        <f t="shared" si="13"/>
        <v>6.5949999999999981E-2</v>
      </c>
      <c r="AF16" s="454"/>
      <c r="AG16" s="663">
        <f t="shared" si="14"/>
        <v>1.0419999999999999E-2</v>
      </c>
      <c r="AH16" s="663">
        <f t="shared" si="1"/>
        <v>4.0400000000000002E-3</v>
      </c>
      <c r="AI16" s="663">
        <f t="shared" si="2"/>
        <v>3.5499999999999997E-2</v>
      </c>
      <c r="AJ16" s="663">
        <f t="shared" si="3"/>
        <v>-2.912E-2</v>
      </c>
      <c r="AK16" s="1643">
        <f t="shared" si="15"/>
        <v>4.2110000000000002E-2</v>
      </c>
      <c r="AL16" s="663">
        <f t="shared" si="4"/>
        <v>4.8489999999999998E-2</v>
      </c>
      <c r="AM16" s="454">
        <f t="shared" si="5"/>
        <v>6.4000000000000515E-4</v>
      </c>
      <c r="AN16" s="454">
        <f t="shared" si="16"/>
        <v>6.3799999999999968E-3</v>
      </c>
      <c r="AO16" s="454">
        <f t="shared" si="6"/>
        <v>-6.4000000000000005E-4</v>
      </c>
      <c r="AQ16" s="454">
        <f t="shared" si="7"/>
        <v>3.7429999999999998E-2</v>
      </c>
      <c r="AS16" s="454">
        <f>+'Rates in detail'!U16</f>
        <v>0</v>
      </c>
      <c r="AT16" s="454"/>
      <c r="AU16" s="454"/>
      <c r="AV16" s="454">
        <f t="shared" si="8"/>
        <v>3.4099999999999998E-3</v>
      </c>
      <c r="AW16" s="454">
        <f t="shared" si="9"/>
        <v>1.2700000000000001E-3</v>
      </c>
      <c r="AX16" s="454">
        <f t="shared" si="17"/>
        <v>4.6800000000000001E-3</v>
      </c>
      <c r="AZ16" s="1696">
        <v>3.0110000000000001E-2</v>
      </c>
      <c r="BA16" s="1660">
        <v>5.5900000000000004E-3</v>
      </c>
      <c r="BB16" s="1696">
        <v>-5.3129999999999997E-2</v>
      </c>
      <c r="BC16" s="1696">
        <v>-6.7000000000000002E-4</v>
      </c>
      <c r="BE16" s="454">
        <f t="shared" si="18"/>
        <v>4.6800000000000036E-3</v>
      </c>
      <c r="BF16" s="454">
        <f t="shared" si="19"/>
        <v>1.106E-2</v>
      </c>
    </row>
    <row r="17" spans="1:58" x14ac:dyDescent="0.25">
      <c r="A17" s="438">
        <f t="shared" si="0"/>
        <v>11</v>
      </c>
      <c r="B17" s="450" t="s">
        <v>13</v>
      </c>
      <c r="C17" s="447"/>
      <c r="D17" s="1609">
        <v>-4.8729999999999996E-2</v>
      </c>
      <c r="E17" s="1609">
        <v>-5.3129999999999997E-2</v>
      </c>
      <c r="F17" s="1060">
        <f>+'Allocation equal ¢ per therm'!H17</f>
        <v>3.5499999999999997E-2</v>
      </c>
      <c r="G17" s="1060">
        <f>+'Allocation equal ¢ per therm'!K17</f>
        <v>-2.912E-2</v>
      </c>
      <c r="H17" s="1060">
        <f>+'Allocation equal ¢ per therm'!N17</f>
        <v>0</v>
      </c>
      <c r="I17" s="1060">
        <f t="shared" si="10"/>
        <v>6.3799999999999968E-3</v>
      </c>
      <c r="J17" s="1060">
        <f t="shared" si="11"/>
        <v>5.9509999999999993E-2</v>
      </c>
      <c r="K17" s="1060">
        <f>+'Allocation = % of margin'!P17</f>
        <v>0</v>
      </c>
      <c r="L17" s="1060">
        <f>+'Allocation = % of margin'!S17</f>
        <v>3.0599999999999998E-3</v>
      </c>
      <c r="M17" s="1495">
        <v>0</v>
      </c>
      <c r="N17" s="1495">
        <v>0</v>
      </c>
      <c r="O17" s="448"/>
      <c r="P17" s="448"/>
      <c r="Q17" s="448"/>
      <c r="R17" s="448"/>
      <c r="S17" s="448"/>
      <c r="T17" s="448"/>
      <c r="U17" s="448"/>
      <c r="V17" s="448">
        <f>+'Allocation = % of margin'!V17</f>
        <v>1.14E-3</v>
      </c>
      <c r="W17" s="448">
        <f>+'Allocation = % of margin'!Y17</f>
        <v>-5.8E-4</v>
      </c>
      <c r="X17" s="448"/>
      <c r="Y17" s="448"/>
      <c r="Z17" s="448"/>
      <c r="AA17" s="448"/>
      <c r="AB17" s="448"/>
      <c r="AC17" s="448"/>
      <c r="AD17" s="448">
        <f t="shared" si="12"/>
        <v>9.9999999999999967E-3</v>
      </c>
      <c r="AE17" s="448">
        <f t="shared" si="13"/>
        <v>5.8729999999999991E-2</v>
      </c>
      <c r="AF17" s="454"/>
      <c r="AG17" s="663">
        <f t="shared" si="14"/>
        <v>9.9999999999999967E-3</v>
      </c>
      <c r="AH17" s="663">
        <f t="shared" si="1"/>
        <v>3.62E-3</v>
      </c>
      <c r="AI17" s="663">
        <f t="shared" si="2"/>
        <v>3.5499999999999997E-2</v>
      </c>
      <c r="AJ17" s="663">
        <f t="shared" si="3"/>
        <v>-2.912E-2</v>
      </c>
      <c r="AK17" s="1643">
        <f t="shared" si="15"/>
        <v>4.1999999999999997E-3</v>
      </c>
      <c r="AL17" s="663">
        <f t="shared" si="4"/>
        <v>1.0579999999999996E-2</v>
      </c>
      <c r="AM17" s="454">
        <f t="shared" si="5"/>
        <v>5.7999999999999979E-4</v>
      </c>
      <c r="AN17" s="454">
        <f t="shared" si="16"/>
        <v>6.3799999999999968E-3</v>
      </c>
      <c r="AO17" s="454">
        <f t="shared" si="6"/>
        <v>-5.8E-4</v>
      </c>
      <c r="AQ17" s="454">
        <f t="shared" si="7"/>
        <v>0</v>
      </c>
      <c r="AS17" s="454">
        <f>+'Rates in detail'!U17</f>
        <v>0</v>
      </c>
      <c r="AT17" s="454"/>
      <c r="AU17" s="454"/>
      <c r="AV17" s="454">
        <f t="shared" si="8"/>
        <v>3.0599999999999998E-3</v>
      </c>
      <c r="AW17" s="454">
        <f t="shared" si="9"/>
        <v>1.14E-3</v>
      </c>
      <c r="AX17" s="454">
        <f t="shared" si="17"/>
        <v>4.1999999999999997E-3</v>
      </c>
      <c r="AZ17" s="1696">
        <v>0</v>
      </c>
      <c r="BA17" s="1660">
        <v>5.0000000000000001E-3</v>
      </c>
      <c r="BB17" s="1696">
        <v>-5.3129999999999997E-2</v>
      </c>
      <c r="BC17" s="1696">
        <v>-5.9999999999999995E-4</v>
      </c>
      <c r="BE17" s="454">
        <f t="shared" si="18"/>
        <v>4.1999999999999997E-3</v>
      </c>
      <c r="BF17" s="454">
        <f t="shared" si="19"/>
        <v>1.0579999999999996E-2</v>
      </c>
    </row>
    <row r="18" spans="1:58" x14ac:dyDescent="0.25">
      <c r="A18" s="438">
        <f t="shared" si="0"/>
        <v>12</v>
      </c>
      <c r="B18" s="510">
        <v>27</v>
      </c>
      <c r="C18" s="455"/>
      <c r="D18" s="1609">
        <v>-2.6839999999999999E-2</v>
      </c>
      <c r="E18" s="1609">
        <v>-5.3129999999999997E-2</v>
      </c>
      <c r="F18" s="1060">
        <f>+'Allocation equal ¢ per therm'!H18</f>
        <v>3.5499999999999997E-2</v>
      </c>
      <c r="G18" s="1060">
        <f>+'Allocation equal ¢ per therm'!K18</f>
        <v>-2.912E-2</v>
      </c>
      <c r="H18" s="1060">
        <f>+'Allocation equal ¢ per therm'!N18</f>
        <v>0</v>
      </c>
      <c r="I18" s="1060">
        <f t="shared" si="10"/>
        <v>6.3799999999999968E-3</v>
      </c>
      <c r="J18" s="1060">
        <f t="shared" si="11"/>
        <v>5.9509999999999993E-2</v>
      </c>
      <c r="K18" s="1060">
        <f>+'Allocation = % of margin'!P18</f>
        <v>2.8549999999999999E-2</v>
      </c>
      <c r="L18" s="1060">
        <f>+'Allocation = % of margin'!S18</f>
        <v>2.5999999999999999E-3</v>
      </c>
      <c r="M18" s="1495">
        <v>0</v>
      </c>
      <c r="N18" s="1495">
        <v>0</v>
      </c>
      <c r="O18" s="448"/>
      <c r="P18" s="448"/>
      <c r="Q18" s="448"/>
      <c r="R18" s="448"/>
      <c r="S18" s="448"/>
      <c r="T18" s="448"/>
      <c r="U18" s="448"/>
      <c r="V18" s="448">
        <f>+'Allocation = % of margin'!V18</f>
        <v>9.7000000000000005E-4</v>
      </c>
      <c r="W18" s="448">
        <f>+'Allocation = % of margin'!Y18</f>
        <v>-4.8999999999999998E-4</v>
      </c>
      <c r="X18" s="448"/>
      <c r="Y18" s="448"/>
      <c r="Z18" s="448"/>
      <c r="AA18" s="448"/>
      <c r="AB18" s="448"/>
      <c r="AC18" s="448"/>
      <c r="AD18" s="448">
        <f t="shared" si="12"/>
        <v>3.8009999999999995E-2</v>
      </c>
      <c r="AE18" s="448">
        <f t="shared" si="13"/>
        <v>6.4849999999999991E-2</v>
      </c>
      <c r="AF18" s="454"/>
      <c r="AG18" s="663">
        <f t="shared" si="14"/>
        <v>9.4599999999999962E-3</v>
      </c>
      <c r="AH18" s="663">
        <f t="shared" si="1"/>
        <v>3.0799999999999998E-3</v>
      </c>
      <c r="AI18" s="663">
        <f t="shared" si="2"/>
        <v>3.5499999999999997E-2</v>
      </c>
      <c r="AJ18" s="663">
        <f t="shared" si="3"/>
        <v>-2.912E-2</v>
      </c>
      <c r="AK18" s="1643">
        <f t="shared" si="15"/>
        <v>3.2119999999999996E-2</v>
      </c>
      <c r="AL18" s="663">
        <f t="shared" si="4"/>
        <v>3.8499999999999993E-2</v>
      </c>
      <c r="AM18" s="454">
        <f t="shared" si="5"/>
        <v>4.8999999999999435E-4</v>
      </c>
      <c r="AN18" s="454">
        <f t="shared" si="16"/>
        <v>6.3799999999999968E-3</v>
      </c>
      <c r="AO18" s="454">
        <f t="shared" si="6"/>
        <v>-4.8999999999999998E-4</v>
      </c>
      <c r="AQ18" s="454">
        <f t="shared" si="7"/>
        <v>2.8549999999999999E-2</v>
      </c>
      <c r="AS18" s="454">
        <f>+'Rates in detail'!U18</f>
        <v>0</v>
      </c>
      <c r="AT18" s="454"/>
      <c r="AU18" s="454"/>
      <c r="AV18" s="454">
        <f t="shared" si="8"/>
        <v>2.5999999999999999E-3</v>
      </c>
      <c r="AW18" s="454">
        <f t="shared" si="9"/>
        <v>9.7000000000000005E-4</v>
      </c>
      <c r="AX18" s="454">
        <f t="shared" si="17"/>
        <v>3.5699999999999998E-3</v>
      </c>
      <c r="AZ18" s="1696">
        <v>2.2589999999999999E-2</v>
      </c>
      <c r="BA18" s="1660">
        <v>4.1999999999999997E-3</v>
      </c>
      <c r="BB18" s="1696">
        <v>-5.3129999999999997E-2</v>
      </c>
      <c r="BC18" s="1696">
        <v>-5.0000000000000001E-4</v>
      </c>
      <c r="BE18" s="454">
        <f t="shared" si="18"/>
        <v>3.5699999999999968E-3</v>
      </c>
      <c r="BF18" s="454">
        <f t="shared" si="19"/>
        <v>9.9499999999999936E-3</v>
      </c>
    </row>
    <row r="19" spans="1:58" x14ac:dyDescent="0.25">
      <c r="A19" s="438">
        <f t="shared" si="0"/>
        <v>13</v>
      </c>
      <c r="B19" s="505" t="s">
        <v>857</v>
      </c>
      <c r="C19" s="452" t="s">
        <v>6</v>
      </c>
      <c r="D19" s="1611">
        <v>-2.5939999999999998E-2</v>
      </c>
      <c r="E19" s="1611">
        <v>-5.3129999999999997E-2</v>
      </c>
      <c r="F19" s="1095">
        <f>+'Allocation equal ¢ per therm'!H19</f>
        <v>3.5499999999999997E-2</v>
      </c>
      <c r="G19" s="1095">
        <f>+'Allocation equal ¢ per therm'!K19</f>
        <v>-2.912E-2</v>
      </c>
      <c r="H19" s="1095">
        <f>+'Allocation equal ¢ per therm'!N19</f>
        <v>0</v>
      </c>
      <c r="I19" s="1095">
        <f t="shared" si="10"/>
        <v>6.3799999999999968E-3</v>
      </c>
      <c r="J19" s="1095">
        <f t="shared" si="11"/>
        <v>5.9509999999999993E-2</v>
      </c>
      <c r="K19" s="1095">
        <f>+'Allocation = % of margin'!P19</f>
        <v>2.9430000000000001E-2</v>
      </c>
      <c r="L19" s="1095">
        <f>+'Allocation = % of margin'!S19</f>
        <v>2.6800000000000001E-3</v>
      </c>
      <c r="M19" s="1484">
        <v>0</v>
      </c>
      <c r="N19" s="1484">
        <v>0</v>
      </c>
      <c r="O19" s="454"/>
      <c r="P19" s="454"/>
      <c r="Q19" s="454"/>
      <c r="R19" s="454"/>
      <c r="S19" s="454"/>
      <c r="T19" s="454"/>
      <c r="U19" s="454"/>
      <c r="V19" s="454">
        <f>+'Allocation = % of margin'!V19</f>
        <v>1E-3</v>
      </c>
      <c r="W19" s="454">
        <f>+'Allocation = % of margin'!Y19</f>
        <v>-5.1000000000000004E-4</v>
      </c>
      <c r="X19" s="454"/>
      <c r="Y19" s="454"/>
      <c r="Z19" s="454"/>
      <c r="AA19" s="454"/>
      <c r="AB19" s="454"/>
      <c r="AC19" s="454"/>
      <c r="AD19" s="454">
        <f t="shared" si="12"/>
        <v>3.8980000000000001E-2</v>
      </c>
      <c r="AE19" s="454">
        <f t="shared" si="13"/>
        <v>6.4920000000000005E-2</v>
      </c>
      <c r="AF19" s="454"/>
      <c r="AG19" s="663">
        <f t="shared" si="14"/>
        <v>9.5499999999999995E-3</v>
      </c>
      <c r="AH19" s="663">
        <f t="shared" si="1"/>
        <v>3.1700000000000001E-3</v>
      </c>
      <c r="AI19" s="663">
        <f t="shared" si="2"/>
        <v>3.5499999999999997E-2</v>
      </c>
      <c r="AJ19" s="663">
        <f t="shared" si="3"/>
        <v>-2.912E-2</v>
      </c>
      <c r="AK19" s="1643">
        <f t="shared" si="15"/>
        <v>3.3110000000000001E-2</v>
      </c>
      <c r="AL19" s="663">
        <f t="shared" si="4"/>
        <v>3.9489999999999997E-2</v>
      </c>
      <c r="AM19" s="454">
        <f t="shared" si="5"/>
        <v>5.099999999999957E-4</v>
      </c>
      <c r="AN19" s="454">
        <f t="shared" si="16"/>
        <v>6.3799999999999968E-3</v>
      </c>
      <c r="AO19" s="454">
        <f t="shared" si="6"/>
        <v>-5.1000000000000004E-4</v>
      </c>
      <c r="AQ19" s="454">
        <f t="shared" si="7"/>
        <v>2.9430000000000001E-2</v>
      </c>
      <c r="AS19" s="454">
        <f>+'Rates in detail'!U19</f>
        <v>0</v>
      </c>
      <c r="AT19" s="454"/>
      <c r="AU19" s="454"/>
      <c r="AV19" s="454">
        <f t="shared" si="8"/>
        <v>2.6800000000000001E-3</v>
      </c>
      <c r="AW19" s="454">
        <f t="shared" si="9"/>
        <v>1E-3</v>
      </c>
      <c r="AX19" s="454">
        <f t="shared" si="17"/>
        <v>3.6800000000000001E-3</v>
      </c>
      <c r="AZ19" s="1696">
        <v>2.3369999999999998E-2</v>
      </c>
      <c r="BA19" s="1660">
        <v>4.3400000000000001E-3</v>
      </c>
      <c r="BB19" s="1696">
        <v>-5.3129999999999997E-2</v>
      </c>
      <c r="BC19" s="1696">
        <v>-5.1999999999999995E-4</v>
      </c>
      <c r="BE19" s="454">
        <f t="shared" si="18"/>
        <v>3.6799999999999992E-3</v>
      </c>
      <c r="BF19" s="454">
        <f t="shared" si="19"/>
        <v>1.0059999999999996E-2</v>
      </c>
    </row>
    <row r="20" spans="1:58" x14ac:dyDescent="0.25">
      <c r="A20" s="438">
        <f t="shared" si="0"/>
        <v>14</v>
      </c>
      <c r="B20" s="510"/>
      <c r="C20" s="456" t="s">
        <v>7</v>
      </c>
      <c r="D20" s="1609">
        <v>-2.9169999999999995E-2</v>
      </c>
      <c r="E20" s="1609">
        <v>-5.3129999999999997E-2</v>
      </c>
      <c r="F20" s="1060">
        <f>+'Allocation equal ¢ per therm'!H20</f>
        <v>3.5499999999999997E-2</v>
      </c>
      <c r="G20" s="1060">
        <f>+'Allocation equal ¢ per therm'!K20</f>
        <v>-2.912E-2</v>
      </c>
      <c r="H20" s="1060">
        <f>+'Allocation equal ¢ per therm'!N20</f>
        <v>0</v>
      </c>
      <c r="I20" s="1060">
        <f t="shared" si="10"/>
        <v>6.3799999999999968E-3</v>
      </c>
      <c r="J20" s="1060">
        <f t="shared" si="11"/>
        <v>5.9509999999999993E-2</v>
      </c>
      <c r="K20" s="1060">
        <f>+'Allocation = % of margin'!P20</f>
        <v>2.5930000000000002E-2</v>
      </c>
      <c r="L20" s="1060">
        <f>+'Allocation = % of margin'!S20</f>
        <v>2.3600000000000001E-3</v>
      </c>
      <c r="M20" s="1495">
        <v>0</v>
      </c>
      <c r="N20" s="1495">
        <v>0</v>
      </c>
      <c r="O20" s="448"/>
      <c r="P20" s="448"/>
      <c r="Q20" s="448"/>
      <c r="R20" s="448"/>
      <c r="S20" s="448"/>
      <c r="T20" s="448"/>
      <c r="U20" s="448"/>
      <c r="V20" s="448">
        <f>+'Allocation = % of margin'!V20</f>
        <v>8.8000000000000003E-4</v>
      </c>
      <c r="W20" s="448">
        <f>+'Allocation = % of margin'!Y20</f>
        <v>-4.4999999999999999E-4</v>
      </c>
      <c r="X20" s="448"/>
      <c r="Y20" s="448"/>
      <c r="Z20" s="448"/>
      <c r="AA20" s="448"/>
      <c r="AB20" s="448"/>
      <c r="AC20" s="448"/>
      <c r="AD20" s="448">
        <f t="shared" si="12"/>
        <v>3.5099999999999999E-2</v>
      </c>
      <c r="AE20" s="448">
        <f t="shared" si="13"/>
        <v>6.4269999999999994E-2</v>
      </c>
      <c r="AF20" s="454"/>
      <c r="AG20" s="663">
        <f t="shared" si="14"/>
        <v>9.1699999999999976E-3</v>
      </c>
      <c r="AH20" s="663">
        <f t="shared" si="1"/>
        <v>2.7899999999999999E-3</v>
      </c>
      <c r="AI20" s="663">
        <f t="shared" si="2"/>
        <v>3.5499999999999997E-2</v>
      </c>
      <c r="AJ20" s="663">
        <f t="shared" si="3"/>
        <v>-2.912E-2</v>
      </c>
      <c r="AK20" s="1643">
        <f t="shared" si="15"/>
        <v>2.9170000000000001E-2</v>
      </c>
      <c r="AL20" s="663">
        <f t="shared" si="4"/>
        <v>3.5549999999999998E-2</v>
      </c>
      <c r="AM20" s="454">
        <f t="shared" si="5"/>
        <v>4.4999999999999858E-4</v>
      </c>
      <c r="AN20" s="454">
        <f t="shared" si="16"/>
        <v>6.3799999999999968E-3</v>
      </c>
      <c r="AO20" s="454">
        <f t="shared" si="6"/>
        <v>-4.4999999999999999E-4</v>
      </c>
      <c r="AQ20" s="454">
        <f t="shared" si="7"/>
        <v>2.5930000000000002E-2</v>
      </c>
      <c r="AS20" s="454">
        <f>+'Rates in detail'!U20</f>
        <v>0</v>
      </c>
      <c r="AT20" s="454"/>
      <c r="AU20" s="454"/>
      <c r="AV20" s="454">
        <f t="shared" si="8"/>
        <v>2.3600000000000001E-3</v>
      </c>
      <c r="AW20" s="454">
        <f t="shared" si="9"/>
        <v>8.8000000000000003E-4</v>
      </c>
      <c r="AX20" s="454">
        <f t="shared" si="17"/>
        <v>3.2400000000000003E-3</v>
      </c>
      <c r="AZ20" s="1696">
        <v>2.0590000000000001E-2</v>
      </c>
      <c r="BA20" s="1660">
        <v>3.8300000000000001E-3</v>
      </c>
      <c r="BB20" s="1696">
        <v>-5.3129999999999997E-2</v>
      </c>
      <c r="BC20" s="1696">
        <v>-4.6000000000000001E-4</v>
      </c>
      <c r="BE20" s="454">
        <f t="shared" si="18"/>
        <v>3.2399999999999998E-3</v>
      </c>
      <c r="BF20" s="454">
        <f t="shared" si="19"/>
        <v>9.6199999999999966E-3</v>
      </c>
    </row>
    <row r="21" spans="1:58" x14ac:dyDescent="0.25">
      <c r="A21" s="438">
        <f t="shared" si="0"/>
        <v>15</v>
      </c>
      <c r="B21" s="505" t="s">
        <v>858</v>
      </c>
      <c r="C21" s="452" t="s">
        <v>6</v>
      </c>
      <c r="D21" s="1611">
        <v>-9.779999999999997E-3</v>
      </c>
      <c r="E21" s="1611">
        <v>-3.5659999999999997E-2</v>
      </c>
      <c r="F21" s="1095">
        <f>+'Allocation equal ¢ per therm'!H21</f>
        <v>3.5499999999999997E-2</v>
      </c>
      <c r="G21" s="1095">
        <f>+'Allocation equal ¢ per therm'!K21</f>
        <v>0</v>
      </c>
      <c r="H21" s="1095">
        <f>+'Allocation equal ¢ per therm'!N21</f>
        <v>-1.017E-2</v>
      </c>
      <c r="I21" s="1095">
        <f t="shared" si="10"/>
        <v>2.5329999999999998E-2</v>
      </c>
      <c r="J21" s="1095">
        <f t="shared" si="11"/>
        <v>6.0989999999999996E-2</v>
      </c>
      <c r="K21" s="1095">
        <f>+'Allocation = % of margin'!P21</f>
        <v>2.7699999999999999E-2</v>
      </c>
      <c r="L21" s="1095">
        <f>+'Allocation = % of margin'!S21</f>
        <v>2.5799999999999998E-3</v>
      </c>
      <c r="M21" s="1484">
        <v>0</v>
      </c>
      <c r="N21" s="1484">
        <v>0</v>
      </c>
      <c r="O21" s="454"/>
      <c r="P21" s="454"/>
      <c r="Q21" s="454"/>
      <c r="R21" s="454"/>
      <c r="S21" s="454"/>
      <c r="T21" s="454"/>
      <c r="U21" s="454"/>
      <c r="V21" s="454">
        <f>+'Allocation = % of margin'!V21</f>
        <v>9.6000000000000002E-4</v>
      </c>
      <c r="W21" s="454">
        <f>+'Allocation = % of margin'!Y21</f>
        <v>-5.1000000000000004E-4</v>
      </c>
      <c r="X21" s="454"/>
      <c r="Y21" s="454"/>
      <c r="Z21" s="454"/>
      <c r="AA21" s="454"/>
      <c r="AB21" s="454"/>
      <c r="AC21" s="454"/>
      <c r="AD21" s="454">
        <f t="shared" si="12"/>
        <v>5.6059999999999999E-2</v>
      </c>
      <c r="AE21" s="454">
        <f>+AD21-D21</f>
        <v>6.5839999999999996E-2</v>
      </c>
      <c r="AF21" s="454"/>
      <c r="AG21" s="663">
        <f t="shared" si="14"/>
        <v>2.836E-2</v>
      </c>
      <c r="AH21" s="663">
        <f t="shared" si="1"/>
        <v>3.0299999999999997E-3</v>
      </c>
      <c r="AI21" s="663">
        <f t="shared" ref="AI21:AI53" si="20">+F21</f>
        <v>3.5499999999999997E-2</v>
      </c>
      <c r="AJ21" s="663">
        <f t="shared" ref="AJ21:AJ53" si="21">+G21+H21</f>
        <v>-1.017E-2</v>
      </c>
      <c r="AK21" s="1643">
        <f t="shared" si="15"/>
        <v>3.1239999999999997E-2</v>
      </c>
      <c r="AL21" s="663">
        <f t="shared" si="4"/>
        <v>5.6569999999999995E-2</v>
      </c>
      <c r="AM21" s="454">
        <f t="shared" si="5"/>
        <v>5.1000000000000177E-4</v>
      </c>
      <c r="AN21" s="454">
        <f t="shared" si="16"/>
        <v>2.5329999999999998E-2</v>
      </c>
      <c r="AO21" s="454">
        <f t="shared" si="6"/>
        <v>-5.1000000000000004E-4</v>
      </c>
      <c r="AQ21" s="454">
        <f t="shared" si="7"/>
        <v>2.7699999999999999E-2</v>
      </c>
      <c r="AS21" s="454">
        <f>+'Rates in detail'!U21</f>
        <v>0</v>
      </c>
      <c r="AT21" s="454"/>
      <c r="AU21" s="454"/>
      <c r="AV21" s="454">
        <f t="shared" si="8"/>
        <v>2.5799999999999998E-3</v>
      </c>
      <c r="AW21" s="454">
        <f t="shared" si="9"/>
        <v>9.6000000000000002E-4</v>
      </c>
      <c r="AX21" s="454">
        <f t="shared" si="17"/>
        <v>3.5399999999999997E-3</v>
      </c>
      <c r="AZ21" s="1696">
        <v>2.2190000000000001E-2</v>
      </c>
      <c r="BA21" s="1660">
        <v>4.2199999999999998E-3</v>
      </c>
      <c r="BB21" s="1696">
        <v>-3.5659999999999997E-2</v>
      </c>
      <c r="BC21" s="1696">
        <v>-5.2999999999999998E-4</v>
      </c>
      <c r="BE21" s="454">
        <f t="shared" si="18"/>
        <v>3.539999999999998E-3</v>
      </c>
      <c r="BF21" s="454">
        <f t="shared" si="19"/>
        <v>2.8869999999999996E-2</v>
      </c>
    </row>
    <row r="22" spans="1:58" x14ac:dyDescent="0.25">
      <c r="A22" s="438">
        <f t="shared" si="0"/>
        <v>16</v>
      </c>
      <c r="B22" s="510"/>
      <c r="C22" s="456" t="s">
        <v>7</v>
      </c>
      <c r="D22" s="1609">
        <v>-1.286E-2</v>
      </c>
      <c r="E22" s="1609">
        <v>-3.5659999999999997E-2</v>
      </c>
      <c r="F22" s="1060">
        <f>+'Allocation equal ¢ per therm'!H22</f>
        <v>3.5499999999999997E-2</v>
      </c>
      <c r="G22" s="1060">
        <f>+'Allocation equal ¢ per therm'!K22</f>
        <v>0</v>
      </c>
      <c r="H22" s="1060">
        <f>+'Allocation equal ¢ per therm'!N22</f>
        <v>-1.017E-2</v>
      </c>
      <c r="I22" s="1060">
        <f t="shared" si="10"/>
        <v>2.5329999999999998E-2</v>
      </c>
      <c r="J22" s="1060">
        <f t="shared" si="11"/>
        <v>6.0989999999999996E-2</v>
      </c>
      <c r="K22" s="1060">
        <f>+'Allocation = % of margin'!P22</f>
        <v>2.4400000000000002E-2</v>
      </c>
      <c r="L22" s="1060">
        <f>+'Allocation = % of margin'!S22</f>
        <v>2.2699999999999999E-3</v>
      </c>
      <c r="M22" s="1495">
        <v>0</v>
      </c>
      <c r="N22" s="1495">
        <v>0</v>
      </c>
      <c r="O22" s="448"/>
      <c r="P22" s="448"/>
      <c r="Q22" s="448"/>
      <c r="R22" s="448"/>
      <c r="S22" s="448"/>
      <c r="T22" s="448"/>
      <c r="U22" s="448"/>
      <c r="V22" s="448">
        <f>+'Allocation = % of margin'!V22</f>
        <v>8.4999999999999995E-4</v>
      </c>
      <c r="W22" s="448">
        <f>+'Allocation = % of margin'!Y22</f>
        <v>-4.4999999999999999E-4</v>
      </c>
      <c r="X22" s="448"/>
      <c r="Y22" s="448"/>
      <c r="Z22" s="448"/>
      <c r="AA22" s="448"/>
      <c r="AB22" s="448"/>
      <c r="AC22" s="448"/>
      <c r="AD22" s="448">
        <f t="shared" si="12"/>
        <v>5.2400000000000002E-2</v>
      </c>
      <c r="AE22" s="448">
        <f>+AD22-D22</f>
        <v>6.5259999999999999E-2</v>
      </c>
      <c r="AF22" s="454"/>
      <c r="AG22" s="663">
        <f t="shared" si="14"/>
        <v>2.8000000000000001E-2</v>
      </c>
      <c r="AH22" s="663">
        <f t="shared" si="1"/>
        <v>2.6699999999999996E-3</v>
      </c>
      <c r="AI22" s="663">
        <f t="shared" si="20"/>
        <v>3.5499999999999997E-2</v>
      </c>
      <c r="AJ22" s="663">
        <f t="shared" si="21"/>
        <v>-1.017E-2</v>
      </c>
      <c r="AK22" s="1643">
        <f t="shared" si="15"/>
        <v>2.7520000000000003E-2</v>
      </c>
      <c r="AL22" s="663">
        <f t="shared" si="4"/>
        <v>5.2850000000000001E-2</v>
      </c>
      <c r="AM22" s="454">
        <f t="shared" si="5"/>
        <v>4.5000000000000031E-4</v>
      </c>
      <c r="AN22" s="454">
        <f t="shared" si="16"/>
        <v>2.5329999999999998E-2</v>
      </c>
      <c r="AO22" s="454">
        <f t="shared" si="6"/>
        <v>-4.4999999999999999E-4</v>
      </c>
      <c r="AQ22" s="454">
        <f t="shared" si="7"/>
        <v>2.4400000000000002E-2</v>
      </c>
      <c r="AS22" s="454">
        <f>+'Rates in detail'!U22</f>
        <v>0</v>
      </c>
      <c r="AT22" s="454"/>
      <c r="AU22" s="454"/>
      <c r="AV22" s="454">
        <f t="shared" si="8"/>
        <v>2.2699999999999999E-3</v>
      </c>
      <c r="AW22" s="454">
        <f t="shared" si="9"/>
        <v>8.4999999999999995E-4</v>
      </c>
      <c r="AX22" s="454">
        <f t="shared" si="17"/>
        <v>3.1199999999999999E-3</v>
      </c>
      <c r="AZ22" s="1696">
        <v>1.9550000000000001E-2</v>
      </c>
      <c r="BA22" s="1660">
        <v>3.7200000000000002E-3</v>
      </c>
      <c r="BB22" s="1696">
        <v>-3.5659999999999997E-2</v>
      </c>
      <c r="BC22" s="1696">
        <v>-4.6999999999999999E-4</v>
      </c>
      <c r="BE22" s="454">
        <f t="shared" si="18"/>
        <v>3.1200000000000012E-3</v>
      </c>
      <c r="BF22" s="454">
        <f t="shared" si="19"/>
        <v>2.845E-2</v>
      </c>
    </row>
    <row r="23" spans="1:58" x14ac:dyDescent="0.25">
      <c r="A23" s="438">
        <f t="shared" si="0"/>
        <v>17</v>
      </c>
      <c r="B23" s="505" t="s">
        <v>161</v>
      </c>
      <c r="C23" s="452" t="s">
        <v>6</v>
      </c>
      <c r="D23" s="1611">
        <v>-5.8E-4</v>
      </c>
      <c r="E23" s="1611">
        <v>0</v>
      </c>
      <c r="F23" s="1095">
        <f>+'Allocation equal ¢ per therm'!H23</f>
        <v>0</v>
      </c>
      <c r="G23" s="1095">
        <f>+'Allocation equal ¢ per therm'!K23</f>
        <v>0</v>
      </c>
      <c r="H23" s="1095">
        <f>+'Allocation equal ¢ per therm'!N23</f>
        <v>0</v>
      </c>
      <c r="I23" s="1095">
        <f t="shared" si="10"/>
        <v>0</v>
      </c>
      <c r="J23" s="1095">
        <f t="shared" si="11"/>
        <v>0</v>
      </c>
      <c r="K23" s="1095">
        <f>+'Allocation = % of margin'!P23</f>
        <v>0</v>
      </c>
      <c r="L23" s="1095">
        <f>+'Allocation = % of margin'!S23</f>
        <v>0</v>
      </c>
      <c r="M23" s="1484">
        <v>0</v>
      </c>
      <c r="N23" s="1484">
        <v>0</v>
      </c>
      <c r="O23" s="454"/>
      <c r="P23" s="454"/>
      <c r="Q23" s="454"/>
      <c r="R23" s="454"/>
      <c r="S23" s="454"/>
      <c r="T23" s="454"/>
      <c r="U23" s="454"/>
      <c r="V23" s="454">
        <f>+'Allocation = % of margin'!V23</f>
        <v>0</v>
      </c>
      <c r="W23" s="454">
        <f>+'Allocation = % of margin'!Y23</f>
        <v>-4.8999999999999998E-4</v>
      </c>
      <c r="X23" s="454"/>
      <c r="Y23" s="454"/>
      <c r="Z23" s="454"/>
      <c r="AA23" s="454"/>
      <c r="AB23" s="454"/>
      <c r="AC23" s="454"/>
      <c r="AD23" s="454">
        <f t="shared" si="12"/>
        <v>-4.8999999999999998E-4</v>
      </c>
      <c r="AE23" s="454">
        <f t="shared" si="13"/>
        <v>9.0000000000000019E-5</v>
      </c>
      <c r="AF23" s="454"/>
      <c r="AG23" s="663">
        <f t="shared" si="14"/>
        <v>-4.8999999999999998E-4</v>
      </c>
      <c r="AH23" s="663">
        <f t="shared" si="1"/>
        <v>-4.8999999999999998E-4</v>
      </c>
      <c r="AI23" s="663">
        <f t="shared" si="20"/>
        <v>0</v>
      </c>
      <c r="AJ23" s="663">
        <f t="shared" si="21"/>
        <v>0</v>
      </c>
      <c r="AK23" s="1643">
        <f t="shared" si="15"/>
        <v>0</v>
      </c>
      <c r="AL23" s="663">
        <f t="shared" si="4"/>
        <v>0</v>
      </c>
      <c r="AM23" s="454">
        <f t="shared" si="5"/>
        <v>4.8999999999999998E-4</v>
      </c>
      <c r="AN23" s="454">
        <f t="shared" si="16"/>
        <v>0</v>
      </c>
      <c r="AO23" s="454">
        <f t="shared" si="6"/>
        <v>-4.8999999999999998E-4</v>
      </c>
      <c r="AQ23" s="454">
        <f t="shared" si="7"/>
        <v>0</v>
      </c>
      <c r="AS23" s="454">
        <f>+'Rates in detail'!U23</f>
        <v>0</v>
      </c>
      <c r="AT23" s="454"/>
      <c r="AU23" s="454"/>
      <c r="AV23" s="454">
        <f t="shared" si="8"/>
        <v>0</v>
      </c>
      <c r="AW23" s="454">
        <f t="shared" si="9"/>
        <v>0</v>
      </c>
      <c r="AX23" s="454">
        <f t="shared" si="17"/>
        <v>0</v>
      </c>
      <c r="AZ23" s="1696">
        <v>0</v>
      </c>
      <c r="BA23" s="1660">
        <v>0</v>
      </c>
      <c r="BB23" s="1696">
        <v>0</v>
      </c>
      <c r="BC23" s="1696">
        <v>-5.8E-4</v>
      </c>
      <c r="BE23" s="454">
        <f t="shared" si="18"/>
        <v>0</v>
      </c>
      <c r="BF23" s="454">
        <f t="shared" si="19"/>
        <v>0</v>
      </c>
    </row>
    <row r="24" spans="1:58" x14ac:dyDescent="0.25">
      <c r="A24" s="438">
        <f t="shared" si="0"/>
        <v>18</v>
      </c>
      <c r="B24" s="510"/>
      <c r="C24" s="456" t="s">
        <v>7</v>
      </c>
      <c r="D24" s="1609">
        <v>-5.1000000000000004E-4</v>
      </c>
      <c r="E24" s="1609">
        <v>0</v>
      </c>
      <c r="F24" s="1060">
        <f>+'Allocation equal ¢ per therm'!H24</f>
        <v>0</v>
      </c>
      <c r="G24" s="1060">
        <f>+'Allocation equal ¢ per therm'!K24</f>
        <v>0</v>
      </c>
      <c r="H24" s="1060">
        <f>+'Allocation equal ¢ per therm'!N24</f>
        <v>0</v>
      </c>
      <c r="I24" s="1060">
        <f t="shared" si="10"/>
        <v>0</v>
      </c>
      <c r="J24" s="1060">
        <f t="shared" si="11"/>
        <v>0</v>
      </c>
      <c r="K24" s="1060">
        <f>+'Allocation = % of margin'!P24</f>
        <v>0</v>
      </c>
      <c r="L24" s="1060">
        <f>+'Allocation = % of margin'!S24</f>
        <v>0</v>
      </c>
      <c r="M24" s="1495">
        <v>0</v>
      </c>
      <c r="N24" s="1495">
        <v>0</v>
      </c>
      <c r="O24" s="448"/>
      <c r="P24" s="448"/>
      <c r="Q24" s="448"/>
      <c r="R24" s="448"/>
      <c r="S24" s="448"/>
      <c r="T24" s="448"/>
      <c r="U24" s="448"/>
      <c r="V24" s="448">
        <f>+'Allocation = % of margin'!V24</f>
        <v>0</v>
      </c>
      <c r="W24" s="448">
        <f>+'Allocation = % of margin'!Y24</f>
        <v>-4.2999999999999999E-4</v>
      </c>
      <c r="X24" s="448"/>
      <c r="Y24" s="448"/>
      <c r="Z24" s="448"/>
      <c r="AA24" s="448"/>
      <c r="AB24" s="448"/>
      <c r="AC24" s="448"/>
      <c r="AD24" s="448">
        <f t="shared" si="12"/>
        <v>-4.2999999999999999E-4</v>
      </c>
      <c r="AE24" s="448">
        <f t="shared" si="13"/>
        <v>8.0000000000000047E-5</v>
      </c>
      <c r="AF24" s="454"/>
      <c r="AG24" s="663">
        <f t="shared" si="14"/>
        <v>-4.2999999999999999E-4</v>
      </c>
      <c r="AH24" s="663">
        <f t="shared" si="1"/>
        <v>-4.2999999999999999E-4</v>
      </c>
      <c r="AI24" s="663">
        <f t="shared" si="20"/>
        <v>0</v>
      </c>
      <c r="AJ24" s="663">
        <f t="shared" si="21"/>
        <v>0</v>
      </c>
      <c r="AK24" s="1643">
        <f t="shared" si="15"/>
        <v>0</v>
      </c>
      <c r="AL24" s="663">
        <f t="shared" si="4"/>
        <v>0</v>
      </c>
      <c r="AM24" s="454">
        <f t="shared" si="5"/>
        <v>4.2999999999999999E-4</v>
      </c>
      <c r="AN24" s="454">
        <f t="shared" si="16"/>
        <v>0</v>
      </c>
      <c r="AO24" s="454">
        <f t="shared" si="6"/>
        <v>-4.2999999999999999E-4</v>
      </c>
      <c r="AQ24" s="454">
        <f t="shared" si="7"/>
        <v>0</v>
      </c>
      <c r="AS24" s="454">
        <f>+'Rates in detail'!U24</f>
        <v>0</v>
      </c>
      <c r="AT24" s="454"/>
      <c r="AU24" s="454"/>
      <c r="AV24" s="454">
        <f t="shared" si="8"/>
        <v>0</v>
      </c>
      <c r="AW24" s="454">
        <f t="shared" si="9"/>
        <v>0</v>
      </c>
      <c r="AX24" s="454">
        <f t="shared" si="17"/>
        <v>0</v>
      </c>
      <c r="AZ24" s="1696">
        <v>0</v>
      </c>
      <c r="BA24" s="1660">
        <v>0</v>
      </c>
      <c r="BB24" s="1696">
        <v>0</v>
      </c>
      <c r="BC24" s="1696">
        <v>-5.1000000000000004E-4</v>
      </c>
      <c r="BE24" s="454">
        <f t="shared" si="18"/>
        <v>0</v>
      </c>
      <c r="BF24" s="454">
        <f t="shared" si="19"/>
        <v>0</v>
      </c>
    </row>
    <row r="25" spans="1:58" x14ac:dyDescent="0.25">
      <c r="A25" s="438">
        <f t="shared" si="0"/>
        <v>19</v>
      </c>
      <c r="B25" s="505" t="s">
        <v>859</v>
      </c>
      <c r="C25" s="452" t="s">
        <v>6</v>
      </c>
      <c r="D25" s="1611">
        <v>-4.9319999999999996E-2</v>
      </c>
      <c r="E25" s="1611">
        <v>-5.3129999999999997E-2</v>
      </c>
      <c r="F25" s="1095">
        <f>+'Allocation equal ¢ per therm'!H25</f>
        <v>3.5499999999999997E-2</v>
      </c>
      <c r="G25" s="1095">
        <f>+'Allocation equal ¢ per therm'!K25</f>
        <v>-2.912E-2</v>
      </c>
      <c r="H25" s="1095">
        <f>+'Allocation equal ¢ per therm'!N25</f>
        <v>0</v>
      </c>
      <c r="I25" s="1095">
        <f t="shared" si="10"/>
        <v>6.3799999999999968E-3</v>
      </c>
      <c r="J25" s="1095">
        <f t="shared" si="11"/>
        <v>5.9509999999999993E-2</v>
      </c>
      <c r="K25" s="1095">
        <f>+'Allocation = % of margin'!P25</f>
        <v>0</v>
      </c>
      <c r="L25" s="1095">
        <f>+'Allocation = % of margin'!S25</f>
        <v>2.5999999999999999E-3</v>
      </c>
      <c r="M25" s="1484">
        <v>0</v>
      </c>
      <c r="N25" s="1484">
        <v>0</v>
      </c>
      <c r="O25" s="454"/>
      <c r="P25" s="454"/>
      <c r="Q25" s="454"/>
      <c r="R25" s="454"/>
      <c r="S25" s="454"/>
      <c r="T25" s="454"/>
      <c r="U25" s="454"/>
      <c r="V25" s="454">
        <f>+'Allocation = % of margin'!V25</f>
        <v>9.7000000000000005E-4</v>
      </c>
      <c r="W25" s="454">
        <f>+'Allocation = % of margin'!Y25</f>
        <v>-4.8999999999999998E-4</v>
      </c>
      <c r="X25" s="454"/>
      <c r="Y25" s="454"/>
      <c r="Z25" s="454"/>
      <c r="AA25" s="454"/>
      <c r="AB25" s="454"/>
      <c r="AC25" s="454"/>
      <c r="AD25" s="454">
        <f t="shared" si="12"/>
        <v>9.4599999999999962E-3</v>
      </c>
      <c r="AE25" s="454">
        <f>+AD25-D25</f>
        <v>5.8779999999999992E-2</v>
      </c>
      <c r="AF25" s="454"/>
      <c r="AG25" s="663">
        <f t="shared" ref="AG25:AG28" si="22">+AD25-K25</f>
        <v>9.4599999999999962E-3</v>
      </c>
      <c r="AH25" s="663">
        <f t="shared" si="1"/>
        <v>3.0799999999999998E-3</v>
      </c>
      <c r="AI25" s="663">
        <f t="shared" si="20"/>
        <v>3.5499999999999997E-2</v>
      </c>
      <c r="AJ25" s="663">
        <f t="shared" si="21"/>
        <v>-2.912E-2</v>
      </c>
      <c r="AK25" s="1643">
        <f t="shared" si="15"/>
        <v>3.5699999999999998E-3</v>
      </c>
      <c r="AL25" s="663">
        <f t="shared" si="4"/>
        <v>9.949999999999997E-3</v>
      </c>
      <c r="AM25" s="454">
        <f t="shared" si="5"/>
        <v>4.8999999999999955E-4</v>
      </c>
      <c r="AN25" s="454">
        <f t="shared" si="16"/>
        <v>6.3799999999999968E-3</v>
      </c>
      <c r="AO25" s="454">
        <f t="shared" si="6"/>
        <v>-4.8999999999999998E-4</v>
      </c>
      <c r="AQ25" s="454">
        <f t="shared" si="7"/>
        <v>0</v>
      </c>
      <c r="AS25" s="454">
        <f>+'Rates in detail'!U25</f>
        <v>0</v>
      </c>
      <c r="AT25" s="454"/>
      <c r="AU25" s="454"/>
      <c r="AV25" s="454">
        <f t="shared" si="8"/>
        <v>2.5999999999999999E-3</v>
      </c>
      <c r="AW25" s="454">
        <f t="shared" si="9"/>
        <v>9.7000000000000005E-4</v>
      </c>
      <c r="AX25" s="454">
        <f t="shared" si="17"/>
        <v>3.5699999999999998E-3</v>
      </c>
      <c r="AZ25" s="1696">
        <v>0</v>
      </c>
      <c r="BA25" s="1660">
        <v>4.3300000000000005E-3</v>
      </c>
      <c r="BB25" s="1696">
        <v>-5.3129999999999997E-2</v>
      </c>
      <c r="BC25" s="1696">
        <v>-5.1999999999999995E-4</v>
      </c>
      <c r="BE25" s="454">
        <f t="shared" si="18"/>
        <v>3.5699999999999998E-3</v>
      </c>
      <c r="BF25" s="454">
        <f t="shared" si="19"/>
        <v>9.949999999999997E-3</v>
      </c>
    </row>
    <row r="26" spans="1:58" x14ac:dyDescent="0.25">
      <c r="A26" s="438">
        <f t="shared" si="0"/>
        <v>20</v>
      </c>
      <c r="B26" s="510"/>
      <c r="C26" s="456" t="s">
        <v>7</v>
      </c>
      <c r="D26" s="1609">
        <v>-4.9779999999999998E-2</v>
      </c>
      <c r="E26" s="1609">
        <v>-5.3129999999999997E-2</v>
      </c>
      <c r="F26" s="1060">
        <f>+'Allocation equal ¢ per therm'!H26</f>
        <v>3.5499999999999997E-2</v>
      </c>
      <c r="G26" s="1060">
        <f>+'Allocation equal ¢ per therm'!K26</f>
        <v>-2.912E-2</v>
      </c>
      <c r="H26" s="1060">
        <f>+'Allocation equal ¢ per therm'!N26</f>
        <v>0</v>
      </c>
      <c r="I26" s="1060">
        <f t="shared" si="10"/>
        <v>6.3799999999999968E-3</v>
      </c>
      <c r="J26" s="1060">
        <f t="shared" si="11"/>
        <v>5.9509999999999993E-2</v>
      </c>
      <c r="K26" s="1060">
        <f>+'Allocation = % of margin'!P26</f>
        <v>0</v>
      </c>
      <c r="L26" s="1060">
        <f>+'Allocation = % of margin'!S26</f>
        <v>2.2899999999999999E-3</v>
      </c>
      <c r="M26" s="1495">
        <v>0</v>
      </c>
      <c r="N26" s="1495">
        <v>0</v>
      </c>
      <c r="O26" s="448"/>
      <c r="P26" s="448"/>
      <c r="Q26" s="448"/>
      <c r="R26" s="448"/>
      <c r="S26" s="448"/>
      <c r="T26" s="448"/>
      <c r="U26" s="448"/>
      <c r="V26" s="448">
        <f>+'Allocation = % of margin'!V26</f>
        <v>8.5999999999999998E-4</v>
      </c>
      <c r="W26" s="448">
        <f>+'Allocation = % of margin'!Y26</f>
        <v>-4.2999999999999999E-4</v>
      </c>
      <c r="X26" s="448"/>
      <c r="Y26" s="448"/>
      <c r="Z26" s="448"/>
      <c r="AA26" s="448"/>
      <c r="AB26" s="448"/>
      <c r="AC26" s="448"/>
      <c r="AD26" s="448">
        <f t="shared" si="12"/>
        <v>9.099999999999997E-3</v>
      </c>
      <c r="AE26" s="448">
        <f>+AD26-D26</f>
        <v>5.8879999999999995E-2</v>
      </c>
      <c r="AF26" s="454"/>
      <c r="AG26" s="663">
        <f t="shared" si="22"/>
        <v>9.099999999999997E-3</v>
      </c>
      <c r="AH26" s="663">
        <f t="shared" si="1"/>
        <v>2.7199999999999998E-3</v>
      </c>
      <c r="AI26" s="663">
        <f t="shared" si="20"/>
        <v>3.5499999999999997E-2</v>
      </c>
      <c r="AJ26" s="663">
        <f t="shared" si="21"/>
        <v>-2.912E-2</v>
      </c>
      <c r="AK26" s="1643">
        <f t="shared" si="15"/>
        <v>3.15E-3</v>
      </c>
      <c r="AL26" s="663">
        <f t="shared" si="4"/>
        <v>9.5299999999999968E-3</v>
      </c>
      <c r="AM26" s="454">
        <f t="shared" si="5"/>
        <v>4.2999999999999983E-4</v>
      </c>
      <c r="AN26" s="454">
        <f t="shared" si="16"/>
        <v>6.3799999999999968E-3</v>
      </c>
      <c r="AO26" s="454">
        <f t="shared" si="6"/>
        <v>-4.2999999999999999E-4</v>
      </c>
      <c r="AQ26" s="454">
        <f t="shared" si="7"/>
        <v>0</v>
      </c>
      <c r="AS26" s="454">
        <f>+'Rates in detail'!U26</f>
        <v>0</v>
      </c>
      <c r="AT26" s="454"/>
      <c r="AU26" s="454"/>
      <c r="AV26" s="454">
        <f t="shared" si="8"/>
        <v>2.2899999999999999E-3</v>
      </c>
      <c r="AW26" s="454">
        <f t="shared" si="9"/>
        <v>8.5999999999999998E-4</v>
      </c>
      <c r="AX26" s="454">
        <f t="shared" si="17"/>
        <v>3.15E-3</v>
      </c>
      <c r="AZ26" s="1696">
        <v>0</v>
      </c>
      <c r="BA26" s="1660">
        <v>3.81E-3</v>
      </c>
      <c r="BB26" s="1696">
        <v>-5.3129999999999997E-2</v>
      </c>
      <c r="BC26" s="1696">
        <v>-4.6000000000000001E-4</v>
      </c>
      <c r="BE26" s="454">
        <f t="shared" si="18"/>
        <v>3.15E-3</v>
      </c>
      <c r="BF26" s="454">
        <f t="shared" si="19"/>
        <v>9.5299999999999968E-3</v>
      </c>
    </row>
    <row r="27" spans="1:58" x14ac:dyDescent="0.25">
      <c r="A27" s="438">
        <f t="shared" si="0"/>
        <v>21</v>
      </c>
      <c r="B27" s="505" t="s">
        <v>860</v>
      </c>
      <c r="C27" s="452" t="s">
        <v>6</v>
      </c>
      <c r="D27" s="1611">
        <v>-3.1969999999999998E-2</v>
      </c>
      <c r="E27" s="1611">
        <v>-3.5659999999999997E-2</v>
      </c>
      <c r="F27" s="1095">
        <f>+'Allocation equal ¢ per therm'!H27</f>
        <v>3.5499999999999997E-2</v>
      </c>
      <c r="G27" s="1095">
        <f>+'Allocation equal ¢ per therm'!K27</f>
        <v>0</v>
      </c>
      <c r="H27" s="1095">
        <f>+'Allocation equal ¢ per therm'!N27</f>
        <v>-1.017E-2</v>
      </c>
      <c r="I27" s="1095">
        <f t="shared" si="10"/>
        <v>2.5329999999999998E-2</v>
      </c>
      <c r="J27" s="1095">
        <f t="shared" si="11"/>
        <v>6.0989999999999996E-2</v>
      </c>
      <c r="K27" s="1095">
        <f>+'Allocation = % of margin'!P27</f>
        <v>0</v>
      </c>
      <c r="L27" s="1095">
        <f>+'Allocation = % of margin'!S27</f>
        <v>2.5799999999999998E-3</v>
      </c>
      <c r="M27" s="1484">
        <v>0</v>
      </c>
      <c r="N27" s="1484">
        <v>0</v>
      </c>
      <c r="O27" s="454"/>
      <c r="P27" s="454"/>
      <c r="Q27" s="454"/>
      <c r="R27" s="454"/>
      <c r="S27" s="454"/>
      <c r="T27" s="454"/>
      <c r="U27" s="454"/>
      <c r="V27" s="454">
        <f>+'Allocation = % of margin'!V27</f>
        <v>9.6000000000000002E-4</v>
      </c>
      <c r="W27" s="454">
        <f>+'Allocation = % of margin'!Y27</f>
        <v>-5.1000000000000004E-4</v>
      </c>
      <c r="X27" s="454"/>
      <c r="Y27" s="454"/>
      <c r="Z27" s="454"/>
      <c r="AA27" s="454"/>
      <c r="AB27" s="454"/>
      <c r="AC27" s="454"/>
      <c r="AD27" s="454">
        <f t="shared" si="12"/>
        <v>2.8359999999999996E-2</v>
      </c>
      <c r="AE27" s="454">
        <f t="shared" si="13"/>
        <v>6.0329999999999995E-2</v>
      </c>
      <c r="AF27" s="454"/>
      <c r="AG27" s="663">
        <f t="shared" si="22"/>
        <v>2.8359999999999996E-2</v>
      </c>
      <c r="AH27" s="663">
        <f t="shared" si="1"/>
        <v>3.0299999999999997E-3</v>
      </c>
      <c r="AI27" s="663">
        <f t="shared" si="20"/>
        <v>3.5499999999999997E-2</v>
      </c>
      <c r="AJ27" s="663">
        <f t="shared" si="21"/>
        <v>-1.017E-2</v>
      </c>
      <c r="AK27" s="1643">
        <f t="shared" si="15"/>
        <v>3.5399999999999997E-3</v>
      </c>
      <c r="AL27" s="663">
        <f t="shared" si="4"/>
        <v>2.887E-2</v>
      </c>
      <c r="AM27" s="454">
        <f t="shared" si="5"/>
        <v>5.1000000000000004E-4</v>
      </c>
      <c r="AN27" s="454">
        <f t="shared" si="16"/>
        <v>2.5329999999999998E-2</v>
      </c>
      <c r="AO27" s="454">
        <f t="shared" si="6"/>
        <v>-5.1000000000000004E-4</v>
      </c>
      <c r="AQ27" s="454">
        <f t="shared" si="7"/>
        <v>0</v>
      </c>
      <c r="AS27" s="454">
        <f>+'Rates in detail'!U27</f>
        <v>0</v>
      </c>
      <c r="AT27" s="454"/>
      <c r="AU27" s="454"/>
      <c r="AV27" s="454">
        <f t="shared" si="8"/>
        <v>2.5799999999999998E-3</v>
      </c>
      <c r="AW27" s="454">
        <f t="shared" si="9"/>
        <v>9.6000000000000002E-4</v>
      </c>
      <c r="AX27" s="454">
        <f t="shared" si="17"/>
        <v>3.5399999999999997E-3</v>
      </c>
      <c r="AZ27" s="1696">
        <v>0</v>
      </c>
      <c r="BA27" s="1660">
        <v>4.2199999999999998E-3</v>
      </c>
      <c r="BB27" s="1696">
        <v>-3.5659999999999997E-2</v>
      </c>
      <c r="BC27" s="1696">
        <v>-5.2999999999999998E-4</v>
      </c>
      <c r="BE27" s="454">
        <f t="shared" si="18"/>
        <v>3.5399999999999997E-3</v>
      </c>
      <c r="BF27" s="454">
        <f t="shared" si="19"/>
        <v>2.887E-2</v>
      </c>
    </row>
    <row r="28" spans="1:58" x14ac:dyDescent="0.25">
      <c r="A28" s="438">
        <f t="shared" si="0"/>
        <v>22</v>
      </c>
      <c r="B28" s="510"/>
      <c r="C28" s="456" t="s">
        <v>7</v>
      </c>
      <c r="D28" s="1609">
        <v>-3.2409999999999994E-2</v>
      </c>
      <c r="E28" s="1609">
        <v>-3.5659999999999997E-2</v>
      </c>
      <c r="F28" s="1060">
        <f>+'Allocation equal ¢ per therm'!H28</f>
        <v>3.5499999999999997E-2</v>
      </c>
      <c r="G28" s="1060">
        <f>+'Allocation equal ¢ per therm'!K28</f>
        <v>0</v>
      </c>
      <c r="H28" s="1060">
        <f>+'Allocation equal ¢ per therm'!N28</f>
        <v>-1.017E-2</v>
      </c>
      <c r="I28" s="1060">
        <f t="shared" si="10"/>
        <v>2.5329999999999998E-2</v>
      </c>
      <c r="J28" s="1060">
        <f t="shared" si="11"/>
        <v>6.0989999999999996E-2</v>
      </c>
      <c r="K28" s="1060">
        <f>+'Allocation = % of margin'!P28</f>
        <v>0</v>
      </c>
      <c r="L28" s="1060">
        <f>+'Allocation = % of margin'!S28</f>
        <v>2.2699999999999999E-3</v>
      </c>
      <c r="M28" s="1495">
        <v>0</v>
      </c>
      <c r="N28" s="1495">
        <v>0</v>
      </c>
      <c r="O28" s="448"/>
      <c r="P28" s="448"/>
      <c r="Q28" s="448"/>
      <c r="R28" s="448"/>
      <c r="S28" s="448"/>
      <c r="T28" s="448"/>
      <c r="U28" s="448"/>
      <c r="V28" s="448">
        <f>+'Allocation = % of margin'!V28</f>
        <v>8.4999999999999995E-4</v>
      </c>
      <c r="W28" s="448">
        <f>+'Allocation = % of margin'!Y28</f>
        <v>-4.4999999999999999E-4</v>
      </c>
      <c r="X28" s="448"/>
      <c r="Y28" s="448"/>
      <c r="Z28" s="448"/>
      <c r="AA28" s="448"/>
      <c r="AB28" s="448"/>
      <c r="AC28" s="448"/>
      <c r="AD28" s="448">
        <f t="shared" si="12"/>
        <v>2.7999999999999997E-2</v>
      </c>
      <c r="AE28" s="448">
        <f t="shared" si="13"/>
        <v>6.0409999999999991E-2</v>
      </c>
      <c r="AF28" s="454"/>
      <c r="AG28" s="663">
        <f t="shared" si="22"/>
        <v>2.7999999999999997E-2</v>
      </c>
      <c r="AH28" s="663">
        <f t="shared" si="1"/>
        <v>2.6699999999999996E-3</v>
      </c>
      <c r="AI28" s="663">
        <f t="shared" si="20"/>
        <v>3.5499999999999997E-2</v>
      </c>
      <c r="AJ28" s="663">
        <f t="shared" si="21"/>
        <v>-1.017E-2</v>
      </c>
      <c r="AK28" s="1643">
        <f t="shared" si="15"/>
        <v>3.1199999999999999E-3</v>
      </c>
      <c r="AL28" s="663">
        <f t="shared" si="4"/>
        <v>2.845E-2</v>
      </c>
      <c r="AM28" s="454">
        <f t="shared" si="5"/>
        <v>4.4999999999999988E-4</v>
      </c>
      <c r="AN28" s="454">
        <f t="shared" si="16"/>
        <v>2.5329999999999998E-2</v>
      </c>
      <c r="AO28" s="454">
        <f t="shared" si="6"/>
        <v>-4.4999999999999999E-4</v>
      </c>
      <c r="AQ28" s="454">
        <f t="shared" si="7"/>
        <v>0</v>
      </c>
      <c r="AS28" s="454">
        <f>+'Rates in detail'!U28</f>
        <v>0</v>
      </c>
      <c r="AT28" s="454"/>
      <c r="AU28" s="454"/>
      <c r="AV28" s="454">
        <f t="shared" si="8"/>
        <v>2.2699999999999999E-3</v>
      </c>
      <c r="AW28" s="454">
        <f t="shared" si="9"/>
        <v>8.4999999999999995E-4</v>
      </c>
      <c r="AX28" s="454">
        <f t="shared" si="17"/>
        <v>3.1199999999999999E-3</v>
      </c>
      <c r="AZ28" s="1696">
        <v>0</v>
      </c>
      <c r="BA28" s="1660">
        <v>3.7200000000000002E-3</v>
      </c>
      <c r="BB28" s="1696">
        <v>-3.5659999999999997E-2</v>
      </c>
      <c r="BC28" s="1696">
        <v>-4.6999999999999999E-4</v>
      </c>
      <c r="BE28" s="454">
        <f t="shared" si="18"/>
        <v>3.1199999999999999E-3</v>
      </c>
      <c r="BF28" s="454">
        <f t="shared" si="19"/>
        <v>2.845E-2</v>
      </c>
    </row>
    <row r="29" spans="1:58" x14ac:dyDescent="0.25">
      <c r="A29" s="438">
        <f t="shared" si="0"/>
        <v>23</v>
      </c>
      <c r="B29" s="505" t="s">
        <v>163</v>
      </c>
      <c r="C29" s="452" t="s">
        <v>6</v>
      </c>
      <c r="D29" s="1611">
        <v>-3.7989999999999996E-2</v>
      </c>
      <c r="E29" s="1611">
        <v>-5.3129999999999997E-2</v>
      </c>
      <c r="F29" s="1095">
        <f>+'Allocation equal ¢ per therm'!H29</f>
        <v>3.5499999999999997E-2</v>
      </c>
      <c r="G29" s="1095">
        <f>+'Allocation equal ¢ per therm'!K29</f>
        <v>-2.912E-2</v>
      </c>
      <c r="H29" s="1095">
        <f>+'Allocation equal ¢ per therm'!N29</f>
        <v>0</v>
      </c>
      <c r="I29" s="1095">
        <f t="shared" si="10"/>
        <v>6.3799999999999968E-3</v>
      </c>
      <c r="J29" s="1095">
        <f t="shared" si="11"/>
        <v>5.9509999999999993E-2</v>
      </c>
      <c r="K29" s="1095">
        <f>+'Allocation = % of margin'!P29</f>
        <v>1.5959999999999998E-2</v>
      </c>
      <c r="L29" s="1095">
        <f>+'Allocation = % of margin'!S29</f>
        <v>1.4499999999999999E-3</v>
      </c>
      <c r="M29" s="1484">
        <v>0</v>
      </c>
      <c r="N29" s="1484">
        <v>0</v>
      </c>
      <c r="O29" s="454"/>
      <c r="P29" s="454"/>
      <c r="Q29" s="454"/>
      <c r="R29" s="454"/>
      <c r="S29" s="454"/>
      <c r="T29" s="454"/>
      <c r="U29" s="454"/>
      <c r="V29" s="454">
        <f>+'Allocation = % of margin'!V29</f>
        <v>5.4000000000000001E-4</v>
      </c>
      <c r="W29" s="454">
        <f>+'Allocation = % of margin'!Y29</f>
        <v>-2.7999999999999998E-4</v>
      </c>
      <c r="X29" s="454"/>
      <c r="Y29" s="454"/>
      <c r="Z29" s="454"/>
      <c r="AA29" s="454"/>
      <c r="AB29" s="454"/>
      <c r="AC29" s="454"/>
      <c r="AD29" s="454">
        <f t="shared" si="12"/>
        <v>2.4049999999999995E-2</v>
      </c>
      <c r="AE29" s="454">
        <f t="shared" si="13"/>
        <v>6.2039999999999991E-2</v>
      </c>
      <c r="AF29" s="454"/>
      <c r="AG29" s="663">
        <f t="shared" ref="AG29:AG46" si="23">+AD29-K29</f>
        <v>8.0899999999999965E-3</v>
      </c>
      <c r="AH29" s="663">
        <f t="shared" si="1"/>
        <v>1.7099999999999999E-3</v>
      </c>
      <c r="AI29" s="663">
        <f t="shared" si="20"/>
        <v>3.5499999999999997E-2</v>
      </c>
      <c r="AJ29" s="663">
        <f t="shared" si="21"/>
        <v>-2.912E-2</v>
      </c>
      <c r="AK29" s="1643">
        <f t="shared" si="15"/>
        <v>1.7949999999999997E-2</v>
      </c>
      <c r="AL29" s="663">
        <f t="shared" si="4"/>
        <v>2.4329999999999994E-2</v>
      </c>
      <c r="AM29" s="454">
        <f t="shared" si="5"/>
        <v>2.799999999999977E-4</v>
      </c>
      <c r="AN29" s="454">
        <f t="shared" si="16"/>
        <v>6.3799999999999968E-3</v>
      </c>
      <c r="AO29" s="454">
        <f t="shared" si="6"/>
        <v>-2.7999999999999998E-4</v>
      </c>
      <c r="AQ29" s="454">
        <f t="shared" si="7"/>
        <v>1.5959999999999998E-2</v>
      </c>
      <c r="AS29" s="454">
        <f>+'Rates in detail'!U29</f>
        <v>0</v>
      </c>
      <c r="AT29" s="454"/>
      <c r="AU29" s="454"/>
      <c r="AV29" s="454">
        <f t="shared" si="8"/>
        <v>1.4499999999999999E-3</v>
      </c>
      <c r="AW29" s="454">
        <f t="shared" si="9"/>
        <v>5.4000000000000001E-4</v>
      </c>
      <c r="AX29" s="454">
        <f t="shared" si="17"/>
        <v>1.99E-3</v>
      </c>
      <c r="AZ29" s="1697">
        <v>1.3010000000000001E-2</v>
      </c>
      <c r="BA29" s="1660">
        <v>2.4199999999999998E-3</v>
      </c>
      <c r="BB29" s="1696">
        <v>-5.3129999999999997E-2</v>
      </c>
      <c r="BC29" s="1696">
        <v>-2.9E-4</v>
      </c>
      <c r="BE29" s="454">
        <f t="shared" si="18"/>
        <v>1.9899999999999987E-3</v>
      </c>
      <c r="BF29" s="454">
        <f t="shared" si="19"/>
        <v>8.3699999999999955E-3</v>
      </c>
    </row>
    <row r="30" spans="1:58" x14ac:dyDescent="0.25">
      <c r="A30" s="438">
        <f t="shared" si="0"/>
        <v>24</v>
      </c>
      <c r="B30" s="505"/>
      <c r="C30" s="452" t="s">
        <v>7</v>
      </c>
      <c r="D30" s="1611">
        <v>-3.9579999999999997E-2</v>
      </c>
      <c r="E30" s="1611">
        <v>-5.3129999999999997E-2</v>
      </c>
      <c r="F30" s="1095">
        <f>+'Allocation equal ¢ per therm'!H30</f>
        <v>3.5499999999999997E-2</v>
      </c>
      <c r="G30" s="1095">
        <f>+'Allocation equal ¢ per therm'!K30</f>
        <v>-2.912E-2</v>
      </c>
      <c r="H30" s="1095">
        <f>+'Allocation equal ¢ per therm'!N30</f>
        <v>0</v>
      </c>
      <c r="I30" s="1095">
        <f t="shared" si="10"/>
        <v>6.3799999999999968E-3</v>
      </c>
      <c r="J30" s="1095">
        <f t="shared" si="11"/>
        <v>5.9509999999999993E-2</v>
      </c>
      <c r="K30" s="1095">
        <f>+'Allocation = % of margin'!P30</f>
        <v>1.4290000000000001E-2</v>
      </c>
      <c r="L30" s="1095">
        <f>+'Allocation = % of margin'!S30</f>
        <v>1.2999999999999999E-3</v>
      </c>
      <c r="M30" s="1484">
        <v>0</v>
      </c>
      <c r="N30" s="1484">
        <v>0</v>
      </c>
      <c r="O30" s="454"/>
      <c r="P30" s="454"/>
      <c r="Q30" s="454"/>
      <c r="R30" s="454"/>
      <c r="S30" s="454"/>
      <c r="T30" s="454"/>
      <c r="U30" s="454"/>
      <c r="V30" s="454">
        <f>+'Allocation = % of margin'!V30</f>
        <v>4.8999999999999998E-4</v>
      </c>
      <c r="W30" s="454">
        <f>+'Allocation = % of margin'!Y30</f>
        <v>-2.5000000000000001E-4</v>
      </c>
      <c r="X30" s="454"/>
      <c r="Y30" s="454"/>
      <c r="Z30" s="454"/>
      <c r="AA30" s="454"/>
      <c r="AB30" s="454"/>
      <c r="AC30" s="454"/>
      <c r="AD30" s="454">
        <f t="shared" si="12"/>
        <v>2.2209999999999997E-2</v>
      </c>
      <c r="AE30" s="454">
        <f t="shared" si="13"/>
        <v>6.1789999999999998E-2</v>
      </c>
      <c r="AF30" s="454"/>
      <c r="AG30" s="663">
        <f t="shared" si="23"/>
        <v>7.9199999999999965E-3</v>
      </c>
      <c r="AH30" s="663">
        <f t="shared" si="1"/>
        <v>1.5399999999999999E-3</v>
      </c>
      <c r="AI30" s="663">
        <f t="shared" si="20"/>
        <v>3.5499999999999997E-2</v>
      </c>
      <c r="AJ30" s="663">
        <f t="shared" si="21"/>
        <v>-2.912E-2</v>
      </c>
      <c r="AK30" s="1643">
        <f t="shared" si="15"/>
        <v>1.6080000000000001E-2</v>
      </c>
      <c r="AL30" s="663">
        <f t="shared" si="4"/>
        <v>2.2459999999999997E-2</v>
      </c>
      <c r="AM30" s="454">
        <f t="shared" si="5"/>
        <v>2.5000000000000022E-4</v>
      </c>
      <c r="AN30" s="454">
        <f t="shared" si="16"/>
        <v>6.3799999999999968E-3</v>
      </c>
      <c r="AO30" s="454">
        <f t="shared" si="6"/>
        <v>-2.5000000000000001E-4</v>
      </c>
      <c r="AQ30" s="454">
        <f t="shared" si="7"/>
        <v>1.4290000000000001E-2</v>
      </c>
      <c r="AS30" s="454">
        <f>+'Rates in detail'!U30</f>
        <v>0</v>
      </c>
      <c r="AT30" s="454"/>
      <c r="AU30" s="454"/>
      <c r="AV30" s="454">
        <f t="shared" si="8"/>
        <v>1.2999999999999999E-3</v>
      </c>
      <c r="AW30" s="454">
        <f t="shared" si="9"/>
        <v>4.8999999999999998E-4</v>
      </c>
      <c r="AX30" s="454">
        <f t="shared" si="17"/>
        <v>1.7899999999999999E-3</v>
      </c>
      <c r="AZ30" s="1696">
        <v>1.1650000000000001E-2</v>
      </c>
      <c r="BA30" s="1660">
        <v>2.16E-3</v>
      </c>
      <c r="BB30" s="1696">
        <v>-5.3129999999999997E-2</v>
      </c>
      <c r="BC30" s="1696">
        <v>-2.5999999999999998E-4</v>
      </c>
      <c r="BE30" s="454">
        <f t="shared" si="18"/>
        <v>1.7899999999999999E-3</v>
      </c>
      <c r="BF30" s="454">
        <f t="shared" si="19"/>
        <v>8.1699999999999967E-3</v>
      </c>
    </row>
    <row r="31" spans="1:58" x14ac:dyDescent="0.25">
      <c r="A31" s="438">
        <f t="shared" si="0"/>
        <v>25</v>
      </c>
      <c r="B31" s="505"/>
      <c r="C31" s="452" t="s">
        <v>8</v>
      </c>
      <c r="D31" s="1611">
        <v>-4.2729999999999997E-2</v>
      </c>
      <c r="E31" s="1611">
        <v>-5.3129999999999997E-2</v>
      </c>
      <c r="F31" s="1095">
        <f>+'Allocation equal ¢ per therm'!H31</f>
        <v>3.5499999999999997E-2</v>
      </c>
      <c r="G31" s="1095">
        <f>+'Allocation equal ¢ per therm'!K31</f>
        <v>-2.912E-2</v>
      </c>
      <c r="H31" s="1095">
        <f>+'Allocation equal ¢ per therm'!N31</f>
        <v>0</v>
      </c>
      <c r="I31" s="1095">
        <f t="shared" si="10"/>
        <v>6.3799999999999968E-3</v>
      </c>
      <c r="J31" s="1095">
        <f t="shared" si="11"/>
        <v>5.9509999999999993E-2</v>
      </c>
      <c r="K31" s="1095">
        <f>+'Allocation = % of margin'!P31</f>
        <v>1.0959999999999999E-2</v>
      </c>
      <c r="L31" s="1095">
        <f>+'Allocation = % of margin'!S31</f>
        <v>1E-3</v>
      </c>
      <c r="M31" s="1484">
        <v>0</v>
      </c>
      <c r="N31" s="1484">
        <v>0</v>
      </c>
      <c r="O31" s="454"/>
      <c r="P31" s="454"/>
      <c r="Q31" s="454"/>
      <c r="R31" s="454"/>
      <c r="S31" s="454"/>
      <c r="T31" s="454"/>
      <c r="U31" s="454"/>
      <c r="V31" s="454">
        <f>+'Allocation = % of margin'!V31</f>
        <v>3.6999999999999999E-4</v>
      </c>
      <c r="W31" s="454">
        <f>+'Allocation = % of margin'!Y31</f>
        <v>-1.9000000000000001E-4</v>
      </c>
      <c r="X31" s="454"/>
      <c r="Y31" s="454"/>
      <c r="Z31" s="454"/>
      <c r="AA31" s="454"/>
      <c r="AB31" s="454"/>
      <c r="AC31" s="454"/>
      <c r="AD31" s="454">
        <f t="shared" si="12"/>
        <v>1.8519999999999995E-2</v>
      </c>
      <c r="AE31" s="454">
        <f t="shared" si="13"/>
        <v>6.1249999999999992E-2</v>
      </c>
      <c r="AF31" s="454"/>
      <c r="AG31" s="663">
        <f t="shared" si="23"/>
        <v>7.5599999999999955E-3</v>
      </c>
      <c r="AH31" s="663">
        <f t="shared" si="1"/>
        <v>1.1800000000000001E-3</v>
      </c>
      <c r="AI31" s="663">
        <f t="shared" si="20"/>
        <v>3.5499999999999997E-2</v>
      </c>
      <c r="AJ31" s="663">
        <f t="shared" si="21"/>
        <v>-2.912E-2</v>
      </c>
      <c r="AK31" s="1643">
        <f t="shared" si="15"/>
        <v>1.2329999999999999E-2</v>
      </c>
      <c r="AL31" s="663">
        <f t="shared" si="4"/>
        <v>1.8709999999999997E-2</v>
      </c>
      <c r="AM31" s="454">
        <f t="shared" si="5"/>
        <v>1.8999999999999876E-4</v>
      </c>
      <c r="AN31" s="454">
        <f t="shared" si="16"/>
        <v>6.3799999999999968E-3</v>
      </c>
      <c r="AO31" s="454">
        <f t="shared" si="6"/>
        <v>-1.9000000000000001E-4</v>
      </c>
      <c r="AQ31" s="454">
        <f t="shared" si="7"/>
        <v>1.0959999999999999E-2</v>
      </c>
      <c r="AS31" s="454">
        <f>+'Rates in detail'!U31</f>
        <v>0</v>
      </c>
      <c r="AT31" s="454"/>
      <c r="AU31" s="454"/>
      <c r="AV31" s="454">
        <f t="shared" si="8"/>
        <v>1E-3</v>
      </c>
      <c r="AW31" s="454">
        <f t="shared" si="9"/>
        <v>3.6999999999999999E-4</v>
      </c>
      <c r="AX31" s="454">
        <f t="shared" si="17"/>
        <v>1.3700000000000001E-3</v>
      </c>
      <c r="AZ31" s="1696">
        <v>8.9300000000000004E-3</v>
      </c>
      <c r="BA31" s="1660">
        <v>1.67E-3</v>
      </c>
      <c r="BB31" s="1696">
        <v>-5.3129999999999997E-2</v>
      </c>
      <c r="BC31" s="1696">
        <v>-2.0000000000000001E-4</v>
      </c>
      <c r="BE31" s="454">
        <f t="shared" si="18"/>
        <v>1.3699999999999997E-3</v>
      </c>
      <c r="BF31" s="454">
        <f t="shared" si="19"/>
        <v>7.7499999999999982E-3</v>
      </c>
    </row>
    <row r="32" spans="1:58" x14ac:dyDescent="0.25">
      <c r="A32" s="438">
        <f t="shared" si="0"/>
        <v>26</v>
      </c>
      <c r="B32" s="505"/>
      <c r="C32" s="452" t="s">
        <v>9</v>
      </c>
      <c r="D32" s="1611">
        <v>-4.4809999999999996E-2</v>
      </c>
      <c r="E32" s="1611">
        <v>-5.3129999999999997E-2</v>
      </c>
      <c r="F32" s="1095">
        <f>+'Allocation equal ¢ per therm'!H32</f>
        <v>3.5499999999999997E-2</v>
      </c>
      <c r="G32" s="1095">
        <f>+'Allocation equal ¢ per therm'!K32</f>
        <v>-2.912E-2</v>
      </c>
      <c r="H32" s="1095">
        <f>+'Allocation equal ¢ per therm'!N32</f>
        <v>0</v>
      </c>
      <c r="I32" s="1095">
        <f t="shared" si="10"/>
        <v>6.3799999999999968E-3</v>
      </c>
      <c r="J32" s="1095">
        <f t="shared" si="11"/>
        <v>5.9509999999999993E-2</v>
      </c>
      <c r="K32" s="1095">
        <f>+'Allocation = % of margin'!P32</f>
        <v>8.77E-3</v>
      </c>
      <c r="L32" s="1095">
        <f>+'Allocation = % of margin'!S32</f>
        <v>8.0000000000000004E-4</v>
      </c>
      <c r="M32" s="1484">
        <v>0</v>
      </c>
      <c r="N32" s="1484">
        <v>0</v>
      </c>
      <c r="O32" s="454"/>
      <c r="P32" s="454"/>
      <c r="Q32" s="454"/>
      <c r="R32" s="454"/>
      <c r="S32" s="454"/>
      <c r="T32" s="454"/>
      <c r="U32" s="454"/>
      <c r="V32" s="454">
        <f>+'Allocation = % of margin'!V32</f>
        <v>2.9999999999999997E-4</v>
      </c>
      <c r="W32" s="454">
        <f>+'Allocation = % of margin'!Y32</f>
        <v>-1.4999999999999999E-4</v>
      </c>
      <c r="X32" s="454"/>
      <c r="Y32" s="454"/>
      <c r="Z32" s="454"/>
      <c r="AA32" s="454"/>
      <c r="AB32" s="454"/>
      <c r="AC32" s="454"/>
      <c r="AD32" s="454">
        <f t="shared" si="12"/>
        <v>1.6099999999999996E-2</v>
      </c>
      <c r="AE32" s="454">
        <f t="shared" si="13"/>
        <v>6.0909999999999992E-2</v>
      </c>
      <c r="AF32" s="454"/>
      <c r="AG32" s="663">
        <f t="shared" si="23"/>
        <v>7.3299999999999962E-3</v>
      </c>
      <c r="AH32" s="663">
        <f t="shared" si="1"/>
        <v>9.5E-4</v>
      </c>
      <c r="AI32" s="663">
        <f t="shared" si="20"/>
        <v>3.5499999999999997E-2</v>
      </c>
      <c r="AJ32" s="663">
        <f t="shared" si="21"/>
        <v>-2.912E-2</v>
      </c>
      <c r="AK32" s="1643">
        <f t="shared" si="15"/>
        <v>9.8700000000000003E-3</v>
      </c>
      <c r="AL32" s="663">
        <f t="shared" si="4"/>
        <v>1.6249999999999997E-2</v>
      </c>
      <c r="AM32" s="454">
        <f t="shared" si="5"/>
        <v>1.5000000000000104E-4</v>
      </c>
      <c r="AN32" s="454">
        <f t="shared" si="16"/>
        <v>6.3799999999999968E-3</v>
      </c>
      <c r="AO32" s="454">
        <f t="shared" si="6"/>
        <v>-1.4999999999999999E-4</v>
      </c>
      <c r="AQ32" s="454">
        <f t="shared" si="7"/>
        <v>8.77E-3</v>
      </c>
      <c r="AS32" s="454">
        <f>+'Rates in detail'!U32</f>
        <v>0</v>
      </c>
      <c r="AT32" s="454"/>
      <c r="AU32" s="454"/>
      <c r="AV32" s="454">
        <f t="shared" si="8"/>
        <v>8.0000000000000004E-4</v>
      </c>
      <c r="AW32" s="454">
        <f t="shared" si="9"/>
        <v>2.9999999999999997E-4</v>
      </c>
      <c r="AX32" s="454">
        <f t="shared" si="17"/>
        <v>1.1000000000000001E-3</v>
      </c>
      <c r="AZ32" s="1696">
        <v>7.1500000000000001E-3</v>
      </c>
      <c r="BA32" s="1660">
        <v>1.33E-3</v>
      </c>
      <c r="BB32" s="1696">
        <v>-5.3129999999999997E-2</v>
      </c>
      <c r="BC32" s="1696">
        <v>-1.6000000000000001E-4</v>
      </c>
      <c r="BE32" s="454">
        <f t="shared" si="18"/>
        <v>1.1000000000000003E-3</v>
      </c>
      <c r="BF32" s="454">
        <f t="shared" si="19"/>
        <v>7.4799999999999971E-3</v>
      </c>
    </row>
    <row r="33" spans="1:58" x14ac:dyDescent="0.25">
      <c r="A33" s="438">
        <f t="shared" si="0"/>
        <v>27</v>
      </c>
      <c r="B33" s="505"/>
      <c r="C33" s="452" t="s">
        <v>10</v>
      </c>
      <c r="D33" s="1611">
        <v>-4.7589999999999993E-2</v>
      </c>
      <c r="E33" s="1611">
        <v>-5.3129999999999997E-2</v>
      </c>
      <c r="F33" s="1095">
        <f>+'Allocation equal ¢ per therm'!H33</f>
        <v>3.5499999999999997E-2</v>
      </c>
      <c r="G33" s="1095">
        <f>+'Allocation equal ¢ per therm'!K33</f>
        <v>-2.912E-2</v>
      </c>
      <c r="H33" s="1095">
        <f>+'Allocation equal ¢ per therm'!N33</f>
        <v>0</v>
      </c>
      <c r="I33" s="1095">
        <f t="shared" si="10"/>
        <v>6.3799999999999968E-3</v>
      </c>
      <c r="J33" s="1095">
        <f t="shared" si="11"/>
        <v>5.9509999999999993E-2</v>
      </c>
      <c r="K33" s="1095">
        <f>+'Allocation = % of margin'!P33</f>
        <v>5.8399999999999997E-3</v>
      </c>
      <c r="L33" s="1095">
        <f>+'Allocation = % of margin'!S33</f>
        <v>5.2999999999999998E-4</v>
      </c>
      <c r="M33" s="1484">
        <v>0</v>
      </c>
      <c r="N33" s="1484">
        <v>0</v>
      </c>
      <c r="O33" s="454"/>
      <c r="P33" s="454"/>
      <c r="Q33" s="454"/>
      <c r="R33" s="454"/>
      <c r="S33" s="454"/>
      <c r="T33" s="454"/>
      <c r="U33" s="454"/>
      <c r="V33" s="454">
        <f>+'Allocation = % of margin'!V33</f>
        <v>2.0000000000000001E-4</v>
      </c>
      <c r="W33" s="454">
        <f>+'Allocation = % of margin'!Y33</f>
        <v>-1E-4</v>
      </c>
      <c r="X33" s="454"/>
      <c r="Y33" s="454"/>
      <c r="Z33" s="454"/>
      <c r="AA33" s="454"/>
      <c r="AB33" s="454"/>
      <c r="AC33" s="454"/>
      <c r="AD33" s="454">
        <f t="shared" si="12"/>
        <v>1.2849999999999997E-2</v>
      </c>
      <c r="AE33" s="454">
        <f t="shared" si="13"/>
        <v>6.0439999999999994E-2</v>
      </c>
      <c r="AF33" s="454"/>
      <c r="AG33" s="663">
        <f t="shared" si="23"/>
        <v>7.0099999999999971E-3</v>
      </c>
      <c r="AH33" s="663">
        <f t="shared" si="1"/>
        <v>6.3000000000000003E-4</v>
      </c>
      <c r="AI33" s="663">
        <f t="shared" si="20"/>
        <v>3.5499999999999997E-2</v>
      </c>
      <c r="AJ33" s="663">
        <f t="shared" si="21"/>
        <v>-2.912E-2</v>
      </c>
      <c r="AK33" s="1643">
        <f t="shared" si="15"/>
        <v>6.5699999999999995E-3</v>
      </c>
      <c r="AL33" s="663">
        <f t="shared" si="4"/>
        <v>1.2949999999999996E-2</v>
      </c>
      <c r="AM33" s="454">
        <f t="shared" si="5"/>
        <v>1.0000000000000005E-4</v>
      </c>
      <c r="AN33" s="454">
        <f t="shared" si="16"/>
        <v>6.3799999999999968E-3</v>
      </c>
      <c r="AO33" s="454">
        <f t="shared" si="6"/>
        <v>-1E-4</v>
      </c>
      <c r="AQ33" s="454">
        <f t="shared" si="7"/>
        <v>5.8399999999999997E-3</v>
      </c>
      <c r="AS33" s="454">
        <f>+'Rates in detail'!U33</f>
        <v>0</v>
      </c>
      <c r="AT33" s="454"/>
      <c r="AU33" s="454"/>
      <c r="AV33" s="454">
        <f t="shared" si="8"/>
        <v>5.2999999999999998E-4</v>
      </c>
      <c r="AW33" s="454">
        <f t="shared" si="9"/>
        <v>2.0000000000000001E-4</v>
      </c>
      <c r="AX33" s="454">
        <f t="shared" si="17"/>
        <v>7.2999999999999996E-4</v>
      </c>
      <c r="AZ33" s="1696">
        <v>4.7600000000000003E-3</v>
      </c>
      <c r="BA33" s="1660">
        <v>8.9000000000000006E-4</v>
      </c>
      <c r="BB33" s="1696">
        <v>-5.3129999999999997E-2</v>
      </c>
      <c r="BC33" s="1696">
        <v>-1.1E-4</v>
      </c>
      <c r="BE33" s="454">
        <f t="shared" si="18"/>
        <v>7.2999999999999975E-4</v>
      </c>
      <c r="BF33" s="454">
        <f t="shared" si="19"/>
        <v>7.1099999999999965E-3</v>
      </c>
    </row>
    <row r="34" spans="1:58" x14ac:dyDescent="0.25">
      <c r="A34" s="438">
        <f t="shared" si="0"/>
        <v>28</v>
      </c>
      <c r="B34" s="510"/>
      <c r="C34" s="456" t="s">
        <v>11</v>
      </c>
      <c r="D34" s="1609">
        <v>-5.1049999999999998E-2</v>
      </c>
      <c r="E34" s="1609">
        <v>-5.3129999999999997E-2</v>
      </c>
      <c r="F34" s="1060">
        <f>+'Allocation equal ¢ per therm'!H34</f>
        <v>3.5499999999999997E-2</v>
      </c>
      <c r="G34" s="1060">
        <f>+'Allocation equal ¢ per therm'!K34</f>
        <v>-2.912E-2</v>
      </c>
      <c r="H34" s="1060">
        <f>+'Allocation equal ¢ per therm'!N34</f>
        <v>0</v>
      </c>
      <c r="I34" s="1060">
        <f t="shared" si="10"/>
        <v>6.3799999999999968E-3</v>
      </c>
      <c r="J34" s="1060">
        <f t="shared" si="11"/>
        <v>5.9509999999999993E-2</v>
      </c>
      <c r="K34" s="1060">
        <f>+'Allocation = % of margin'!P34</f>
        <v>2.1900000000000001E-3</v>
      </c>
      <c r="L34" s="1060">
        <f>+'Allocation = % of margin'!S34</f>
        <v>2.0000000000000001E-4</v>
      </c>
      <c r="M34" s="1495">
        <v>0</v>
      </c>
      <c r="N34" s="1495">
        <v>0</v>
      </c>
      <c r="O34" s="448"/>
      <c r="P34" s="448"/>
      <c r="Q34" s="448"/>
      <c r="R34" s="448"/>
      <c r="S34" s="448"/>
      <c r="T34" s="448"/>
      <c r="U34" s="448"/>
      <c r="V34" s="448">
        <f>+'Allocation = % of margin'!V34</f>
        <v>6.9999999999999994E-5</v>
      </c>
      <c r="W34" s="448">
        <f>+'Allocation = % of margin'!Y34</f>
        <v>-4.0000000000000003E-5</v>
      </c>
      <c r="X34" s="448"/>
      <c r="Y34" s="448"/>
      <c r="Z34" s="448"/>
      <c r="AA34" s="448"/>
      <c r="AB34" s="448"/>
      <c r="AC34" s="448"/>
      <c r="AD34" s="448">
        <f t="shared" si="12"/>
        <v>8.7999999999999971E-3</v>
      </c>
      <c r="AE34" s="448">
        <f t="shared" si="13"/>
        <v>5.9849999999999993E-2</v>
      </c>
      <c r="AF34" s="454"/>
      <c r="AG34" s="663">
        <f t="shared" si="23"/>
        <v>6.609999999999997E-3</v>
      </c>
      <c r="AH34" s="663">
        <f t="shared" si="1"/>
        <v>2.3000000000000001E-4</v>
      </c>
      <c r="AI34" s="663">
        <f t="shared" si="20"/>
        <v>3.5499999999999997E-2</v>
      </c>
      <c r="AJ34" s="663">
        <f t="shared" si="21"/>
        <v>-2.912E-2</v>
      </c>
      <c r="AK34" s="1643">
        <f t="shared" si="15"/>
        <v>2.4600000000000004E-3</v>
      </c>
      <c r="AL34" s="663">
        <f t="shared" si="4"/>
        <v>8.8399999999999972E-3</v>
      </c>
      <c r="AM34" s="454">
        <f t="shared" si="5"/>
        <v>4.0000000000000376E-5</v>
      </c>
      <c r="AN34" s="454">
        <f t="shared" si="16"/>
        <v>6.3799999999999968E-3</v>
      </c>
      <c r="AO34" s="454">
        <f t="shared" si="6"/>
        <v>-4.0000000000000003E-5</v>
      </c>
      <c r="AQ34" s="454">
        <f t="shared" si="7"/>
        <v>2.1900000000000001E-3</v>
      </c>
      <c r="AS34" s="454">
        <f>+'Rates in detail'!U34</f>
        <v>0</v>
      </c>
      <c r="AT34" s="454"/>
      <c r="AU34" s="454"/>
      <c r="AV34" s="454">
        <f t="shared" si="8"/>
        <v>2.0000000000000001E-4</v>
      </c>
      <c r="AW34" s="454">
        <f t="shared" si="9"/>
        <v>6.9999999999999994E-5</v>
      </c>
      <c r="AX34" s="454">
        <f t="shared" si="17"/>
        <v>2.7E-4</v>
      </c>
      <c r="AZ34" s="1696">
        <v>1.7899999999999999E-3</v>
      </c>
      <c r="BA34" s="1660">
        <v>3.3E-4</v>
      </c>
      <c r="BB34" s="1696">
        <v>-5.3129999999999997E-2</v>
      </c>
      <c r="BC34" s="1696">
        <v>-4.0000000000000003E-5</v>
      </c>
      <c r="BE34" s="454">
        <f t="shared" si="18"/>
        <v>2.7000000000000027E-4</v>
      </c>
      <c r="BF34" s="454">
        <f t="shared" si="19"/>
        <v>6.6499999999999971E-3</v>
      </c>
    </row>
    <row r="35" spans="1:58" x14ac:dyDescent="0.25">
      <c r="A35" s="438">
        <f t="shared" si="0"/>
        <v>29</v>
      </c>
      <c r="B35" s="505" t="s">
        <v>164</v>
      </c>
      <c r="C35" s="452" t="s">
        <v>6</v>
      </c>
      <c r="D35" s="1611">
        <v>-5.0869999999999999E-2</v>
      </c>
      <c r="E35" s="1611">
        <v>-5.3129999999999997E-2</v>
      </c>
      <c r="F35" s="1095">
        <f>+'Allocation equal ¢ per therm'!H35</f>
        <v>3.5499999999999997E-2</v>
      </c>
      <c r="G35" s="1095">
        <f>+'Allocation equal ¢ per therm'!K35</f>
        <v>-2.912E-2</v>
      </c>
      <c r="H35" s="1095">
        <f>+'Allocation equal ¢ per therm'!N35</f>
        <v>0</v>
      </c>
      <c r="I35" s="1095">
        <f t="shared" si="10"/>
        <v>6.3799999999999968E-3</v>
      </c>
      <c r="J35" s="1095">
        <f t="shared" si="11"/>
        <v>5.9509999999999993E-2</v>
      </c>
      <c r="K35" s="1095">
        <f>+'Allocation = % of margin'!P35</f>
        <v>0</v>
      </c>
      <c r="L35" s="1095">
        <f>+'Allocation = % of margin'!S35</f>
        <v>1.6199999999999999E-3</v>
      </c>
      <c r="M35" s="1484">
        <v>0</v>
      </c>
      <c r="N35" s="1484">
        <v>0</v>
      </c>
      <c r="O35" s="454"/>
      <c r="P35" s="454"/>
      <c r="Q35" s="454"/>
      <c r="R35" s="454"/>
      <c r="S35" s="454"/>
      <c r="T35" s="454"/>
      <c r="U35" s="454"/>
      <c r="V35" s="454">
        <f>+'Allocation = % of margin'!V35</f>
        <v>5.9999999999999995E-4</v>
      </c>
      <c r="W35" s="454">
        <f>+'Allocation = % of margin'!Y35</f>
        <v>-3.1E-4</v>
      </c>
      <c r="X35" s="454"/>
      <c r="Y35" s="454"/>
      <c r="Z35" s="454"/>
      <c r="AA35" s="454"/>
      <c r="AB35" s="454"/>
      <c r="AC35" s="454"/>
      <c r="AD35" s="454">
        <f t="shared" si="12"/>
        <v>8.289999999999997E-3</v>
      </c>
      <c r="AE35" s="454">
        <f t="shared" si="13"/>
        <v>5.9159999999999997E-2</v>
      </c>
      <c r="AF35" s="454"/>
      <c r="AG35" s="663">
        <f t="shared" si="23"/>
        <v>8.289999999999997E-3</v>
      </c>
      <c r="AH35" s="663">
        <f t="shared" si="1"/>
        <v>1.9099999999999998E-3</v>
      </c>
      <c r="AI35" s="663">
        <f t="shared" si="20"/>
        <v>3.5499999999999997E-2</v>
      </c>
      <c r="AJ35" s="663">
        <f t="shared" si="21"/>
        <v>-2.912E-2</v>
      </c>
      <c r="AK35" s="1643">
        <f t="shared" si="15"/>
        <v>2.2199999999999998E-3</v>
      </c>
      <c r="AL35" s="663">
        <f t="shared" si="4"/>
        <v>8.5999999999999965E-3</v>
      </c>
      <c r="AM35" s="454">
        <f t="shared" si="5"/>
        <v>3.0999999999999995E-4</v>
      </c>
      <c r="AN35" s="454">
        <f t="shared" si="16"/>
        <v>6.3799999999999968E-3</v>
      </c>
      <c r="AO35" s="454">
        <f t="shared" si="6"/>
        <v>-3.1E-4</v>
      </c>
      <c r="AQ35" s="454">
        <f t="shared" si="7"/>
        <v>0</v>
      </c>
      <c r="AS35" s="454">
        <f>+'Rates in detail'!U35</f>
        <v>0</v>
      </c>
      <c r="AT35" s="454"/>
      <c r="AU35" s="454"/>
      <c r="AV35" s="454">
        <f t="shared" si="8"/>
        <v>1.6199999999999999E-3</v>
      </c>
      <c r="AW35" s="454">
        <f t="shared" si="9"/>
        <v>5.9999999999999995E-4</v>
      </c>
      <c r="AX35" s="454">
        <f t="shared" si="17"/>
        <v>2.2199999999999998E-3</v>
      </c>
      <c r="AZ35" s="1696">
        <v>0</v>
      </c>
      <c r="BA35" s="1660">
        <v>2.5699999999999998E-3</v>
      </c>
      <c r="BB35" s="1696">
        <v>-5.3129999999999997E-2</v>
      </c>
      <c r="BC35" s="1696">
        <v>-3.1E-4</v>
      </c>
      <c r="BE35" s="454">
        <f t="shared" si="18"/>
        <v>2.2199999999999998E-3</v>
      </c>
      <c r="BF35" s="454">
        <f t="shared" si="19"/>
        <v>8.5999999999999965E-3</v>
      </c>
    </row>
    <row r="36" spans="1:58" x14ac:dyDescent="0.25">
      <c r="A36" s="438">
        <f t="shared" si="0"/>
        <v>30</v>
      </c>
      <c r="B36" s="505"/>
      <c r="C36" s="452" t="s">
        <v>7</v>
      </c>
      <c r="D36" s="1611">
        <v>-5.11E-2</v>
      </c>
      <c r="E36" s="1611">
        <v>-5.3129999999999997E-2</v>
      </c>
      <c r="F36" s="1095">
        <f>+'Allocation equal ¢ per therm'!H36</f>
        <v>3.5499999999999997E-2</v>
      </c>
      <c r="G36" s="1095">
        <f>+'Allocation equal ¢ per therm'!K36</f>
        <v>-2.912E-2</v>
      </c>
      <c r="H36" s="1095">
        <f>+'Allocation equal ¢ per therm'!N36</f>
        <v>0</v>
      </c>
      <c r="I36" s="1095">
        <f t="shared" si="10"/>
        <v>6.3799999999999968E-3</v>
      </c>
      <c r="J36" s="1095">
        <f t="shared" si="11"/>
        <v>5.9509999999999993E-2</v>
      </c>
      <c r="K36" s="1095">
        <f>+'Allocation = % of margin'!P36</f>
        <v>0</v>
      </c>
      <c r="L36" s="1095">
        <f>+'Allocation = % of margin'!S36</f>
        <v>1.4499999999999999E-3</v>
      </c>
      <c r="M36" s="1484">
        <v>0</v>
      </c>
      <c r="N36" s="1484">
        <v>0</v>
      </c>
      <c r="O36" s="454"/>
      <c r="P36" s="454"/>
      <c r="Q36" s="454"/>
      <c r="R36" s="454"/>
      <c r="S36" s="454"/>
      <c r="T36" s="454"/>
      <c r="U36" s="454"/>
      <c r="V36" s="454">
        <f>+'Allocation = % of margin'!V36</f>
        <v>5.4000000000000001E-4</v>
      </c>
      <c r="W36" s="454">
        <f>+'Allocation = % of margin'!Y36</f>
        <v>-2.7E-4</v>
      </c>
      <c r="X36" s="454"/>
      <c r="Y36" s="454"/>
      <c r="Z36" s="454"/>
      <c r="AA36" s="454"/>
      <c r="AB36" s="454"/>
      <c r="AC36" s="454"/>
      <c r="AD36" s="454">
        <f t="shared" si="12"/>
        <v>8.0999999999999961E-3</v>
      </c>
      <c r="AE36" s="454">
        <f t="shared" si="13"/>
        <v>5.9199999999999996E-2</v>
      </c>
      <c r="AF36" s="454"/>
      <c r="AG36" s="663">
        <f t="shared" si="23"/>
        <v>8.0999999999999961E-3</v>
      </c>
      <c r="AH36" s="663">
        <f t="shared" si="1"/>
        <v>1.72E-3</v>
      </c>
      <c r="AI36" s="663">
        <f t="shared" si="20"/>
        <v>3.5499999999999997E-2</v>
      </c>
      <c r="AJ36" s="663">
        <f t="shared" si="21"/>
        <v>-2.912E-2</v>
      </c>
      <c r="AK36" s="1643">
        <f t="shared" si="15"/>
        <v>1.99E-3</v>
      </c>
      <c r="AL36" s="663">
        <f t="shared" si="4"/>
        <v>8.3699999999999972E-3</v>
      </c>
      <c r="AM36" s="454">
        <f t="shared" si="5"/>
        <v>2.6999999999999984E-4</v>
      </c>
      <c r="AN36" s="454">
        <f t="shared" si="16"/>
        <v>6.3799999999999968E-3</v>
      </c>
      <c r="AO36" s="454">
        <f t="shared" si="6"/>
        <v>-2.7E-4</v>
      </c>
      <c r="AQ36" s="454">
        <f t="shared" si="7"/>
        <v>0</v>
      </c>
      <c r="AS36" s="454">
        <f>+'Rates in detail'!U36</f>
        <v>0</v>
      </c>
      <c r="AT36" s="454"/>
      <c r="AU36" s="454"/>
      <c r="AV36" s="454">
        <f t="shared" si="8"/>
        <v>1.4499999999999999E-3</v>
      </c>
      <c r="AW36" s="454">
        <f t="shared" si="9"/>
        <v>5.4000000000000001E-4</v>
      </c>
      <c r="AX36" s="454">
        <f t="shared" si="17"/>
        <v>1.99E-3</v>
      </c>
      <c r="AZ36" s="1696">
        <v>0</v>
      </c>
      <c r="BA36" s="1660">
        <v>2.3E-3</v>
      </c>
      <c r="BB36" s="1696">
        <v>-5.3129999999999997E-2</v>
      </c>
      <c r="BC36" s="1696">
        <v>-2.7E-4</v>
      </c>
      <c r="BE36" s="454">
        <f t="shared" si="18"/>
        <v>1.99E-3</v>
      </c>
      <c r="BF36" s="454">
        <f t="shared" si="19"/>
        <v>8.3699999999999972E-3</v>
      </c>
    </row>
    <row r="37" spans="1:58" x14ac:dyDescent="0.25">
      <c r="A37" s="438">
        <f t="shared" si="0"/>
        <v>31</v>
      </c>
      <c r="B37" s="505"/>
      <c r="C37" s="452" t="s">
        <v>8</v>
      </c>
      <c r="D37" s="1611">
        <v>-5.1579999999999994E-2</v>
      </c>
      <c r="E37" s="1611">
        <v>-5.3129999999999997E-2</v>
      </c>
      <c r="F37" s="1095">
        <f>+'Allocation equal ¢ per therm'!H37</f>
        <v>3.5499999999999997E-2</v>
      </c>
      <c r="G37" s="1095">
        <f>+'Allocation equal ¢ per therm'!K37</f>
        <v>-2.912E-2</v>
      </c>
      <c r="H37" s="1095">
        <f>+'Allocation equal ¢ per therm'!N37</f>
        <v>0</v>
      </c>
      <c r="I37" s="1095">
        <f t="shared" si="10"/>
        <v>6.3799999999999968E-3</v>
      </c>
      <c r="J37" s="1095">
        <f t="shared" si="11"/>
        <v>5.9509999999999993E-2</v>
      </c>
      <c r="K37" s="1095">
        <f>+'Allocation = % of margin'!P37</f>
        <v>0</v>
      </c>
      <c r="L37" s="1095">
        <f>+'Allocation = % of margin'!S37</f>
        <v>1.1100000000000001E-3</v>
      </c>
      <c r="M37" s="1484">
        <v>0</v>
      </c>
      <c r="N37" s="1484">
        <v>0</v>
      </c>
      <c r="O37" s="454"/>
      <c r="P37" s="454"/>
      <c r="Q37" s="454"/>
      <c r="R37" s="454"/>
      <c r="S37" s="454"/>
      <c r="T37" s="454"/>
      <c r="U37" s="454"/>
      <c r="V37" s="454">
        <f>+'Allocation = % of margin'!V37</f>
        <v>4.0999999999999999E-4</v>
      </c>
      <c r="W37" s="454">
        <f>+'Allocation = % of margin'!Y37</f>
        <v>-2.1000000000000001E-4</v>
      </c>
      <c r="X37" s="454"/>
      <c r="Y37" s="454"/>
      <c r="Z37" s="454"/>
      <c r="AA37" s="454"/>
      <c r="AB37" s="454"/>
      <c r="AC37" s="454"/>
      <c r="AD37" s="454">
        <f t="shared" si="12"/>
        <v>7.6899999999999972E-3</v>
      </c>
      <c r="AE37" s="454">
        <f t="shared" si="13"/>
        <v>5.9269999999999989E-2</v>
      </c>
      <c r="AF37" s="454"/>
      <c r="AG37" s="663">
        <f t="shared" si="23"/>
        <v>7.6899999999999972E-3</v>
      </c>
      <c r="AH37" s="663">
        <f t="shared" si="1"/>
        <v>1.31E-3</v>
      </c>
      <c r="AI37" s="663">
        <f t="shared" si="20"/>
        <v>3.5499999999999997E-2</v>
      </c>
      <c r="AJ37" s="663">
        <f t="shared" si="21"/>
        <v>-2.912E-2</v>
      </c>
      <c r="AK37" s="1643">
        <f t="shared" si="15"/>
        <v>1.5200000000000001E-3</v>
      </c>
      <c r="AL37" s="663">
        <f t="shared" si="4"/>
        <v>7.8999999999999973E-3</v>
      </c>
      <c r="AM37" s="454">
        <f t="shared" si="5"/>
        <v>2.1000000000000012E-4</v>
      </c>
      <c r="AN37" s="454">
        <f t="shared" si="16"/>
        <v>6.3799999999999968E-3</v>
      </c>
      <c r="AO37" s="454">
        <f t="shared" si="6"/>
        <v>-2.1000000000000001E-4</v>
      </c>
      <c r="AQ37" s="454">
        <f t="shared" si="7"/>
        <v>0</v>
      </c>
      <c r="AS37" s="454">
        <f>+'Rates in detail'!U37</f>
        <v>0</v>
      </c>
      <c r="AT37" s="454"/>
      <c r="AU37" s="454"/>
      <c r="AV37" s="454">
        <f t="shared" si="8"/>
        <v>1.1100000000000001E-3</v>
      </c>
      <c r="AW37" s="454">
        <f t="shared" si="9"/>
        <v>4.0999999999999999E-4</v>
      </c>
      <c r="AX37" s="454">
        <f t="shared" si="17"/>
        <v>1.5200000000000001E-3</v>
      </c>
      <c r="AZ37" s="1696">
        <v>0</v>
      </c>
      <c r="BA37" s="1660">
        <v>1.7600000000000001E-3</v>
      </c>
      <c r="BB37" s="1696">
        <v>-5.3129999999999997E-2</v>
      </c>
      <c r="BC37" s="1696">
        <v>-2.1000000000000001E-4</v>
      </c>
      <c r="BE37" s="454">
        <f t="shared" si="18"/>
        <v>1.5200000000000001E-3</v>
      </c>
      <c r="BF37" s="454">
        <f t="shared" si="19"/>
        <v>7.8999999999999973E-3</v>
      </c>
    </row>
    <row r="38" spans="1:58" x14ac:dyDescent="0.25">
      <c r="A38" s="438">
        <f t="shared" si="0"/>
        <v>32</v>
      </c>
      <c r="B38" s="505"/>
      <c r="C38" s="452" t="s">
        <v>9</v>
      </c>
      <c r="D38" s="1611">
        <v>-5.1889999999999999E-2</v>
      </c>
      <c r="E38" s="1611">
        <v>-5.3129999999999997E-2</v>
      </c>
      <c r="F38" s="1095">
        <f>+'Allocation equal ¢ per therm'!H38</f>
        <v>3.5499999999999997E-2</v>
      </c>
      <c r="G38" s="1095">
        <f>+'Allocation equal ¢ per therm'!K38</f>
        <v>-2.912E-2</v>
      </c>
      <c r="H38" s="1095">
        <f>+'Allocation equal ¢ per therm'!N38</f>
        <v>0</v>
      </c>
      <c r="I38" s="1095">
        <f t="shared" si="10"/>
        <v>6.3799999999999968E-3</v>
      </c>
      <c r="J38" s="1095">
        <f t="shared" si="11"/>
        <v>5.9509999999999993E-2</v>
      </c>
      <c r="K38" s="1095">
        <f>+'Allocation = % of margin'!P38</f>
        <v>0</v>
      </c>
      <c r="L38" s="1095">
        <f>+'Allocation = % of margin'!S38</f>
        <v>8.8999999999999995E-4</v>
      </c>
      <c r="M38" s="1484">
        <v>0</v>
      </c>
      <c r="N38" s="1484">
        <v>0</v>
      </c>
      <c r="O38" s="454"/>
      <c r="P38" s="454"/>
      <c r="Q38" s="454"/>
      <c r="R38" s="454"/>
      <c r="S38" s="454"/>
      <c r="T38" s="454"/>
      <c r="U38" s="454"/>
      <c r="V38" s="454">
        <f>+'Allocation = % of margin'!V38</f>
        <v>3.3E-4</v>
      </c>
      <c r="W38" s="454">
        <f>+'Allocation = % of margin'!Y38</f>
        <v>-1.7000000000000001E-4</v>
      </c>
      <c r="X38" s="454"/>
      <c r="Y38" s="454"/>
      <c r="Z38" s="454"/>
      <c r="AA38" s="454"/>
      <c r="AB38" s="454"/>
      <c r="AC38" s="454"/>
      <c r="AD38" s="454">
        <f t="shared" si="12"/>
        <v>7.4299999999999965E-3</v>
      </c>
      <c r="AE38" s="454">
        <f t="shared" si="13"/>
        <v>5.9319999999999998E-2</v>
      </c>
      <c r="AF38" s="454"/>
      <c r="AG38" s="663">
        <f t="shared" si="23"/>
        <v>7.4299999999999965E-3</v>
      </c>
      <c r="AH38" s="663">
        <f t="shared" si="1"/>
        <v>1.0499999999999999E-3</v>
      </c>
      <c r="AI38" s="663">
        <f t="shared" si="20"/>
        <v>3.5499999999999997E-2</v>
      </c>
      <c r="AJ38" s="663">
        <f t="shared" si="21"/>
        <v>-2.912E-2</v>
      </c>
      <c r="AK38" s="1643">
        <f t="shared" si="15"/>
        <v>1.2199999999999999E-3</v>
      </c>
      <c r="AL38" s="663">
        <f t="shared" si="4"/>
        <v>7.5999999999999965E-3</v>
      </c>
      <c r="AM38" s="454">
        <f t="shared" si="5"/>
        <v>1.7000000000000001E-4</v>
      </c>
      <c r="AN38" s="454">
        <f t="shared" si="16"/>
        <v>6.3799999999999968E-3</v>
      </c>
      <c r="AO38" s="454">
        <f t="shared" si="6"/>
        <v>-1.7000000000000001E-4</v>
      </c>
      <c r="AQ38" s="454">
        <f t="shared" si="7"/>
        <v>0</v>
      </c>
      <c r="AS38" s="454">
        <f>+'Rates in detail'!U38</f>
        <v>0</v>
      </c>
      <c r="AT38" s="454"/>
      <c r="AU38" s="454"/>
      <c r="AV38" s="454">
        <f t="shared" si="8"/>
        <v>8.8999999999999995E-4</v>
      </c>
      <c r="AW38" s="454">
        <f t="shared" si="9"/>
        <v>3.3E-4</v>
      </c>
      <c r="AX38" s="454">
        <f t="shared" si="17"/>
        <v>1.2199999999999999E-3</v>
      </c>
      <c r="AZ38" s="1696">
        <v>0</v>
      </c>
      <c r="BA38" s="1660">
        <v>1.41E-3</v>
      </c>
      <c r="BB38" s="1696">
        <v>-5.3129999999999997E-2</v>
      </c>
      <c r="BC38" s="1696">
        <v>-1.7000000000000001E-4</v>
      </c>
      <c r="BE38" s="454">
        <f t="shared" si="18"/>
        <v>1.2199999999999999E-3</v>
      </c>
      <c r="BF38" s="454">
        <f t="shared" si="19"/>
        <v>7.5999999999999965E-3</v>
      </c>
    </row>
    <row r="39" spans="1:58" x14ac:dyDescent="0.25">
      <c r="A39" s="438">
        <f t="shared" si="0"/>
        <v>33</v>
      </c>
      <c r="B39" s="505"/>
      <c r="C39" s="452" t="s">
        <v>10</v>
      </c>
      <c r="D39" s="1611">
        <v>-5.2299999999999999E-2</v>
      </c>
      <c r="E39" s="1611">
        <v>-5.3129999999999997E-2</v>
      </c>
      <c r="F39" s="1095">
        <f>+'Allocation equal ¢ per therm'!H39</f>
        <v>3.5499999999999997E-2</v>
      </c>
      <c r="G39" s="1095">
        <f>+'Allocation equal ¢ per therm'!K39</f>
        <v>-2.912E-2</v>
      </c>
      <c r="H39" s="1095">
        <f>+'Allocation equal ¢ per therm'!N39</f>
        <v>0</v>
      </c>
      <c r="I39" s="1095">
        <f t="shared" si="10"/>
        <v>6.3799999999999968E-3</v>
      </c>
      <c r="J39" s="1095">
        <f t="shared" si="11"/>
        <v>5.9509999999999993E-2</v>
      </c>
      <c r="K39" s="1095">
        <f>+'Allocation = % of margin'!P39</f>
        <v>0</v>
      </c>
      <c r="L39" s="1095">
        <f>+'Allocation = % of margin'!S39</f>
        <v>5.9000000000000003E-4</v>
      </c>
      <c r="M39" s="1484">
        <v>0</v>
      </c>
      <c r="N39" s="1484">
        <v>0</v>
      </c>
      <c r="O39" s="454"/>
      <c r="P39" s="454"/>
      <c r="Q39" s="454"/>
      <c r="R39" s="454"/>
      <c r="S39" s="454"/>
      <c r="T39" s="454"/>
      <c r="U39" s="454"/>
      <c r="V39" s="454">
        <f>+'Allocation = % of margin'!V39</f>
        <v>2.2000000000000001E-4</v>
      </c>
      <c r="W39" s="454">
        <f>+'Allocation = % of margin'!Y39</f>
        <v>-1.1E-4</v>
      </c>
      <c r="X39" s="454"/>
      <c r="Y39" s="454"/>
      <c r="Z39" s="454"/>
      <c r="AA39" s="454"/>
      <c r="AB39" s="454"/>
      <c r="AC39" s="454"/>
      <c r="AD39" s="454">
        <f t="shared" si="12"/>
        <v>7.0799999999999969E-3</v>
      </c>
      <c r="AE39" s="454">
        <f t="shared" si="13"/>
        <v>5.9379999999999995E-2</v>
      </c>
      <c r="AF39" s="454"/>
      <c r="AG39" s="663">
        <f t="shared" si="23"/>
        <v>7.0799999999999969E-3</v>
      </c>
      <c r="AH39" s="663">
        <f t="shared" si="1"/>
        <v>6.9999999999999999E-4</v>
      </c>
      <c r="AI39" s="663">
        <f t="shared" si="20"/>
        <v>3.5499999999999997E-2</v>
      </c>
      <c r="AJ39" s="663">
        <f t="shared" si="21"/>
        <v>-2.912E-2</v>
      </c>
      <c r="AK39" s="1643">
        <f t="shared" si="15"/>
        <v>8.1000000000000006E-4</v>
      </c>
      <c r="AL39" s="663">
        <f t="shared" si="4"/>
        <v>7.1899999999999967E-3</v>
      </c>
      <c r="AM39" s="454">
        <f t="shared" si="5"/>
        <v>1.0999999999999996E-4</v>
      </c>
      <c r="AN39" s="454">
        <f t="shared" si="16"/>
        <v>6.3799999999999968E-3</v>
      </c>
      <c r="AO39" s="454">
        <f t="shared" si="6"/>
        <v>-1.1E-4</v>
      </c>
      <c r="AQ39" s="454">
        <f t="shared" si="7"/>
        <v>0</v>
      </c>
      <c r="AS39" s="454">
        <f>+'Rates in detail'!U39</f>
        <v>0</v>
      </c>
      <c r="AT39" s="454"/>
      <c r="AU39" s="454"/>
      <c r="AV39" s="454">
        <f t="shared" si="8"/>
        <v>5.9000000000000003E-4</v>
      </c>
      <c r="AW39" s="454">
        <f t="shared" si="9"/>
        <v>2.2000000000000001E-4</v>
      </c>
      <c r="AX39" s="454">
        <f t="shared" si="17"/>
        <v>8.1000000000000006E-4</v>
      </c>
      <c r="AZ39" s="1696">
        <v>0</v>
      </c>
      <c r="BA39" s="1660">
        <v>9.4000000000000008E-4</v>
      </c>
      <c r="BB39" s="1696">
        <v>-5.3129999999999997E-2</v>
      </c>
      <c r="BC39" s="1696">
        <v>-1.1E-4</v>
      </c>
      <c r="BE39" s="454">
        <f t="shared" si="18"/>
        <v>8.1000000000000006E-4</v>
      </c>
      <c r="BF39" s="454">
        <f t="shared" si="19"/>
        <v>7.1899999999999967E-3</v>
      </c>
    </row>
    <row r="40" spans="1:58" x14ac:dyDescent="0.25">
      <c r="A40" s="438">
        <f t="shared" si="0"/>
        <v>34</v>
      </c>
      <c r="B40" s="510"/>
      <c r="C40" s="456" t="s">
        <v>11</v>
      </c>
      <c r="D40" s="1609">
        <v>-5.2809999999999996E-2</v>
      </c>
      <c r="E40" s="1609">
        <v>-5.3129999999999997E-2</v>
      </c>
      <c r="F40" s="1060">
        <f>+'Allocation equal ¢ per therm'!H40</f>
        <v>3.5499999999999997E-2</v>
      </c>
      <c r="G40" s="1060">
        <f>+'Allocation equal ¢ per therm'!K40</f>
        <v>-2.912E-2</v>
      </c>
      <c r="H40" s="1060">
        <f>+'Allocation equal ¢ per therm'!N40</f>
        <v>0</v>
      </c>
      <c r="I40" s="1060">
        <f t="shared" si="10"/>
        <v>6.3799999999999968E-3</v>
      </c>
      <c r="J40" s="1060">
        <f t="shared" si="11"/>
        <v>5.9509999999999993E-2</v>
      </c>
      <c r="K40" s="1060">
        <f>+'Allocation = % of margin'!P40</f>
        <v>0</v>
      </c>
      <c r="L40" s="1060">
        <f>+'Allocation = % of margin'!S40</f>
        <v>2.2000000000000001E-4</v>
      </c>
      <c r="M40" s="1495">
        <v>0</v>
      </c>
      <c r="N40" s="1495">
        <v>0</v>
      </c>
      <c r="O40" s="448"/>
      <c r="P40" s="448"/>
      <c r="Q40" s="448"/>
      <c r="R40" s="448"/>
      <c r="S40" s="448"/>
      <c r="T40" s="448"/>
      <c r="U40" s="448"/>
      <c r="V40" s="448">
        <f>+'Allocation = % of margin'!V40</f>
        <v>8.0000000000000007E-5</v>
      </c>
      <c r="W40" s="448">
        <f>+'Allocation = % of margin'!Y40</f>
        <v>-4.0000000000000003E-5</v>
      </c>
      <c r="X40" s="448"/>
      <c r="Y40" s="448"/>
      <c r="Z40" s="448"/>
      <c r="AA40" s="448"/>
      <c r="AB40" s="448"/>
      <c r="AC40" s="448"/>
      <c r="AD40" s="448">
        <f t="shared" si="12"/>
        <v>6.6399999999999966E-3</v>
      </c>
      <c r="AE40" s="448">
        <f t="shared" si="13"/>
        <v>5.9449999999999989E-2</v>
      </c>
      <c r="AF40" s="454"/>
      <c r="AG40" s="663">
        <f t="shared" si="23"/>
        <v>6.6399999999999966E-3</v>
      </c>
      <c r="AH40" s="663">
        <f t="shared" si="1"/>
        <v>2.6000000000000003E-4</v>
      </c>
      <c r="AI40" s="663">
        <f t="shared" si="20"/>
        <v>3.5499999999999997E-2</v>
      </c>
      <c r="AJ40" s="663">
        <f t="shared" si="21"/>
        <v>-2.912E-2</v>
      </c>
      <c r="AK40" s="1643">
        <f t="shared" si="15"/>
        <v>3.0000000000000003E-4</v>
      </c>
      <c r="AL40" s="663">
        <f t="shared" si="4"/>
        <v>6.6799999999999967E-3</v>
      </c>
      <c r="AM40" s="454">
        <f t="shared" si="5"/>
        <v>3.9999999999999996E-5</v>
      </c>
      <c r="AN40" s="454">
        <f t="shared" si="16"/>
        <v>6.3799999999999968E-3</v>
      </c>
      <c r="AO40" s="454">
        <f t="shared" si="6"/>
        <v>-4.0000000000000003E-5</v>
      </c>
      <c r="AQ40" s="454">
        <f t="shared" si="7"/>
        <v>0</v>
      </c>
      <c r="AS40" s="454">
        <f>+'Rates in detail'!U40</f>
        <v>0</v>
      </c>
      <c r="AT40" s="454"/>
      <c r="AU40" s="454"/>
      <c r="AV40" s="454">
        <f t="shared" si="8"/>
        <v>2.2000000000000001E-4</v>
      </c>
      <c r="AW40" s="454">
        <f t="shared" si="9"/>
        <v>8.0000000000000007E-5</v>
      </c>
      <c r="AX40" s="454">
        <f t="shared" si="17"/>
        <v>3.0000000000000003E-4</v>
      </c>
      <c r="AZ40" s="1696">
        <v>0</v>
      </c>
      <c r="BA40" s="1660">
        <v>3.5999999999999997E-4</v>
      </c>
      <c r="BB40" s="1696">
        <v>-5.3129999999999997E-2</v>
      </c>
      <c r="BC40" s="1696">
        <v>-4.0000000000000003E-5</v>
      </c>
      <c r="BE40" s="454">
        <f t="shared" si="18"/>
        <v>3.0000000000000003E-4</v>
      </c>
      <c r="BF40" s="454">
        <f t="shared" si="19"/>
        <v>6.6799999999999967E-3</v>
      </c>
    </row>
    <row r="41" spans="1:58" x14ac:dyDescent="0.25">
      <c r="A41" s="438">
        <f t="shared" si="0"/>
        <v>35</v>
      </c>
      <c r="B41" s="505" t="s">
        <v>165</v>
      </c>
      <c r="C41" s="452" t="s">
        <v>6</v>
      </c>
      <c r="D41" s="1611">
        <v>-2.3000000000000001E-4</v>
      </c>
      <c r="E41" s="1611">
        <v>0</v>
      </c>
      <c r="F41" s="1095">
        <f>+'Allocation equal ¢ per therm'!H41</f>
        <v>0</v>
      </c>
      <c r="G41" s="1095">
        <f>+'Allocation equal ¢ per therm'!K41</f>
        <v>0</v>
      </c>
      <c r="H41" s="1095">
        <f>+'Allocation equal ¢ per therm'!N41</f>
        <v>0</v>
      </c>
      <c r="I41" s="1095">
        <f t="shared" si="10"/>
        <v>0</v>
      </c>
      <c r="J41" s="1095">
        <f t="shared" si="11"/>
        <v>0</v>
      </c>
      <c r="K41" s="1095">
        <f>+'Allocation = % of margin'!P41</f>
        <v>0</v>
      </c>
      <c r="L41" s="1095">
        <f>+'Allocation = % of margin'!S41</f>
        <v>0</v>
      </c>
      <c r="M41" s="1484">
        <v>0</v>
      </c>
      <c r="N41" s="1484">
        <v>0</v>
      </c>
      <c r="O41" s="454"/>
      <c r="P41" s="454"/>
      <c r="Q41" s="454"/>
      <c r="R41" s="454"/>
      <c r="S41" s="454"/>
      <c r="T41" s="454"/>
      <c r="U41" s="454"/>
      <c r="V41" s="454">
        <f>+'Allocation = % of margin'!V41</f>
        <v>0</v>
      </c>
      <c r="W41" s="454">
        <f>+'Allocation = % of margin'!Y41</f>
        <v>-2.2000000000000001E-4</v>
      </c>
      <c r="X41" s="454"/>
      <c r="Y41" s="454"/>
      <c r="Z41" s="454"/>
      <c r="AA41" s="454"/>
      <c r="AB41" s="454"/>
      <c r="AC41" s="454"/>
      <c r="AD41" s="454">
        <f t="shared" si="12"/>
        <v>-2.2000000000000001E-4</v>
      </c>
      <c r="AE41" s="454">
        <f t="shared" si="13"/>
        <v>9.9999999999999991E-6</v>
      </c>
      <c r="AF41" s="454"/>
      <c r="AG41" s="663">
        <f t="shared" si="23"/>
        <v>-2.2000000000000001E-4</v>
      </c>
      <c r="AH41" s="663">
        <f t="shared" si="1"/>
        <v>-2.2000000000000001E-4</v>
      </c>
      <c r="AI41" s="663">
        <f t="shared" si="20"/>
        <v>0</v>
      </c>
      <c r="AJ41" s="663">
        <f t="shared" si="21"/>
        <v>0</v>
      </c>
      <c r="AK41" s="1643">
        <f t="shared" si="15"/>
        <v>0</v>
      </c>
      <c r="AL41" s="663">
        <f t="shared" si="4"/>
        <v>0</v>
      </c>
      <c r="AM41" s="454">
        <f t="shared" si="5"/>
        <v>2.2000000000000001E-4</v>
      </c>
      <c r="AN41" s="454">
        <f t="shared" si="16"/>
        <v>0</v>
      </c>
      <c r="AO41" s="454">
        <f t="shared" si="6"/>
        <v>-2.2000000000000001E-4</v>
      </c>
      <c r="AQ41" s="454">
        <f t="shared" si="7"/>
        <v>0</v>
      </c>
      <c r="AS41" s="454">
        <f>+'Rates in detail'!U41</f>
        <v>0</v>
      </c>
      <c r="AT41" s="454"/>
      <c r="AU41" s="454"/>
      <c r="AV41" s="454">
        <f t="shared" si="8"/>
        <v>0</v>
      </c>
      <c r="AW41" s="454">
        <f t="shared" si="9"/>
        <v>0</v>
      </c>
      <c r="AX41" s="454">
        <f t="shared" si="17"/>
        <v>0</v>
      </c>
      <c r="AZ41" s="1696">
        <v>0</v>
      </c>
      <c r="BA41" s="1660">
        <v>0</v>
      </c>
      <c r="BB41" s="1696">
        <v>0</v>
      </c>
      <c r="BC41" s="1696">
        <v>-2.3000000000000001E-4</v>
      </c>
      <c r="BE41" s="454">
        <f t="shared" si="18"/>
        <v>0</v>
      </c>
      <c r="BF41" s="454">
        <f t="shared" si="19"/>
        <v>0</v>
      </c>
    </row>
    <row r="42" spans="1:58" x14ac:dyDescent="0.25">
      <c r="A42" s="438">
        <f t="shared" si="0"/>
        <v>36</v>
      </c>
      <c r="B42" s="505"/>
      <c r="C42" s="452" t="s">
        <v>7</v>
      </c>
      <c r="D42" s="1611">
        <v>-2.1000000000000001E-4</v>
      </c>
      <c r="E42" s="1611">
        <v>0</v>
      </c>
      <c r="F42" s="1095">
        <f>+'Allocation equal ¢ per therm'!H42</f>
        <v>0</v>
      </c>
      <c r="G42" s="1095">
        <f>+'Allocation equal ¢ per therm'!K42</f>
        <v>0</v>
      </c>
      <c r="H42" s="1095">
        <f>+'Allocation equal ¢ per therm'!N42</f>
        <v>0</v>
      </c>
      <c r="I42" s="1095">
        <f t="shared" si="10"/>
        <v>0</v>
      </c>
      <c r="J42" s="1095">
        <f t="shared" si="11"/>
        <v>0</v>
      </c>
      <c r="K42" s="1095">
        <f>+'Allocation = % of margin'!P42</f>
        <v>0</v>
      </c>
      <c r="L42" s="1095">
        <f>+'Allocation = % of margin'!S42</f>
        <v>0</v>
      </c>
      <c r="M42" s="1484">
        <v>0</v>
      </c>
      <c r="N42" s="1484">
        <v>0</v>
      </c>
      <c r="O42" s="454"/>
      <c r="P42" s="454"/>
      <c r="Q42" s="454"/>
      <c r="R42" s="454"/>
      <c r="S42" s="454"/>
      <c r="T42" s="454"/>
      <c r="U42" s="454"/>
      <c r="V42" s="454">
        <f>+'Allocation = % of margin'!V42</f>
        <v>0</v>
      </c>
      <c r="W42" s="454">
        <f>+'Allocation = % of margin'!Y42</f>
        <v>-2.0000000000000001E-4</v>
      </c>
      <c r="X42" s="454"/>
      <c r="Y42" s="454"/>
      <c r="Z42" s="454"/>
      <c r="AA42" s="454"/>
      <c r="AB42" s="454"/>
      <c r="AC42" s="454"/>
      <c r="AD42" s="454">
        <f t="shared" si="12"/>
        <v>-2.0000000000000001E-4</v>
      </c>
      <c r="AE42" s="454">
        <f t="shared" si="13"/>
        <v>9.9999999999999991E-6</v>
      </c>
      <c r="AF42" s="454"/>
      <c r="AG42" s="663">
        <f t="shared" si="23"/>
        <v>-2.0000000000000001E-4</v>
      </c>
      <c r="AH42" s="663">
        <f t="shared" si="1"/>
        <v>-2.0000000000000001E-4</v>
      </c>
      <c r="AI42" s="663">
        <f t="shared" si="20"/>
        <v>0</v>
      </c>
      <c r="AJ42" s="663">
        <f t="shared" si="21"/>
        <v>0</v>
      </c>
      <c r="AK42" s="1643">
        <f t="shared" si="15"/>
        <v>0</v>
      </c>
      <c r="AL42" s="663">
        <f t="shared" si="4"/>
        <v>0</v>
      </c>
      <c r="AM42" s="454">
        <f t="shared" si="5"/>
        <v>2.0000000000000001E-4</v>
      </c>
      <c r="AN42" s="454">
        <f t="shared" si="16"/>
        <v>0</v>
      </c>
      <c r="AO42" s="454">
        <f t="shared" si="6"/>
        <v>-2.0000000000000001E-4</v>
      </c>
      <c r="AQ42" s="454">
        <f t="shared" si="7"/>
        <v>0</v>
      </c>
      <c r="AS42" s="454">
        <f>+'Rates in detail'!U42</f>
        <v>0</v>
      </c>
      <c r="AT42" s="454"/>
      <c r="AU42" s="454"/>
      <c r="AV42" s="454">
        <f t="shared" si="8"/>
        <v>0</v>
      </c>
      <c r="AW42" s="454">
        <f t="shared" si="9"/>
        <v>0</v>
      </c>
      <c r="AX42" s="454">
        <f t="shared" si="17"/>
        <v>0</v>
      </c>
      <c r="AZ42" s="1696">
        <v>0</v>
      </c>
      <c r="BA42" s="1660">
        <v>0</v>
      </c>
      <c r="BB42" s="1696">
        <v>0</v>
      </c>
      <c r="BC42" s="1696">
        <v>-2.1000000000000001E-4</v>
      </c>
      <c r="BE42" s="454">
        <f t="shared" si="18"/>
        <v>0</v>
      </c>
      <c r="BF42" s="454">
        <f t="shared" si="19"/>
        <v>0</v>
      </c>
    </row>
    <row r="43" spans="1:58" x14ac:dyDescent="0.25">
      <c r="A43" s="438">
        <f t="shared" si="0"/>
        <v>37</v>
      </c>
      <c r="B43" s="505"/>
      <c r="C43" s="452" t="s">
        <v>8</v>
      </c>
      <c r="D43" s="1611">
        <v>-1.6000000000000001E-4</v>
      </c>
      <c r="E43" s="1611">
        <v>0</v>
      </c>
      <c r="F43" s="1095">
        <f>+'Allocation equal ¢ per therm'!H43</f>
        <v>0</v>
      </c>
      <c r="G43" s="1095">
        <f>+'Allocation equal ¢ per therm'!K43</f>
        <v>0</v>
      </c>
      <c r="H43" s="1095">
        <f>+'Allocation equal ¢ per therm'!N43</f>
        <v>0</v>
      </c>
      <c r="I43" s="1095">
        <f t="shared" si="10"/>
        <v>0</v>
      </c>
      <c r="J43" s="1095">
        <f t="shared" si="11"/>
        <v>0</v>
      </c>
      <c r="K43" s="1095">
        <f>+'Allocation = % of margin'!P43</f>
        <v>0</v>
      </c>
      <c r="L43" s="1095">
        <f>+'Allocation = % of margin'!S43</f>
        <v>0</v>
      </c>
      <c r="M43" s="1484">
        <v>0</v>
      </c>
      <c r="N43" s="1484">
        <v>0</v>
      </c>
      <c r="O43" s="454"/>
      <c r="P43" s="454"/>
      <c r="Q43" s="454"/>
      <c r="R43" s="454"/>
      <c r="S43" s="454"/>
      <c r="T43" s="454"/>
      <c r="U43" s="454"/>
      <c r="V43" s="454">
        <f>+'Allocation = % of margin'!V43</f>
        <v>0</v>
      </c>
      <c r="W43" s="454">
        <f>+'Allocation = % of margin'!Y43</f>
        <v>-1.4999999999999999E-4</v>
      </c>
      <c r="X43" s="454"/>
      <c r="Y43" s="454"/>
      <c r="Z43" s="454"/>
      <c r="AA43" s="454"/>
      <c r="AB43" s="454"/>
      <c r="AC43" s="454"/>
      <c r="AD43" s="454">
        <f t="shared" si="12"/>
        <v>-1.4999999999999999E-4</v>
      </c>
      <c r="AE43" s="454">
        <f t="shared" si="13"/>
        <v>1.0000000000000026E-5</v>
      </c>
      <c r="AF43" s="454"/>
      <c r="AG43" s="663">
        <f t="shared" si="23"/>
        <v>-1.4999999999999999E-4</v>
      </c>
      <c r="AH43" s="663">
        <f t="shared" si="1"/>
        <v>-1.4999999999999999E-4</v>
      </c>
      <c r="AI43" s="663">
        <f t="shared" si="20"/>
        <v>0</v>
      </c>
      <c r="AJ43" s="663">
        <f t="shared" si="21"/>
        <v>0</v>
      </c>
      <c r="AK43" s="1643">
        <f t="shared" si="15"/>
        <v>0</v>
      </c>
      <c r="AL43" s="663">
        <f t="shared" si="4"/>
        <v>0</v>
      </c>
      <c r="AM43" s="454">
        <f t="shared" si="5"/>
        <v>1.4999999999999999E-4</v>
      </c>
      <c r="AN43" s="454">
        <f t="shared" si="16"/>
        <v>0</v>
      </c>
      <c r="AO43" s="454">
        <f t="shared" si="6"/>
        <v>-1.4999999999999999E-4</v>
      </c>
      <c r="AQ43" s="454">
        <f t="shared" si="7"/>
        <v>0</v>
      </c>
      <c r="AS43" s="454">
        <f>+'Rates in detail'!U43</f>
        <v>0</v>
      </c>
      <c r="AT43" s="454"/>
      <c r="AU43" s="454"/>
      <c r="AV43" s="454">
        <f t="shared" si="8"/>
        <v>0</v>
      </c>
      <c r="AW43" s="454">
        <f t="shared" si="9"/>
        <v>0</v>
      </c>
      <c r="AX43" s="454">
        <f t="shared" si="17"/>
        <v>0</v>
      </c>
      <c r="AZ43" s="1696">
        <v>0</v>
      </c>
      <c r="BA43" s="1660">
        <v>0</v>
      </c>
      <c r="BB43" s="1696">
        <v>0</v>
      </c>
      <c r="BC43" s="1696">
        <v>-1.6000000000000001E-4</v>
      </c>
      <c r="BE43" s="454">
        <f t="shared" si="18"/>
        <v>0</v>
      </c>
      <c r="BF43" s="454">
        <f t="shared" si="19"/>
        <v>0</v>
      </c>
    </row>
    <row r="44" spans="1:58" x14ac:dyDescent="0.25">
      <c r="A44" s="438">
        <f t="shared" si="0"/>
        <v>38</v>
      </c>
      <c r="B44" s="505"/>
      <c r="C44" s="452" t="s">
        <v>9</v>
      </c>
      <c r="D44" s="1611">
        <v>-1.2999999999999999E-4</v>
      </c>
      <c r="E44" s="1611">
        <v>0</v>
      </c>
      <c r="F44" s="1095">
        <f>+'Allocation equal ¢ per therm'!H44</f>
        <v>0</v>
      </c>
      <c r="G44" s="1095">
        <f>+'Allocation equal ¢ per therm'!K44</f>
        <v>0</v>
      </c>
      <c r="H44" s="1095">
        <f>+'Allocation equal ¢ per therm'!N44</f>
        <v>0</v>
      </c>
      <c r="I44" s="1095">
        <f t="shared" si="10"/>
        <v>0</v>
      </c>
      <c r="J44" s="1095">
        <f t="shared" si="11"/>
        <v>0</v>
      </c>
      <c r="K44" s="1095">
        <f>+'Allocation = % of margin'!P44</f>
        <v>0</v>
      </c>
      <c r="L44" s="1095">
        <f>+'Allocation = % of margin'!S44</f>
        <v>0</v>
      </c>
      <c r="M44" s="1484">
        <v>0</v>
      </c>
      <c r="N44" s="1484">
        <v>0</v>
      </c>
      <c r="O44" s="454"/>
      <c r="P44" s="454"/>
      <c r="Q44" s="454"/>
      <c r="R44" s="454"/>
      <c r="S44" s="454"/>
      <c r="T44" s="454"/>
      <c r="U44" s="454"/>
      <c r="V44" s="454">
        <f>+'Allocation = % of margin'!V44</f>
        <v>0</v>
      </c>
      <c r="W44" s="454">
        <f>+'Allocation = % of margin'!Y44</f>
        <v>-1.2E-4</v>
      </c>
      <c r="X44" s="454"/>
      <c r="Y44" s="454"/>
      <c r="Z44" s="454"/>
      <c r="AA44" s="454"/>
      <c r="AB44" s="454"/>
      <c r="AC44" s="454"/>
      <c r="AD44" s="454">
        <f t="shared" si="12"/>
        <v>-1.2E-4</v>
      </c>
      <c r="AE44" s="454">
        <f t="shared" si="13"/>
        <v>9.9999999999999856E-6</v>
      </c>
      <c r="AF44" s="454"/>
      <c r="AG44" s="663">
        <f t="shared" si="23"/>
        <v>-1.2E-4</v>
      </c>
      <c r="AH44" s="663">
        <f t="shared" si="1"/>
        <v>-1.2E-4</v>
      </c>
      <c r="AI44" s="663">
        <f t="shared" si="20"/>
        <v>0</v>
      </c>
      <c r="AJ44" s="663">
        <f t="shared" si="21"/>
        <v>0</v>
      </c>
      <c r="AK44" s="1643">
        <f t="shared" si="15"/>
        <v>0</v>
      </c>
      <c r="AL44" s="663">
        <f t="shared" si="4"/>
        <v>0</v>
      </c>
      <c r="AM44" s="454">
        <f t="shared" si="5"/>
        <v>1.2E-4</v>
      </c>
      <c r="AN44" s="454">
        <f t="shared" si="16"/>
        <v>0</v>
      </c>
      <c r="AO44" s="454">
        <f t="shared" si="6"/>
        <v>-1.2E-4</v>
      </c>
      <c r="AQ44" s="454">
        <f t="shared" si="7"/>
        <v>0</v>
      </c>
      <c r="AS44" s="454">
        <f>+'Rates in detail'!U44</f>
        <v>0</v>
      </c>
      <c r="AT44" s="454"/>
      <c r="AU44" s="454"/>
      <c r="AV44" s="454">
        <f t="shared" si="8"/>
        <v>0</v>
      </c>
      <c r="AW44" s="454">
        <f t="shared" si="9"/>
        <v>0</v>
      </c>
      <c r="AX44" s="454">
        <f t="shared" si="17"/>
        <v>0</v>
      </c>
      <c r="AZ44" s="1696">
        <v>0</v>
      </c>
      <c r="BA44" s="1660">
        <v>0</v>
      </c>
      <c r="BB44" s="1696">
        <v>0</v>
      </c>
      <c r="BC44" s="1696">
        <v>-1.2999999999999999E-4</v>
      </c>
      <c r="BE44" s="454">
        <f t="shared" si="18"/>
        <v>0</v>
      </c>
      <c r="BF44" s="454">
        <f t="shared" si="19"/>
        <v>0</v>
      </c>
    </row>
    <row r="45" spans="1:58" x14ac:dyDescent="0.25">
      <c r="A45" s="438">
        <f t="shared" si="0"/>
        <v>39</v>
      </c>
      <c r="B45" s="505"/>
      <c r="C45" s="452" t="s">
        <v>10</v>
      </c>
      <c r="D45" s="1611">
        <v>-9.0000000000000006E-5</v>
      </c>
      <c r="E45" s="1611">
        <v>0</v>
      </c>
      <c r="F45" s="1095">
        <f>+'Allocation equal ¢ per therm'!H45</f>
        <v>0</v>
      </c>
      <c r="G45" s="1095">
        <f>+'Allocation equal ¢ per therm'!K45</f>
        <v>0</v>
      </c>
      <c r="H45" s="1095">
        <f>+'Allocation equal ¢ per therm'!N45</f>
        <v>0</v>
      </c>
      <c r="I45" s="1095">
        <f t="shared" si="10"/>
        <v>0</v>
      </c>
      <c r="J45" s="1095">
        <f t="shared" si="11"/>
        <v>0</v>
      </c>
      <c r="K45" s="1095">
        <f>+'Allocation = % of margin'!P45</f>
        <v>0</v>
      </c>
      <c r="L45" s="1095">
        <f>+'Allocation = % of margin'!S45</f>
        <v>0</v>
      </c>
      <c r="M45" s="1484">
        <v>0</v>
      </c>
      <c r="N45" s="1484">
        <v>0</v>
      </c>
      <c r="O45" s="454"/>
      <c r="P45" s="454"/>
      <c r="Q45" s="454"/>
      <c r="R45" s="454"/>
      <c r="S45" s="454"/>
      <c r="T45" s="454"/>
      <c r="U45" s="454"/>
      <c r="V45" s="454">
        <f>+'Allocation = % of margin'!V45</f>
        <v>0</v>
      </c>
      <c r="W45" s="454">
        <f>+'Allocation = % of margin'!Y45</f>
        <v>-8.0000000000000007E-5</v>
      </c>
      <c r="X45" s="454"/>
      <c r="Y45" s="454"/>
      <c r="Z45" s="454"/>
      <c r="AA45" s="454"/>
      <c r="AB45" s="454"/>
      <c r="AC45" s="454"/>
      <c r="AD45" s="454">
        <f t="shared" si="12"/>
        <v>-8.0000000000000007E-5</v>
      </c>
      <c r="AE45" s="454">
        <f t="shared" si="13"/>
        <v>9.9999999999999991E-6</v>
      </c>
      <c r="AF45" s="454"/>
      <c r="AG45" s="663">
        <f t="shared" si="23"/>
        <v>-8.0000000000000007E-5</v>
      </c>
      <c r="AH45" s="663">
        <f t="shared" si="1"/>
        <v>-8.0000000000000007E-5</v>
      </c>
      <c r="AI45" s="663">
        <f t="shared" si="20"/>
        <v>0</v>
      </c>
      <c r="AJ45" s="663">
        <f t="shared" si="21"/>
        <v>0</v>
      </c>
      <c r="AK45" s="1643">
        <f t="shared" si="15"/>
        <v>0</v>
      </c>
      <c r="AL45" s="663">
        <f t="shared" ref="AL45:AL67" si="24">SUM(AI45:AK45)</f>
        <v>0</v>
      </c>
      <c r="AM45" s="454">
        <f t="shared" ref="AM45:AM67" si="25">+AK45-AO45-AQ45-AX45</f>
        <v>8.0000000000000007E-5</v>
      </c>
      <c r="AN45" s="454">
        <f t="shared" si="16"/>
        <v>0</v>
      </c>
      <c r="AO45" s="454">
        <f t="shared" ref="AO45:AO67" si="26">+W45</f>
        <v>-8.0000000000000007E-5</v>
      </c>
      <c r="AQ45" s="454">
        <f t="shared" ref="AQ45:AQ67" si="27">+K45</f>
        <v>0</v>
      </c>
      <c r="AS45" s="454">
        <f>+'Rates in detail'!U45</f>
        <v>0</v>
      </c>
      <c r="AT45" s="454"/>
      <c r="AU45" s="454"/>
      <c r="AV45" s="454">
        <f t="shared" ref="AV45:AV67" si="28">+L45</f>
        <v>0</v>
      </c>
      <c r="AW45" s="454">
        <f t="shared" ref="AW45:AW67" si="29">+V45</f>
        <v>0</v>
      </c>
      <c r="AX45" s="454">
        <f t="shared" si="17"/>
        <v>0</v>
      </c>
      <c r="AZ45" s="1696">
        <v>0</v>
      </c>
      <c r="BA45" s="1660">
        <v>0</v>
      </c>
      <c r="BB45" s="1696">
        <v>0</v>
      </c>
      <c r="BC45" s="1696">
        <v>-9.0000000000000006E-5</v>
      </c>
      <c r="BE45" s="454">
        <f t="shared" si="18"/>
        <v>0</v>
      </c>
      <c r="BF45" s="454">
        <f t="shared" si="19"/>
        <v>0</v>
      </c>
    </row>
    <row r="46" spans="1:58" x14ac:dyDescent="0.25">
      <c r="A46" s="438">
        <f t="shared" si="0"/>
        <v>40</v>
      </c>
      <c r="B46" s="510"/>
      <c r="C46" s="456" t="s">
        <v>11</v>
      </c>
      <c r="D46" s="1609">
        <v>-3.0000000000000001E-5</v>
      </c>
      <c r="E46" s="1609">
        <v>0</v>
      </c>
      <c r="F46" s="1060">
        <f>+'Allocation equal ¢ per therm'!H46</f>
        <v>0</v>
      </c>
      <c r="G46" s="1060">
        <f>+'Allocation equal ¢ per therm'!K46</f>
        <v>0</v>
      </c>
      <c r="H46" s="1060">
        <f>+'Allocation equal ¢ per therm'!N46</f>
        <v>0</v>
      </c>
      <c r="I46" s="1060">
        <f t="shared" si="10"/>
        <v>0</v>
      </c>
      <c r="J46" s="1060">
        <f t="shared" si="11"/>
        <v>0</v>
      </c>
      <c r="K46" s="1060">
        <f>+'Allocation = % of margin'!P46</f>
        <v>0</v>
      </c>
      <c r="L46" s="1060">
        <f>+'Allocation = % of margin'!S46</f>
        <v>0</v>
      </c>
      <c r="M46" s="1495">
        <v>0</v>
      </c>
      <c r="N46" s="1495">
        <v>0</v>
      </c>
      <c r="O46" s="448"/>
      <c r="P46" s="448"/>
      <c r="Q46" s="448"/>
      <c r="R46" s="448"/>
      <c r="S46" s="448"/>
      <c r="T46" s="448"/>
      <c r="U46" s="448"/>
      <c r="V46" s="448">
        <f>+'Allocation = % of margin'!V46</f>
        <v>0</v>
      </c>
      <c r="W46" s="448">
        <f>+'Allocation = % of margin'!Y46</f>
        <v>-3.0000000000000001E-5</v>
      </c>
      <c r="X46" s="448"/>
      <c r="Y46" s="448"/>
      <c r="Z46" s="448"/>
      <c r="AA46" s="448"/>
      <c r="AB46" s="448"/>
      <c r="AC46" s="448"/>
      <c r="AD46" s="448">
        <f t="shared" si="12"/>
        <v>-3.0000000000000001E-5</v>
      </c>
      <c r="AE46" s="448">
        <f t="shared" si="13"/>
        <v>0</v>
      </c>
      <c r="AF46" s="454"/>
      <c r="AG46" s="663">
        <f t="shared" si="23"/>
        <v>-3.0000000000000001E-5</v>
      </c>
      <c r="AH46" s="663">
        <f t="shared" si="1"/>
        <v>-3.0000000000000001E-5</v>
      </c>
      <c r="AI46" s="663">
        <f t="shared" si="20"/>
        <v>0</v>
      </c>
      <c r="AJ46" s="663">
        <f t="shared" si="21"/>
        <v>0</v>
      </c>
      <c r="AK46" s="1643">
        <f t="shared" si="15"/>
        <v>0</v>
      </c>
      <c r="AL46" s="663">
        <f t="shared" si="24"/>
        <v>0</v>
      </c>
      <c r="AM46" s="454">
        <f t="shared" si="25"/>
        <v>3.0000000000000001E-5</v>
      </c>
      <c r="AN46" s="454">
        <f t="shared" si="16"/>
        <v>0</v>
      </c>
      <c r="AO46" s="454">
        <f t="shared" si="26"/>
        <v>-3.0000000000000001E-5</v>
      </c>
      <c r="AQ46" s="454">
        <f t="shared" si="27"/>
        <v>0</v>
      </c>
      <c r="AS46" s="454">
        <f>+'Rates in detail'!U46</f>
        <v>0</v>
      </c>
      <c r="AT46" s="454"/>
      <c r="AU46" s="454"/>
      <c r="AV46" s="454">
        <f t="shared" si="28"/>
        <v>0</v>
      </c>
      <c r="AW46" s="454">
        <f t="shared" si="29"/>
        <v>0</v>
      </c>
      <c r="AX46" s="454">
        <f t="shared" si="17"/>
        <v>0</v>
      </c>
      <c r="AZ46" s="1696">
        <v>0</v>
      </c>
      <c r="BA46" s="1660">
        <v>0</v>
      </c>
      <c r="BB46" s="1696">
        <v>0</v>
      </c>
      <c r="BC46" s="1696">
        <v>-3.0000000000000001E-5</v>
      </c>
      <c r="BE46" s="454">
        <f t="shared" si="18"/>
        <v>0</v>
      </c>
      <c r="BF46" s="454">
        <f t="shared" si="19"/>
        <v>0</v>
      </c>
    </row>
    <row r="47" spans="1:58" x14ac:dyDescent="0.25">
      <c r="A47" s="438">
        <f t="shared" si="0"/>
        <v>41</v>
      </c>
      <c r="B47" s="505" t="s">
        <v>861</v>
      </c>
      <c r="C47" s="452" t="s">
        <v>6</v>
      </c>
      <c r="D47" s="1611">
        <v>-2.3139999999999997E-2</v>
      </c>
      <c r="E47" s="1611">
        <v>-3.5659999999999997E-2</v>
      </c>
      <c r="F47" s="1095">
        <f>+'Allocation equal ¢ per therm'!H47</f>
        <v>3.5499999999999997E-2</v>
      </c>
      <c r="G47" s="1095">
        <f>+'Allocation equal ¢ per therm'!K47</f>
        <v>0</v>
      </c>
      <c r="H47" s="1095">
        <f>+'Allocation equal ¢ per therm'!N47</f>
        <v>-1.017E-2</v>
      </c>
      <c r="I47" s="1095">
        <f t="shared" si="10"/>
        <v>2.5329999999999998E-2</v>
      </c>
      <c r="J47" s="1095">
        <f t="shared" si="11"/>
        <v>6.0989999999999996E-2</v>
      </c>
      <c r="K47" s="1095">
        <f>+'Allocation = % of margin'!P47</f>
        <v>1.223E-2</v>
      </c>
      <c r="L47" s="1095">
        <f>+'Allocation = % of margin'!S47</f>
        <v>1.1100000000000001E-3</v>
      </c>
      <c r="M47" s="1484">
        <v>0</v>
      </c>
      <c r="N47" s="1484">
        <v>0</v>
      </c>
      <c r="O47" s="454"/>
      <c r="P47" s="454"/>
      <c r="Q47" s="454"/>
      <c r="R47" s="454"/>
      <c r="S47" s="454"/>
      <c r="T47" s="454"/>
      <c r="U47" s="454"/>
      <c r="V47" s="454">
        <f>+'Allocation = % of margin'!V47</f>
        <v>4.0999999999999999E-4</v>
      </c>
      <c r="W47" s="454">
        <f>+'Allocation = % of margin'!Y47</f>
        <v>-2.1000000000000001E-4</v>
      </c>
      <c r="X47" s="454"/>
      <c r="Y47" s="454"/>
      <c r="Z47" s="454"/>
      <c r="AA47" s="454"/>
      <c r="AB47" s="454"/>
      <c r="AC47" s="454"/>
      <c r="AD47" s="454">
        <f t="shared" si="12"/>
        <v>3.8870000000000002E-2</v>
      </c>
      <c r="AE47" s="454">
        <f t="shared" ref="AE47:AE52" si="30">+AD47-D47</f>
        <v>6.2009999999999996E-2</v>
      </c>
      <c r="AF47" s="454"/>
      <c r="AG47" s="663">
        <f t="shared" ref="AG47:AG66" si="31">+AD47-K47</f>
        <v>2.6640000000000004E-2</v>
      </c>
      <c r="AH47" s="663">
        <f t="shared" si="1"/>
        <v>1.31E-3</v>
      </c>
      <c r="AI47" s="663">
        <f t="shared" si="20"/>
        <v>3.5499999999999997E-2</v>
      </c>
      <c r="AJ47" s="663">
        <f t="shared" si="21"/>
        <v>-1.017E-2</v>
      </c>
      <c r="AK47" s="1643">
        <f t="shared" si="15"/>
        <v>1.375E-2</v>
      </c>
      <c r="AL47" s="663">
        <f t="shared" si="24"/>
        <v>3.9079999999999997E-2</v>
      </c>
      <c r="AM47" s="454">
        <f t="shared" si="25"/>
        <v>2.1000000000000055E-4</v>
      </c>
      <c r="AN47" s="454">
        <f t="shared" si="16"/>
        <v>2.5329999999999998E-2</v>
      </c>
      <c r="AO47" s="454">
        <f t="shared" si="26"/>
        <v>-2.1000000000000001E-4</v>
      </c>
      <c r="AQ47" s="454">
        <f t="shared" si="27"/>
        <v>1.223E-2</v>
      </c>
      <c r="AS47" s="454">
        <f>+'Rates in detail'!U47</f>
        <v>0</v>
      </c>
      <c r="AT47" s="454"/>
      <c r="AU47" s="454"/>
      <c r="AV47" s="454">
        <f t="shared" si="28"/>
        <v>1.1100000000000001E-3</v>
      </c>
      <c r="AW47" s="454">
        <f t="shared" si="29"/>
        <v>4.0999999999999999E-4</v>
      </c>
      <c r="AX47" s="454">
        <f t="shared" si="17"/>
        <v>1.5200000000000001E-3</v>
      </c>
      <c r="AZ47" s="1696">
        <v>1.076E-2</v>
      </c>
      <c r="BA47" s="1660">
        <v>2E-3</v>
      </c>
      <c r="BB47" s="1696">
        <v>-3.5659999999999997E-2</v>
      </c>
      <c r="BC47" s="1696">
        <v>-2.4000000000000001E-4</v>
      </c>
      <c r="BE47" s="454">
        <f t="shared" si="18"/>
        <v>1.5200000000000005E-3</v>
      </c>
      <c r="BF47" s="454">
        <f t="shared" si="19"/>
        <v>2.6849999999999999E-2</v>
      </c>
    </row>
    <row r="48" spans="1:58" x14ac:dyDescent="0.25">
      <c r="A48" s="438">
        <f t="shared" si="0"/>
        <v>42</v>
      </c>
      <c r="B48" s="505"/>
      <c r="C48" s="452" t="s">
        <v>7</v>
      </c>
      <c r="D48" s="1611">
        <v>-2.445E-2</v>
      </c>
      <c r="E48" s="1611">
        <v>-3.5659999999999997E-2</v>
      </c>
      <c r="F48" s="1095">
        <f>+'Allocation equal ¢ per therm'!H48</f>
        <v>3.5499999999999997E-2</v>
      </c>
      <c r="G48" s="1095">
        <f>+'Allocation equal ¢ per therm'!K48</f>
        <v>0</v>
      </c>
      <c r="H48" s="1095">
        <f>+'Allocation equal ¢ per therm'!N48</f>
        <v>-1.017E-2</v>
      </c>
      <c r="I48" s="1095">
        <f t="shared" si="10"/>
        <v>2.5329999999999998E-2</v>
      </c>
      <c r="J48" s="1095">
        <f t="shared" si="11"/>
        <v>6.0989999999999996E-2</v>
      </c>
      <c r="K48" s="1095">
        <f>+'Allocation = % of margin'!P48</f>
        <v>1.094E-2</v>
      </c>
      <c r="L48" s="1095">
        <f>+'Allocation = % of margin'!S48</f>
        <v>1E-3</v>
      </c>
      <c r="M48" s="1484">
        <v>0</v>
      </c>
      <c r="N48" s="1484">
        <v>0</v>
      </c>
      <c r="O48" s="454"/>
      <c r="P48" s="454"/>
      <c r="Q48" s="454"/>
      <c r="R48" s="454"/>
      <c r="S48" s="454"/>
      <c r="T48" s="454"/>
      <c r="U48" s="454"/>
      <c r="V48" s="454">
        <f>+'Allocation = % of margin'!V48</f>
        <v>3.6999999999999999E-4</v>
      </c>
      <c r="W48" s="454">
        <f>+'Allocation = % of margin'!Y48</f>
        <v>-1.9000000000000001E-4</v>
      </c>
      <c r="X48" s="454"/>
      <c r="Y48" s="454"/>
      <c r="Z48" s="454"/>
      <c r="AA48" s="454"/>
      <c r="AB48" s="454"/>
      <c r="AC48" s="454"/>
      <c r="AD48" s="454">
        <f t="shared" si="12"/>
        <v>3.7449999999999997E-2</v>
      </c>
      <c r="AE48" s="454">
        <f t="shared" si="30"/>
        <v>6.1899999999999997E-2</v>
      </c>
      <c r="AF48" s="454"/>
      <c r="AG48" s="663">
        <f t="shared" si="31"/>
        <v>2.6509999999999999E-2</v>
      </c>
      <c r="AH48" s="663">
        <f t="shared" si="1"/>
        <v>1.1800000000000001E-3</v>
      </c>
      <c r="AI48" s="663">
        <f t="shared" si="20"/>
        <v>3.5499999999999997E-2</v>
      </c>
      <c r="AJ48" s="663">
        <f t="shared" si="21"/>
        <v>-1.017E-2</v>
      </c>
      <c r="AK48" s="1643">
        <f t="shared" si="15"/>
        <v>1.231E-2</v>
      </c>
      <c r="AL48" s="663">
        <f t="shared" si="24"/>
        <v>3.764E-2</v>
      </c>
      <c r="AM48" s="454">
        <f t="shared" si="25"/>
        <v>1.8999999999999876E-4</v>
      </c>
      <c r="AN48" s="454">
        <f t="shared" si="16"/>
        <v>2.5329999999999998E-2</v>
      </c>
      <c r="AO48" s="454">
        <f t="shared" si="26"/>
        <v>-1.9000000000000001E-4</v>
      </c>
      <c r="AQ48" s="454">
        <f t="shared" si="27"/>
        <v>1.094E-2</v>
      </c>
      <c r="AS48" s="454">
        <f>+'Rates in detail'!U48</f>
        <v>0</v>
      </c>
      <c r="AT48" s="454"/>
      <c r="AU48" s="454"/>
      <c r="AV48" s="454">
        <f t="shared" si="28"/>
        <v>1E-3</v>
      </c>
      <c r="AW48" s="454">
        <f t="shared" si="29"/>
        <v>3.6999999999999999E-4</v>
      </c>
      <c r="AX48" s="454">
        <f t="shared" si="17"/>
        <v>1.3700000000000001E-3</v>
      </c>
      <c r="AZ48" s="1696">
        <v>9.6299999999999997E-3</v>
      </c>
      <c r="BA48" s="1660">
        <v>1.7899999999999999E-3</v>
      </c>
      <c r="BB48" s="1696">
        <v>-3.5659999999999997E-2</v>
      </c>
      <c r="BC48" s="1696">
        <v>-2.1000000000000001E-4</v>
      </c>
      <c r="BE48" s="454">
        <f t="shared" si="18"/>
        <v>1.3699999999999997E-3</v>
      </c>
      <c r="BF48" s="454">
        <f t="shared" si="19"/>
        <v>2.6700000000000002E-2</v>
      </c>
    </row>
    <row r="49" spans="1:58" x14ac:dyDescent="0.25">
      <c r="A49" s="438">
        <f t="shared" si="0"/>
        <v>43</v>
      </c>
      <c r="B49" s="505"/>
      <c r="C49" s="452" t="s">
        <v>8</v>
      </c>
      <c r="D49" s="1611">
        <v>-2.7069999999999997E-2</v>
      </c>
      <c r="E49" s="1611">
        <v>-3.5659999999999997E-2</v>
      </c>
      <c r="F49" s="1095">
        <f>+'Allocation equal ¢ per therm'!H49</f>
        <v>3.5499999999999997E-2</v>
      </c>
      <c r="G49" s="1095">
        <f>+'Allocation equal ¢ per therm'!K49</f>
        <v>0</v>
      </c>
      <c r="H49" s="1095">
        <f>+'Allocation equal ¢ per therm'!N49</f>
        <v>-1.017E-2</v>
      </c>
      <c r="I49" s="1095">
        <f t="shared" si="10"/>
        <v>2.5329999999999998E-2</v>
      </c>
      <c r="J49" s="1095">
        <f t="shared" si="11"/>
        <v>6.0989999999999996E-2</v>
      </c>
      <c r="K49" s="1095">
        <f>+'Allocation = % of margin'!P49</f>
        <v>8.3899999999999999E-3</v>
      </c>
      <c r="L49" s="1095">
        <f>+'Allocation = % of margin'!S49</f>
        <v>7.6000000000000004E-4</v>
      </c>
      <c r="M49" s="1484">
        <v>0</v>
      </c>
      <c r="N49" s="1484">
        <v>0</v>
      </c>
      <c r="O49" s="454"/>
      <c r="P49" s="454"/>
      <c r="Q49" s="454"/>
      <c r="R49" s="454"/>
      <c r="S49" s="454"/>
      <c r="T49" s="454"/>
      <c r="U49" s="454"/>
      <c r="V49" s="454">
        <f>+'Allocation = % of margin'!V49</f>
        <v>2.7999999999999998E-4</v>
      </c>
      <c r="W49" s="454">
        <f>+'Allocation = % of margin'!Y49</f>
        <v>-1.3999999999999999E-4</v>
      </c>
      <c r="X49" s="454"/>
      <c r="Y49" s="454"/>
      <c r="Z49" s="454"/>
      <c r="AA49" s="454"/>
      <c r="AB49" s="454"/>
      <c r="AC49" s="454"/>
      <c r="AD49" s="454">
        <f t="shared" si="12"/>
        <v>3.4619999999999998E-2</v>
      </c>
      <c r="AE49" s="454">
        <f t="shared" si="30"/>
        <v>6.1689999999999995E-2</v>
      </c>
      <c r="AF49" s="454"/>
      <c r="AG49" s="663">
        <f t="shared" si="31"/>
        <v>2.6229999999999996E-2</v>
      </c>
      <c r="AH49" s="663">
        <f t="shared" si="1"/>
        <v>8.9999999999999998E-4</v>
      </c>
      <c r="AI49" s="663">
        <f t="shared" si="20"/>
        <v>3.5499999999999997E-2</v>
      </c>
      <c r="AJ49" s="663">
        <f t="shared" si="21"/>
        <v>-1.017E-2</v>
      </c>
      <c r="AK49" s="1643">
        <f t="shared" si="15"/>
        <v>9.4300000000000009E-3</v>
      </c>
      <c r="AL49" s="663">
        <f t="shared" si="24"/>
        <v>3.4759999999999999E-2</v>
      </c>
      <c r="AM49" s="454">
        <f t="shared" si="25"/>
        <v>1.4000000000000037E-4</v>
      </c>
      <c r="AN49" s="454">
        <f t="shared" si="16"/>
        <v>2.5329999999999998E-2</v>
      </c>
      <c r="AO49" s="454">
        <f t="shared" si="26"/>
        <v>-1.3999999999999999E-4</v>
      </c>
      <c r="AQ49" s="454">
        <f t="shared" si="27"/>
        <v>8.3899999999999999E-3</v>
      </c>
      <c r="AS49" s="454">
        <f>+'Rates in detail'!U49</f>
        <v>0</v>
      </c>
      <c r="AT49" s="454"/>
      <c r="AU49" s="454"/>
      <c r="AV49" s="454">
        <f t="shared" si="28"/>
        <v>7.6000000000000004E-4</v>
      </c>
      <c r="AW49" s="454">
        <f t="shared" si="29"/>
        <v>2.7999999999999998E-4</v>
      </c>
      <c r="AX49" s="454">
        <f t="shared" si="17"/>
        <v>1.0400000000000001E-3</v>
      </c>
      <c r="AZ49" s="1696">
        <v>7.3800000000000003E-3</v>
      </c>
      <c r="BA49" s="1660">
        <v>1.3700000000000001E-3</v>
      </c>
      <c r="BB49" s="1696">
        <v>-3.5659999999999997E-2</v>
      </c>
      <c r="BC49" s="1696">
        <v>-1.6000000000000001E-4</v>
      </c>
      <c r="BE49" s="454">
        <f t="shared" si="18"/>
        <v>1.040000000000001E-3</v>
      </c>
      <c r="BF49" s="454">
        <f t="shared" si="19"/>
        <v>2.6369999999999998E-2</v>
      </c>
    </row>
    <row r="50" spans="1:58" x14ac:dyDescent="0.25">
      <c r="A50" s="438">
        <f t="shared" si="0"/>
        <v>44</v>
      </c>
      <c r="B50" s="505"/>
      <c r="C50" s="452" t="s">
        <v>9</v>
      </c>
      <c r="D50" s="1611">
        <v>-2.8779999999999997E-2</v>
      </c>
      <c r="E50" s="1611">
        <v>-3.5659999999999997E-2</v>
      </c>
      <c r="F50" s="1095">
        <f>+'Allocation equal ¢ per therm'!H50</f>
        <v>3.5499999999999997E-2</v>
      </c>
      <c r="G50" s="1095">
        <f>+'Allocation equal ¢ per therm'!K50</f>
        <v>0</v>
      </c>
      <c r="H50" s="1095">
        <f>+'Allocation equal ¢ per therm'!N50</f>
        <v>-1.017E-2</v>
      </c>
      <c r="I50" s="1095">
        <f t="shared" si="10"/>
        <v>2.5329999999999998E-2</v>
      </c>
      <c r="J50" s="1095">
        <f t="shared" si="11"/>
        <v>6.0989999999999996E-2</v>
      </c>
      <c r="K50" s="1095">
        <f>+'Allocation = % of margin'!P50</f>
        <v>6.7099999999999998E-3</v>
      </c>
      <c r="L50" s="1095">
        <f>+'Allocation = % of margin'!S50</f>
        <v>6.0999999999999997E-4</v>
      </c>
      <c r="M50" s="1484">
        <v>0</v>
      </c>
      <c r="N50" s="1484">
        <v>0</v>
      </c>
      <c r="O50" s="454"/>
      <c r="P50" s="454"/>
      <c r="Q50" s="454"/>
      <c r="R50" s="454"/>
      <c r="S50" s="454"/>
      <c r="T50" s="454"/>
      <c r="U50" s="454"/>
      <c r="V50" s="454">
        <f>+'Allocation = % of margin'!V50</f>
        <v>2.3000000000000001E-4</v>
      </c>
      <c r="W50" s="454">
        <f>+'Allocation = % of margin'!Y50</f>
        <v>-1.2E-4</v>
      </c>
      <c r="X50" s="454"/>
      <c r="Y50" s="454"/>
      <c r="Z50" s="454"/>
      <c r="AA50" s="454"/>
      <c r="AB50" s="454"/>
      <c r="AC50" s="454"/>
      <c r="AD50" s="454">
        <f t="shared" si="12"/>
        <v>3.2759999999999997E-2</v>
      </c>
      <c r="AE50" s="454">
        <f t="shared" si="30"/>
        <v>6.1539999999999997E-2</v>
      </c>
      <c r="AF50" s="454"/>
      <c r="AG50" s="663">
        <f t="shared" si="31"/>
        <v>2.6049999999999997E-2</v>
      </c>
      <c r="AH50" s="663">
        <f t="shared" si="1"/>
        <v>7.1999999999999994E-4</v>
      </c>
      <c r="AI50" s="663">
        <f t="shared" si="20"/>
        <v>3.5499999999999997E-2</v>
      </c>
      <c r="AJ50" s="663">
        <f t="shared" si="21"/>
        <v>-1.017E-2</v>
      </c>
      <c r="AK50" s="1643">
        <f t="shared" si="15"/>
        <v>7.5500000000000003E-3</v>
      </c>
      <c r="AL50" s="663">
        <f t="shared" si="24"/>
        <v>3.288E-2</v>
      </c>
      <c r="AM50" s="454">
        <f t="shared" si="25"/>
        <v>1.2000000000000075E-4</v>
      </c>
      <c r="AN50" s="454">
        <f t="shared" si="16"/>
        <v>2.5329999999999998E-2</v>
      </c>
      <c r="AO50" s="454">
        <f t="shared" si="26"/>
        <v>-1.2E-4</v>
      </c>
      <c r="AQ50" s="454">
        <f t="shared" si="27"/>
        <v>6.7099999999999998E-3</v>
      </c>
      <c r="AS50" s="454">
        <f>+'Rates in detail'!U50</f>
        <v>0</v>
      </c>
      <c r="AT50" s="454"/>
      <c r="AU50" s="454"/>
      <c r="AV50" s="454">
        <f t="shared" si="28"/>
        <v>6.0999999999999997E-4</v>
      </c>
      <c r="AW50" s="454">
        <f t="shared" si="29"/>
        <v>2.3000000000000001E-4</v>
      </c>
      <c r="AX50" s="454">
        <f t="shared" si="17"/>
        <v>8.4000000000000003E-4</v>
      </c>
      <c r="AZ50" s="1696">
        <v>5.9100000000000003E-3</v>
      </c>
      <c r="BA50" s="1660">
        <v>1.0999999999999998E-3</v>
      </c>
      <c r="BB50" s="1696">
        <v>-3.5659999999999997E-2</v>
      </c>
      <c r="BC50" s="1696">
        <v>-1.2999999999999999E-4</v>
      </c>
      <c r="BE50" s="454">
        <f t="shared" si="18"/>
        <v>8.4000000000000047E-4</v>
      </c>
      <c r="BF50" s="454">
        <f t="shared" si="19"/>
        <v>2.6169999999999999E-2</v>
      </c>
    </row>
    <row r="51" spans="1:58" x14ac:dyDescent="0.25">
      <c r="A51" s="438">
        <f t="shared" si="0"/>
        <v>45</v>
      </c>
      <c r="B51" s="505"/>
      <c r="C51" s="452" t="s">
        <v>10</v>
      </c>
      <c r="D51" s="1611">
        <v>-3.1079999999999997E-2</v>
      </c>
      <c r="E51" s="1611">
        <v>-3.5659999999999997E-2</v>
      </c>
      <c r="F51" s="1095">
        <f>+'Allocation equal ¢ per therm'!H51</f>
        <v>3.5499999999999997E-2</v>
      </c>
      <c r="G51" s="1095">
        <f>+'Allocation equal ¢ per therm'!K51</f>
        <v>0</v>
      </c>
      <c r="H51" s="1095">
        <f>+'Allocation equal ¢ per therm'!N51</f>
        <v>-1.017E-2</v>
      </c>
      <c r="I51" s="1095">
        <f t="shared" si="10"/>
        <v>2.5329999999999998E-2</v>
      </c>
      <c r="J51" s="1095">
        <f t="shared" si="11"/>
        <v>6.0989999999999996E-2</v>
      </c>
      <c r="K51" s="1095">
        <f>+'Allocation = % of margin'!P51</f>
        <v>4.4799999999999996E-3</v>
      </c>
      <c r="L51" s="1095">
        <f>+'Allocation = % of margin'!S51</f>
        <v>4.0999999999999999E-4</v>
      </c>
      <c r="M51" s="1484">
        <v>0</v>
      </c>
      <c r="N51" s="1484">
        <v>0</v>
      </c>
      <c r="O51" s="454"/>
      <c r="P51" s="454"/>
      <c r="Q51" s="454"/>
      <c r="R51" s="454"/>
      <c r="S51" s="454"/>
      <c r="T51" s="454"/>
      <c r="U51" s="454"/>
      <c r="V51" s="454">
        <f>+'Allocation = % of margin'!V51</f>
        <v>1.4999999999999999E-4</v>
      </c>
      <c r="W51" s="454">
        <f>+'Allocation = % of margin'!Y51</f>
        <v>-8.0000000000000007E-5</v>
      </c>
      <c r="X51" s="454"/>
      <c r="Y51" s="454"/>
      <c r="Z51" s="454"/>
      <c r="AA51" s="454"/>
      <c r="AB51" s="454"/>
      <c r="AC51" s="454"/>
      <c r="AD51" s="454">
        <f t="shared" si="12"/>
        <v>3.0289999999999997E-2</v>
      </c>
      <c r="AE51" s="454">
        <f t="shared" si="30"/>
        <v>6.1369999999999994E-2</v>
      </c>
      <c r="AF51" s="454"/>
      <c r="AG51" s="663">
        <f t="shared" si="31"/>
        <v>2.581E-2</v>
      </c>
      <c r="AH51" s="663">
        <f t="shared" si="1"/>
        <v>4.7999999999999996E-4</v>
      </c>
      <c r="AI51" s="663">
        <f t="shared" si="20"/>
        <v>3.5499999999999997E-2</v>
      </c>
      <c r="AJ51" s="663">
        <f t="shared" si="21"/>
        <v>-1.017E-2</v>
      </c>
      <c r="AK51" s="1643">
        <f t="shared" si="15"/>
        <v>5.0399999999999993E-3</v>
      </c>
      <c r="AL51" s="663">
        <f t="shared" si="24"/>
        <v>3.0369999999999998E-2</v>
      </c>
      <c r="AM51" s="454">
        <f t="shared" si="25"/>
        <v>7.9999999999999993E-5</v>
      </c>
      <c r="AN51" s="454">
        <f t="shared" si="16"/>
        <v>2.5329999999999998E-2</v>
      </c>
      <c r="AO51" s="454">
        <f t="shared" si="26"/>
        <v>-8.0000000000000007E-5</v>
      </c>
      <c r="AQ51" s="454">
        <f t="shared" si="27"/>
        <v>4.4799999999999996E-3</v>
      </c>
      <c r="AS51" s="454">
        <f>+'Rates in detail'!U51</f>
        <v>0</v>
      </c>
      <c r="AT51" s="454"/>
      <c r="AU51" s="454"/>
      <c r="AV51" s="454">
        <f t="shared" si="28"/>
        <v>4.0999999999999999E-4</v>
      </c>
      <c r="AW51" s="454">
        <f t="shared" si="29"/>
        <v>1.4999999999999999E-4</v>
      </c>
      <c r="AX51" s="454">
        <f t="shared" si="17"/>
        <v>5.5999999999999995E-4</v>
      </c>
      <c r="AZ51" s="1696">
        <v>3.9399999999999999E-3</v>
      </c>
      <c r="BA51" s="1660">
        <v>7.2999999999999996E-4</v>
      </c>
      <c r="BB51" s="1696">
        <v>-3.5659999999999997E-2</v>
      </c>
      <c r="BC51" s="1696">
        <v>-9.0000000000000006E-5</v>
      </c>
      <c r="BE51" s="454">
        <f t="shared" si="18"/>
        <v>5.5999999999999973E-4</v>
      </c>
      <c r="BF51" s="454">
        <f t="shared" si="19"/>
        <v>2.5889999999999996E-2</v>
      </c>
    </row>
    <row r="52" spans="1:58" x14ac:dyDescent="0.25">
      <c r="A52" s="438">
        <f t="shared" si="0"/>
        <v>46</v>
      </c>
      <c r="B52" s="510"/>
      <c r="C52" s="456" t="s">
        <v>11</v>
      </c>
      <c r="D52" s="1609">
        <v>-3.3939999999999998E-2</v>
      </c>
      <c r="E52" s="1609">
        <v>-3.5659999999999997E-2</v>
      </c>
      <c r="F52" s="1060">
        <f>+'Allocation equal ¢ per therm'!H52</f>
        <v>3.5499999999999997E-2</v>
      </c>
      <c r="G52" s="1060">
        <f>+'Allocation equal ¢ per therm'!K52</f>
        <v>0</v>
      </c>
      <c r="H52" s="1060">
        <f>+'Allocation equal ¢ per therm'!N52</f>
        <v>-1.017E-2</v>
      </c>
      <c r="I52" s="1060">
        <f t="shared" si="10"/>
        <v>2.5329999999999998E-2</v>
      </c>
      <c r="J52" s="1060">
        <f t="shared" si="11"/>
        <v>6.0989999999999996E-2</v>
      </c>
      <c r="K52" s="1060">
        <f>+'Allocation = % of margin'!P52</f>
        <v>1.6800000000000001E-3</v>
      </c>
      <c r="L52" s="1060">
        <f>+'Allocation = % of margin'!S52</f>
        <v>1.4999999999999999E-4</v>
      </c>
      <c r="M52" s="1495">
        <v>0</v>
      </c>
      <c r="N52" s="1495">
        <v>0</v>
      </c>
      <c r="O52" s="448"/>
      <c r="P52" s="448"/>
      <c r="Q52" s="448"/>
      <c r="R52" s="448"/>
      <c r="S52" s="448"/>
      <c r="T52" s="448"/>
      <c r="U52" s="448"/>
      <c r="V52" s="448">
        <f>+'Allocation = % of margin'!V52</f>
        <v>6.0000000000000002E-5</v>
      </c>
      <c r="W52" s="448">
        <f>+'Allocation = % of margin'!Y52</f>
        <v>-3.0000000000000001E-5</v>
      </c>
      <c r="X52" s="448"/>
      <c r="Y52" s="448"/>
      <c r="Z52" s="448"/>
      <c r="AA52" s="448"/>
      <c r="AB52" s="448"/>
      <c r="AC52" s="448"/>
      <c r="AD52" s="448">
        <f t="shared" si="12"/>
        <v>2.7189999999999999E-2</v>
      </c>
      <c r="AE52" s="448">
        <f t="shared" si="30"/>
        <v>6.1129999999999997E-2</v>
      </c>
      <c r="AF52" s="454"/>
      <c r="AG52" s="663">
        <f t="shared" si="31"/>
        <v>2.5509999999999998E-2</v>
      </c>
      <c r="AH52" s="663">
        <f t="shared" si="1"/>
        <v>1.7999999999999998E-4</v>
      </c>
      <c r="AI52" s="663">
        <f t="shared" si="20"/>
        <v>3.5499999999999997E-2</v>
      </c>
      <c r="AJ52" s="663">
        <f t="shared" si="21"/>
        <v>-1.017E-2</v>
      </c>
      <c r="AK52" s="1643">
        <f t="shared" si="15"/>
        <v>1.89E-3</v>
      </c>
      <c r="AL52" s="663">
        <f t="shared" si="24"/>
        <v>2.7219999999999998E-2</v>
      </c>
      <c r="AM52" s="454">
        <f t="shared" si="25"/>
        <v>2.9999999999999997E-5</v>
      </c>
      <c r="AN52" s="454">
        <f t="shared" si="16"/>
        <v>2.5329999999999998E-2</v>
      </c>
      <c r="AO52" s="454">
        <f t="shared" si="26"/>
        <v>-3.0000000000000001E-5</v>
      </c>
      <c r="AQ52" s="454">
        <f t="shared" si="27"/>
        <v>1.6800000000000001E-3</v>
      </c>
      <c r="AS52" s="454">
        <f>+'Rates in detail'!U52</f>
        <v>0</v>
      </c>
      <c r="AT52" s="454"/>
      <c r="AU52" s="454"/>
      <c r="AV52" s="454">
        <f t="shared" si="28"/>
        <v>1.4999999999999999E-4</v>
      </c>
      <c r="AW52" s="454">
        <f t="shared" si="29"/>
        <v>6.0000000000000002E-5</v>
      </c>
      <c r="AX52" s="454">
        <f t="shared" si="17"/>
        <v>2.0999999999999998E-4</v>
      </c>
      <c r="AZ52" s="1696">
        <v>1.48E-3</v>
      </c>
      <c r="BA52" s="1660">
        <v>2.7E-4</v>
      </c>
      <c r="BB52" s="1696">
        <v>-3.5659999999999997E-2</v>
      </c>
      <c r="BC52" s="1696">
        <v>-3.0000000000000001E-5</v>
      </c>
      <c r="BE52" s="454">
        <f t="shared" si="18"/>
        <v>2.099999999999999E-4</v>
      </c>
      <c r="BF52" s="454">
        <f t="shared" si="19"/>
        <v>2.5539999999999997E-2</v>
      </c>
    </row>
    <row r="53" spans="1:58" x14ac:dyDescent="0.25">
      <c r="A53" s="438">
        <f t="shared" si="0"/>
        <v>47</v>
      </c>
      <c r="B53" s="505" t="s">
        <v>862</v>
      </c>
      <c r="C53" s="452" t="s">
        <v>6</v>
      </c>
      <c r="D53" s="1611">
        <v>-3.3389999999999996E-2</v>
      </c>
      <c r="E53" s="1611">
        <v>-3.5659999999999997E-2</v>
      </c>
      <c r="F53" s="1095">
        <f>+'Allocation equal ¢ per therm'!H53</f>
        <v>3.5499999999999997E-2</v>
      </c>
      <c r="G53" s="1095">
        <f>+'Allocation equal ¢ per therm'!K53</f>
        <v>0</v>
      </c>
      <c r="H53" s="1095">
        <f>+'Allocation equal ¢ per therm'!N53</f>
        <v>-1.017E-2</v>
      </c>
      <c r="I53" s="1095">
        <f t="shared" si="10"/>
        <v>2.5329999999999998E-2</v>
      </c>
      <c r="J53" s="1095">
        <f t="shared" si="11"/>
        <v>6.0989999999999996E-2</v>
      </c>
      <c r="K53" s="1095">
        <f>+'Allocation = % of margin'!P53</f>
        <v>0</v>
      </c>
      <c r="L53" s="1095">
        <f>+'Allocation = % of margin'!S53</f>
        <v>1.97E-3</v>
      </c>
      <c r="M53" s="1484">
        <v>0</v>
      </c>
      <c r="N53" s="1484">
        <v>0</v>
      </c>
      <c r="O53" s="454"/>
      <c r="P53" s="454"/>
      <c r="Q53" s="454"/>
      <c r="R53" s="454"/>
      <c r="S53" s="454"/>
      <c r="T53" s="454"/>
      <c r="U53" s="454"/>
      <c r="V53" s="454">
        <f>+'Allocation = % of margin'!V53</f>
        <v>7.3999999999999999E-4</v>
      </c>
      <c r="W53" s="454">
        <f>+'Allocation = % of margin'!Y53</f>
        <v>-3.6999999999999999E-4</v>
      </c>
      <c r="X53" s="454"/>
      <c r="Y53" s="454"/>
      <c r="Z53" s="454"/>
      <c r="AA53" s="454"/>
      <c r="AB53" s="454"/>
      <c r="AC53" s="454"/>
      <c r="AD53" s="454">
        <f t="shared" si="12"/>
        <v>2.7669999999999997E-2</v>
      </c>
      <c r="AE53" s="454">
        <f t="shared" si="13"/>
        <v>6.1059999999999989E-2</v>
      </c>
      <c r="AF53" s="454"/>
      <c r="AG53" s="663">
        <f t="shared" si="31"/>
        <v>2.7669999999999997E-2</v>
      </c>
      <c r="AH53" s="663">
        <f t="shared" si="1"/>
        <v>2.3400000000000001E-3</v>
      </c>
      <c r="AI53" s="663">
        <f t="shared" si="20"/>
        <v>3.5499999999999997E-2</v>
      </c>
      <c r="AJ53" s="663">
        <f t="shared" si="21"/>
        <v>-1.017E-2</v>
      </c>
      <c r="AK53" s="1643">
        <f t="shared" si="15"/>
        <v>2.7099999999999997E-3</v>
      </c>
      <c r="AL53" s="663">
        <f t="shared" si="24"/>
        <v>2.8039999999999999E-2</v>
      </c>
      <c r="AM53" s="454">
        <f t="shared" si="25"/>
        <v>3.700000000000001E-4</v>
      </c>
      <c r="AN53" s="454">
        <f t="shared" si="16"/>
        <v>2.5329999999999998E-2</v>
      </c>
      <c r="AO53" s="454">
        <f t="shared" si="26"/>
        <v>-3.6999999999999999E-4</v>
      </c>
      <c r="AQ53" s="454">
        <f t="shared" si="27"/>
        <v>0</v>
      </c>
      <c r="AS53" s="454">
        <f>+'Rates in detail'!U53</f>
        <v>0</v>
      </c>
      <c r="AT53" s="454"/>
      <c r="AU53" s="454"/>
      <c r="AV53" s="454">
        <f t="shared" si="28"/>
        <v>1.97E-3</v>
      </c>
      <c r="AW53" s="454">
        <f t="shared" si="29"/>
        <v>7.3999999999999999E-4</v>
      </c>
      <c r="AX53" s="454">
        <f t="shared" si="17"/>
        <v>2.7099999999999997E-3</v>
      </c>
      <c r="AZ53" s="1696">
        <v>0</v>
      </c>
      <c r="BA53" s="1660">
        <v>2.5799999999999998E-3</v>
      </c>
      <c r="BB53" s="1696">
        <v>-3.5659999999999997E-2</v>
      </c>
      <c r="BC53" s="1696">
        <v>-3.1E-4</v>
      </c>
      <c r="BE53" s="454">
        <f t="shared" si="18"/>
        <v>2.7099999999999997E-3</v>
      </c>
      <c r="BF53" s="454">
        <f t="shared" si="19"/>
        <v>2.8039999999999999E-2</v>
      </c>
    </row>
    <row r="54" spans="1:58" x14ac:dyDescent="0.25">
      <c r="A54" s="438">
        <f t="shared" si="0"/>
        <v>48</v>
      </c>
      <c r="B54" s="505"/>
      <c r="C54" s="452" t="s">
        <v>7</v>
      </c>
      <c r="D54" s="1611">
        <v>-3.363E-2</v>
      </c>
      <c r="E54" s="1611">
        <v>-3.5659999999999997E-2</v>
      </c>
      <c r="F54" s="1095">
        <f>+'Allocation equal ¢ per therm'!H54</f>
        <v>3.5499999999999997E-2</v>
      </c>
      <c r="G54" s="1095">
        <f>+'Allocation equal ¢ per therm'!K54</f>
        <v>0</v>
      </c>
      <c r="H54" s="1095">
        <f>+'Allocation equal ¢ per therm'!N54</f>
        <v>-1.017E-2</v>
      </c>
      <c r="I54" s="1095">
        <f t="shared" si="10"/>
        <v>2.5329999999999998E-2</v>
      </c>
      <c r="J54" s="1095">
        <f t="shared" si="11"/>
        <v>6.0989999999999996E-2</v>
      </c>
      <c r="K54" s="1095">
        <f>+'Allocation = % of margin'!P54</f>
        <v>0</v>
      </c>
      <c r="L54" s="1095">
        <f>+'Allocation = % of margin'!S54</f>
        <v>1.7700000000000001E-3</v>
      </c>
      <c r="M54" s="1484">
        <v>0</v>
      </c>
      <c r="N54" s="1484">
        <v>0</v>
      </c>
      <c r="O54" s="454"/>
      <c r="P54" s="454"/>
      <c r="Q54" s="454"/>
      <c r="R54" s="454"/>
      <c r="S54" s="454"/>
      <c r="T54" s="454"/>
      <c r="U54" s="454"/>
      <c r="V54" s="454">
        <f>+'Allocation = % of margin'!V54</f>
        <v>6.6E-4</v>
      </c>
      <c r="W54" s="454">
        <f>+'Allocation = % of margin'!Y54</f>
        <v>-3.3E-4</v>
      </c>
      <c r="X54" s="454"/>
      <c r="Y54" s="454"/>
      <c r="Z54" s="454"/>
      <c r="AA54" s="454"/>
      <c r="AB54" s="454"/>
      <c r="AC54" s="454"/>
      <c r="AD54" s="454">
        <f t="shared" si="12"/>
        <v>2.743E-2</v>
      </c>
      <c r="AE54" s="454">
        <f t="shared" si="13"/>
        <v>6.1060000000000003E-2</v>
      </c>
      <c r="AF54" s="454"/>
      <c r="AG54" s="663">
        <f t="shared" si="31"/>
        <v>2.743E-2</v>
      </c>
      <c r="AH54" s="663">
        <f t="shared" si="1"/>
        <v>2.1000000000000003E-3</v>
      </c>
      <c r="AI54" s="663">
        <f t="shared" ref="AI54:AI67" si="32">+F54</f>
        <v>3.5499999999999997E-2</v>
      </c>
      <c r="AJ54" s="663">
        <f t="shared" ref="AJ54:AJ67" si="33">+G54+H54</f>
        <v>-1.017E-2</v>
      </c>
      <c r="AK54" s="1643">
        <f t="shared" si="15"/>
        <v>2.4299999999999999E-3</v>
      </c>
      <c r="AL54" s="663">
        <f t="shared" si="24"/>
        <v>2.776E-2</v>
      </c>
      <c r="AM54" s="454">
        <f t="shared" si="25"/>
        <v>3.3E-4</v>
      </c>
      <c r="AN54" s="454">
        <f t="shared" si="16"/>
        <v>2.5329999999999998E-2</v>
      </c>
      <c r="AO54" s="454">
        <f t="shared" si="26"/>
        <v>-3.3E-4</v>
      </c>
      <c r="AQ54" s="454">
        <f t="shared" si="27"/>
        <v>0</v>
      </c>
      <c r="AS54" s="454">
        <f>+'Rates in detail'!U54</f>
        <v>0</v>
      </c>
      <c r="AT54" s="454"/>
      <c r="AU54" s="454"/>
      <c r="AV54" s="454">
        <f t="shared" si="28"/>
        <v>1.7700000000000001E-3</v>
      </c>
      <c r="AW54" s="454">
        <f t="shared" si="29"/>
        <v>6.6E-4</v>
      </c>
      <c r="AX54" s="454">
        <f t="shared" si="17"/>
        <v>2.4299999999999999E-3</v>
      </c>
      <c r="AZ54" s="1696">
        <v>0</v>
      </c>
      <c r="BA54" s="1660">
        <v>2.31E-3</v>
      </c>
      <c r="BB54" s="1696">
        <v>-3.5659999999999997E-2</v>
      </c>
      <c r="BC54" s="1696">
        <v>-2.7999999999999998E-4</v>
      </c>
      <c r="BE54" s="454">
        <f t="shared" si="18"/>
        <v>2.4299999999999999E-3</v>
      </c>
      <c r="BF54" s="454">
        <f t="shared" si="19"/>
        <v>2.776E-2</v>
      </c>
    </row>
    <row r="55" spans="1:58" x14ac:dyDescent="0.25">
      <c r="A55" s="438">
        <f t="shared" ref="A55:A75" si="34">+A54+1</f>
        <v>49</v>
      </c>
      <c r="B55" s="505"/>
      <c r="C55" s="452" t="s">
        <v>8</v>
      </c>
      <c r="D55" s="1611">
        <v>-3.4099999999999998E-2</v>
      </c>
      <c r="E55" s="1611">
        <v>-3.5659999999999997E-2</v>
      </c>
      <c r="F55" s="1095">
        <f>+'Allocation equal ¢ per therm'!H55</f>
        <v>3.5499999999999997E-2</v>
      </c>
      <c r="G55" s="1095">
        <f>+'Allocation equal ¢ per therm'!K55</f>
        <v>0</v>
      </c>
      <c r="H55" s="1095">
        <f>+'Allocation equal ¢ per therm'!N55</f>
        <v>-1.017E-2</v>
      </c>
      <c r="I55" s="1095">
        <f t="shared" si="10"/>
        <v>2.5329999999999998E-2</v>
      </c>
      <c r="J55" s="1095">
        <f t="shared" si="11"/>
        <v>6.0989999999999996E-2</v>
      </c>
      <c r="K55" s="1095">
        <f>+'Allocation = % of margin'!P55</f>
        <v>0</v>
      </c>
      <c r="L55" s="1095">
        <f>+'Allocation = % of margin'!S55</f>
        <v>1.3600000000000001E-3</v>
      </c>
      <c r="M55" s="1484">
        <v>0</v>
      </c>
      <c r="N55" s="1484">
        <v>0</v>
      </c>
      <c r="O55" s="454"/>
      <c r="P55" s="454"/>
      <c r="Q55" s="454"/>
      <c r="R55" s="454"/>
      <c r="S55" s="454"/>
      <c r="T55" s="454"/>
      <c r="U55" s="454"/>
      <c r="V55" s="454">
        <f>+'Allocation = % of margin'!V55</f>
        <v>5.1000000000000004E-4</v>
      </c>
      <c r="W55" s="454">
        <f>+'Allocation = % of margin'!Y55</f>
        <v>-2.5999999999999998E-4</v>
      </c>
      <c r="X55" s="454"/>
      <c r="Y55" s="454"/>
      <c r="Z55" s="454"/>
      <c r="AA55" s="454"/>
      <c r="AB55" s="454"/>
      <c r="AC55" s="454"/>
      <c r="AD55" s="454">
        <f t="shared" si="12"/>
        <v>2.6939999999999999E-2</v>
      </c>
      <c r="AE55" s="454">
        <f t="shared" si="13"/>
        <v>6.1039999999999997E-2</v>
      </c>
      <c r="AF55" s="454"/>
      <c r="AG55" s="663">
        <f t="shared" si="31"/>
        <v>2.6939999999999999E-2</v>
      </c>
      <c r="AH55" s="663">
        <f t="shared" si="1"/>
        <v>1.6100000000000001E-3</v>
      </c>
      <c r="AI55" s="663">
        <f t="shared" si="32"/>
        <v>3.5499999999999997E-2</v>
      </c>
      <c r="AJ55" s="663">
        <f t="shared" si="33"/>
        <v>-1.017E-2</v>
      </c>
      <c r="AK55" s="1643">
        <f t="shared" si="15"/>
        <v>1.8700000000000001E-3</v>
      </c>
      <c r="AL55" s="663">
        <f t="shared" si="24"/>
        <v>2.7199999999999998E-2</v>
      </c>
      <c r="AM55" s="454">
        <f t="shared" si="25"/>
        <v>2.5999999999999981E-4</v>
      </c>
      <c r="AN55" s="454">
        <f t="shared" si="16"/>
        <v>2.5329999999999998E-2</v>
      </c>
      <c r="AO55" s="454">
        <f t="shared" si="26"/>
        <v>-2.5999999999999998E-4</v>
      </c>
      <c r="AQ55" s="454">
        <f t="shared" si="27"/>
        <v>0</v>
      </c>
      <c r="AS55" s="454">
        <f>+'Rates in detail'!U55</f>
        <v>0</v>
      </c>
      <c r="AT55" s="454"/>
      <c r="AU55" s="454"/>
      <c r="AV55" s="454">
        <f t="shared" si="28"/>
        <v>1.3600000000000001E-3</v>
      </c>
      <c r="AW55" s="454">
        <f t="shared" si="29"/>
        <v>5.1000000000000004E-4</v>
      </c>
      <c r="AX55" s="454">
        <f t="shared" si="17"/>
        <v>1.8700000000000001E-3</v>
      </c>
      <c r="AZ55" s="1696">
        <v>0</v>
      </c>
      <c r="BA55" s="1660">
        <v>1.7700000000000001E-3</v>
      </c>
      <c r="BB55" s="1696">
        <v>-3.5659999999999997E-2</v>
      </c>
      <c r="BC55" s="1696">
        <v>-2.1000000000000001E-4</v>
      </c>
      <c r="BE55" s="454">
        <f t="shared" si="18"/>
        <v>1.8700000000000001E-3</v>
      </c>
      <c r="BF55" s="454">
        <f t="shared" si="19"/>
        <v>2.7199999999999998E-2</v>
      </c>
    </row>
    <row r="56" spans="1:58" x14ac:dyDescent="0.25">
      <c r="A56" s="438">
        <f t="shared" si="34"/>
        <v>50</v>
      </c>
      <c r="B56" s="505"/>
      <c r="C56" s="452" t="s">
        <v>9</v>
      </c>
      <c r="D56" s="1611">
        <v>-3.4409999999999996E-2</v>
      </c>
      <c r="E56" s="1611">
        <v>-3.5659999999999997E-2</v>
      </c>
      <c r="F56" s="1095">
        <f>+'Allocation equal ¢ per therm'!H56</f>
        <v>3.5499999999999997E-2</v>
      </c>
      <c r="G56" s="1095">
        <f>+'Allocation equal ¢ per therm'!K56</f>
        <v>0</v>
      </c>
      <c r="H56" s="1095">
        <f>+'Allocation equal ¢ per therm'!N56</f>
        <v>-1.017E-2</v>
      </c>
      <c r="I56" s="1095">
        <f t="shared" si="10"/>
        <v>2.5329999999999998E-2</v>
      </c>
      <c r="J56" s="1095">
        <f t="shared" si="11"/>
        <v>6.0989999999999996E-2</v>
      </c>
      <c r="K56" s="1095">
        <f>+'Allocation = % of margin'!P56</f>
        <v>0</v>
      </c>
      <c r="L56" s="1095">
        <f>+'Allocation = % of margin'!S56</f>
        <v>1.08E-3</v>
      </c>
      <c r="M56" s="1484">
        <v>0</v>
      </c>
      <c r="N56" s="1484">
        <v>0</v>
      </c>
      <c r="O56" s="454"/>
      <c r="P56" s="454"/>
      <c r="Q56" s="454"/>
      <c r="R56" s="454"/>
      <c r="S56" s="454"/>
      <c r="T56" s="454"/>
      <c r="U56" s="454"/>
      <c r="V56" s="454">
        <f>+'Allocation = % of margin'!V56</f>
        <v>4.0000000000000002E-4</v>
      </c>
      <c r="W56" s="454">
        <f>+'Allocation = % of margin'!Y56</f>
        <v>-2.0000000000000001E-4</v>
      </c>
      <c r="X56" s="454"/>
      <c r="Y56" s="454"/>
      <c r="Z56" s="454"/>
      <c r="AA56" s="454"/>
      <c r="AB56" s="454"/>
      <c r="AC56" s="454"/>
      <c r="AD56" s="454">
        <f t="shared" si="12"/>
        <v>2.6609999999999998E-2</v>
      </c>
      <c r="AE56" s="454">
        <f t="shared" si="13"/>
        <v>6.1019999999999991E-2</v>
      </c>
      <c r="AF56" s="454"/>
      <c r="AG56" s="663">
        <f t="shared" si="31"/>
        <v>2.6609999999999998E-2</v>
      </c>
      <c r="AH56" s="663">
        <f t="shared" si="1"/>
        <v>1.2800000000000001E-3</v>
      </c>
      <c r="AI56" s="663">
        <f t="shared" si="32"/>
        <v>3.5499999999999997E-2</v>
      </c>
      <c r="AJ56" s="663">
        <f t="shared" si="33"/>
        <v>-1.017E-2</v>
      </c>
      <c r="AK56" s="1643">
        <f t="shared" si="15"/>
        <v>1.48E-3</v>
      </c>
      <c r="AL56" s="663">
        <f t="shared" si="24"/>
        <v>2.6809999999999997E-2</v>
      </c>
      <c r="AM56" s="454">
        <f t="shared" si="25"/>
        <v>2.0000000000000009E-4</v>
      </c>
      <c r="AN56" s="454">
        <f t="shared" si="16"/>
        <v>2.5329999999999998E-2</v>
      </c>
      <c r="AO56" s="454">
        <f t="shared" si="26"/>
        <v>-2.0000000000000001E-4</v>
      </c>
      <c r="AQ56" s="454">
        <f t="shared" si="27"/>
        <v>0</v>
      </c>
      <c r="AS56" s="454">
        <f>+'Rates in detail'!U56</f>
        <v>0</v>
      </c>
      <c r="AT56" s="454"/>
      <c r="AU56" s="454"/>
      <c r="AV56" s="454">
        <f t="shared" si="28"/>
        <v>1.08E-3</v>
      </c>
      <c r="AW56" s="454">
        <f t="shared" si="29"/>
        <v>4.0000000000000002E-4</v>
      </c>
      <c r="AX56" s="454">
        <f t="shared" si="17"/>
        <v>1.48E-3</v>
      </c>
      <c r="AZ56" s="1696">
        <v>0</v>
      </c>
      <c r="BA56" s="1660">
        <v>1.42E-3</v>
      </c>
      <c r="BB56" s="1696">
        <v>-3.5659999999999997E-2</v>
      </c>
      <c r="BC56" s="1696">
        <v>-1.7000000000000001E-4</v>
      </c>
      <c r="BE56" s="454">
        <f t="shared" si="18"/>
        <v>1.48E-3</v>
      </c>
      <c r="BF56" s="454">
        <f t="shared" si="19"/>
        <v>2.6809999999999997E-2</v>
      </c>
    </row>
    <row r="57" spans="1:58" x14ac:dyDescent="0.25">
      <c r="A57" s="438">
        <f t="shared" si="34"/>
        <v>51</v>
      </c>
      <c r="B57" s="505"/>
      <c r="C57" s="452" t="s">
        <v>10</v>
      </c>
      <c r="D57" s="1611">
        <v>-3.483E-2</v>
      </c>
      <c r="E57" s="1611">
        <v>-3.5659999999999997E-2</v>
      </c>
      <c r="F57" s="1095">
        <f>+'Allocation equal ¢ per therm'!H57</f>
        <v>3.5499999999999997E-2</v>
      </c>
      <c r="G57" s="1095">
        <f>+'Allocation equal ¢ per therm'!K57</f>
        <v>0</v>
      </c>
      <c r="H57" s="1095">
        <f>+'Allocation equal ¢ per therm'!N57</f>
        <v>-1.017E-2</v>
      </c>
      <c r="I57" s="1095">
        <f t="shared" si="10"/>
        <v>2.5329999999999998E-2</v>
      </c>
      <c r="J57" s="1095">
        <f t="shared" si="11"/>
        <v>6.0989999999999996E-2</v>
      </c>
      <c r="K57" s="1095">
        <f>+'Allocation = % of margin'!P57</f>
        <v>0</v>
      </c>
      <c r="L57" s="1095">
        <f>+'Allocation = % of margin'!S57</f>
        <v>7.2000000000000005E-4</v>
      </c>
      <c r="M57" s="1484">
        <v>0</v>
      </c>
      <c r="N57" s="1484">
        <v>0</v>
      </c>
      <c r="O57" s="454"/>
      <c r="P57" s="454"/>
      <c r="Q57" s="454"/>
      <c r="R57" s="454"/>
      <c r="S57" s="454"/>
      <c r="T57" s="454"/>
      <c r="U57" s="454"/>
      <c r="V57" s="454">
        <f>+'Allocation = % of margin'!V57</f>
        <v>2.7E-4</v>
      </c>
      <c r="W57" s="454">
        <f>+'Allocation = % of margin'!Y57</f>
        <v>-1.3999999999999999E-4</v>
      </c>
      <c r="X57" s="454"/>
      <c r="Y57" s="454"/>
      <c r="Z57" s="454"/>
      <c r="AA57" s="454"/>
      <c r="AB57" s="454"/>
      <c r="AC57" s="454"/>
      <c r="AD57" s="454">
        <f t="shared" si="12"/>
        <v>2.6179999999999998E-2</v>
      </c>
      <c r="AE57" s="454">
        <f t="shared" si="13"/>
        <v>6.1009999999999995E-2</v>
      </c>
      <c r="AF57" s="454"/>
      <c r="AG57" s="663">
        <f t="shared" si="31"/>
        <v>2.6179999999999998E-2</v>
      </c>
      <c r="AH57" s="663">
        <f t="shared" si="1"/>
        <v>8.5000000000000006E-4</v>
      </c>
      <c r="AI57" s="663">
        <f t="shared" si="32"/>
        <v>3.5499999999999997E-2</v>
      </c>
      <c r="AJ57" s="663">
        <f t="shared" si="33"/>
        <v>-1.017E-2</v>
      </c>
      <c r="AK57" s="1643">
        <f t="shared" si="15"/>
        <v>9.8999999999999999E-4</v>
      </c>
      <c r="AL57" s="663">
        <f t="shared" si="24"/>
        <v>2.632E-2</v>
      </c>
      <c r="AM57" s="454">
        <f t="shared" si="25"/>
        <v>1.3999999999999993E-4</v>
      </c>
      <c r="AN57" s="454">
        <f t="shared" si="16"/>
        <v>2.5329999999999998E-2</v>
      </c>
      <c r="AO57" s="454">
        <f t="shared" si="26"/>
        <v>-1.3999999999999999E-4</v>
      </c>
      <c r="AQ57" s="454">
        <f t="shared" si="27"/>
        <v>0</v>
      </c>
      <c r="AS57" s="454">
        <f>+'Rates in detail'!U57</f>
        <v>0</v>
      </c>
      <c r="AT57" s="454"/>
      <c r="AU57" s="454"/>
      <c r="AV57" s="454">
        <f t="shared" si="28"/>
        <v>7.2000000000000005E-4</v>
      </c>
      <c r="AW57" s="454">
        <f t="shared" si="29"/>
        <v>2.7E-4</v>
      </c>
      <c r="AX57" s="454">
        <f t="shared" si="17"/>
        <v>9.8999999999999999E-4</v>
      </c>
      <c r="AZ57" s="1696">
        <v>0</v>
      </c>
      <c r="BA57" s="1660">
        <v>9.4000000000000008E-4</v>
      </c>
      <c r="BB57" s="1696">
        <v>-3.5659999999999997E-2</v>
      </c>
      <c r="BC57" s="1696">
        <v>-1.1E-4</v>
      </c>
      <c r="BE57" s="454">
        <f t="shared" si="18"/>
        <v>9.8999999999999999E-4</v>
      </c>
      <c r="BF57" s="454">
        <f t="shared" si="19"/>
        <v>2.632E-2</v>
      </c>
    </row>
    <row r="58" spans="1:58" x14ac:dyDescent="0.25">
      <c r="A58" s="438">
        <f t="shared" si="34"/>
        <v>52</v>
      </c>
      <c r="B58" s="510"/>
      <c r="C58" s="456" t="s">
        <v>11</v>
      </c>
      <c r="D58" s="1609">
        <v>-3.5339999999999996E-2</v>
      </c>
      <c r="E58" s="1609">
        <v>-3.5659999999999997E-2</v>
      </c>
      <c r="F58" s="1060">
        <f>+'Allocation equal ¢ per therm'!H58</f>
        <v>3.5499999999999997E-2</v>
      </c>
      <c r="G58" s="1060">
        <f>+'Allocation equal ¢ per therm'!K58</f>
        <v>0</v>
      </c>
      <c r="H58" s="1060">
        <f>+'Allocation equal ¢ per therm'!N58</f>
        <v>-1.017E-2</v>
      </c>
      <c r="I58" s="1060">
        <f t="shared" si="10"/>
        <v>2.5329999999999998E-2</v>
      </c>
      <c r="J58" s="1060">
        <f t="shared" si="11"/>
        <v>6.0989999999999996E-2</v>
      </c>
      <c r="K58" s="1060">
        <f>+'Allocation = % of margin'!P58</f>
        <v>0</v>
      </c>
      <c r="L58" s="1060">
        <f>+'Allocation = % of margin'!S58</f>
        <v>2.7E-4</v>
      </c>
      <c r="M58" s="1495">
        <v>0</v>
      </c>
      <c r="N58" s="1495">
        <v>0</v>
      </c>
      <c r="O58" s="448"/>
      <c r="P58" s="448"/>
      <c r="Q58" s="448"/>
      <c r="R58" s="448"/>
      <c r="S58" s="448"/>
      <c r="T58" s="448"/>
      <c r="U58" s="448"/>
      <c r="V58" s="448">
        <f>+'Allocation = % of margin'!V58</f>
        <v>1E-4</v>
      </c>
      <c r="W58" s="448">
        <f>+'Allocation = % of margin'!Y58</f>
        <v>-5.0000000000000002E-5</v>
      </c>
      <c r="X58" s="448"/>
      <c r="Y58" s="448"/>
      <c r="Z58" s="448"/>
      <c r="AA58" s="448"/>
      <c r="AB58" s="448"/>
      <c r="AC58" s="448"/>
      <c r="AD58" s="448">
        <f t="shared" si="12"/>
        <v>2.5649999999999999E-2</v>
      </c>
      <c r="AE58" s="448">
        <f t="shared" si="13"/>
        <v>6.0989999999999996E-2</v>
      </c>
      <c r="AF58" s="454"/>
      <c r="AG58" s="663">
        <f t="shared" si="31"/>
        <v>2.5649999999999999E-2</v>
      </c>
      <c r="AH58" s="663">
        <f t="shared" ref="AH58:AH66" si="35">+W58+V58+L58</f>
        <v>3.2000000000000003E-4</v>
      </c>
      <c r="AI58" s="663">
        <f t="shared" si="32"/>
        <v>3.5499999999999997E-2</v>
      </c>
      <c r="AJ58" s="663">
        <f t="shared" si="33"/>
        <v>-1.017E-2</v>
      </c>
      <c r="AK58" s="1643">
        <f t="shared" si="15"/>
        <v>3.6999999999999999E-4</v>
      </c>
      <c r="AL58" s="663">
        <f t="shared" si="24"/>
        <v>2.5699999999999997E-2</v>
      </c>
      <c r="AM58" s="454">
        <f t="shared" si="25"/>
        <v>5.0000000000000023E-5</v>
      </c>
      <c r="AN58" s="454">
        <f t="shared" si="16"/>
        <v>2.5329999999999998E-2</v>
      </c>
      <c r="AO58" s="454">
        <f t="shared" si="26"/>
        <v>-5.0000000000000002E-5</v>
      </c>
      <c r="AQ58" s="454">
        <f t="shared" si="27"/>
        <v>0</v>
      </c>
      <c r="AS58" s="454">
        <f>+'Rates in detail'!U58</f>
        <v>0</v>
      </c>
      <c r="AT58" s="454"/>
      <c r="AU58" s="454"/>
      <c r="AV58" s="454">
        <f t="shared" si="28"/>
        <v>2.7E-4</v>
      </c>
      <c r="AW58" s="454">
        <f t="shared" si="29"/>
        <v>1E-4</v>
      </c>
      <c r="AX58" s="454">
        <f t="shared" si="17"/>
        <v>3.6999999999999999E-4</v>
      </c>
      <c r="AZ58" s="1696">
        <v>0</v>
      </c>
      <c r="BA58" s="1660">
        <v>3.5999999999999997E-4</v>
      </c>
      <c r="BB58" s="1696">
        <v>-3.5659999999999997E-2</v>
      </c>
      <c r="BC58" s="1696">
        <v>-4.0000000000000003E-5</v>
      </c>
      <c r="BE58" s="454">
        <f t="shared" si="18"/>
        <v>3.6999999999999999E-4</v>
      </c>
      <c r="BF58" s="454">
        <f t="shared" si="19"/>
        <v>2.5699999999999997E-2</v>
      </c>
    </row>
    <row r="59" spans="1:58" x14ac:dyDescent="0.25">
      <c r="A59" s="438">
        <f t="shared" si="34"/>
        <v>53</v>
      </c>
      <c r="B59" s="505" t="s">
        <v>166</v>
      </c>
      <c r="C59" s="452" t="s">
        <v>6</v>
      </c>
      <c r="D59" s="1611">
        <v>-2.1000000000000001E-4</v>
      </c>
      <c r="E59" s="1611">
        <v>0</v>
      </c>
      <c r="F59" s="1095">
        <f>+'Allocation equal ¢ per therm'!H59</f>
        <v>0</v>
      </c>
      <c r="G59" s="1095">
        <f>+'Allocation equal ¢ per therm'!K59</f>
        <v>0</v>
      </c>
      <c r="H59" s="1095">
        <f>+'Allocation equal ¢ per therm'!N59</f>
        <v>0</v>
      </c>
      <c r="I59" s="1095">
        <f t="shared" si="10"/>
        <v>0</v>
      </c>
      <c r="J59" s="1095">
        <f t="shared" si="11"/>
        <v>0</v>
      </c>
      <c r="K59" s="1095">
        <f>+'Allocation = % of margin'!P59</f>
        <v>0</v>
      </c>
      <c r="L59" s="1095">
        <f>+'Allocation = % of margin'!S59</f>
        <v>0</v>
      </c>
      <c r="M59" s="1484">
        <v>0</v>
      </c>
      <c r="N59" s="1484">
        <v>0</v>
      </c>
      <c r="O59" s="454"/>
      <c r="P59" s="454"/>
      <c r="Q59" s="454"/>
      <c r="R59" s="454"/>
      <c r="S59" s="454"/>
      <c r="T59" s="454"/>
      <c r="U59" s="454"/>
      <c r="V59" s="454">
        <f>+'Allocation = % of margin'!V59</f>
        <v>0</v>
      </c>
      <c r="W59" s="454">
        <f>+'Allocation = % of margin'!Y59</f>
        <v>-2.0000000000000001E-4</v>
      </c>
      <c r="X59" s="454"/>
      <c r="Y59" s="454"/>
      <c r="Z59" s="454"/>
      <c r="AA59" s="454"/>
      <c r="AB59" s="454"/>
      <c r="AC59" s="454"/>
      <c r="AD59" s="454">
        <f t="shared" si="12"/>
        <v>-2.0000000000000001E-4</v>
      </c>
      <c r="AE59" s="454">
        <f t="shared" si="13"/>
        <v>9.9999999999999991E-6</v>
      </c>
      <c r="AF59" s="454"/>
      <c r="AG59" s="663">
        <f t="shared" si="31"/>
        <v>-2.0000000000000001E-4</v>
      </c>
      <c r="AH59" s="663">
        <f t="shared" si="35"/>
        <v>-2.0000000000000001E-4</v>
      </c>
      <c r="AI59" s="663">
        <f t="shared" si="32"/>
        <v>0</v>
      </c>
      <c r="AJ59" s="663">
        <f t="shared" si="33"/>
        <v>0</v>
      </c>
      <c r="AK59" s="1643">
        <f t="shared" si="15"/>
        <v>0</v>
      </c>
      <c r="AL59" s="663">
        <f t="shared" si="24"/>
        <v>0</v>
      </c>
      <c r="AM59" s="454">
        <f t="shared" si="25"/>
        <v>2.0000000000000001E-4</v>
      </c>
      <c r="AN59" s="454">
        <f t="shared" si="16"/>
        <v>0</v>
      </c>
      <c r="AO59" s="454">
        <f t="shared" si="26"/>
        <v>-2.0000000000000001E-4</v>
      </c>
      <c r="AQ59" s="454">
        <f t="shared" si="27"/>
        <v>0</v>
      </c>
      <c r="AS59" s="454">
        <f>+'Rates in detail'!U59</f>
        <v>0</v>
      </c>
      <c r="AT59" s="454"/>
      <c r="AU59" s="454"/>
      <c r="AV59" s="454">
        <f t="shared" si="28"/>
        <v>0</v>
      </c>
      <c r="AW59" s="454">
        <f t="shared" si="29"/>
        <v>0</v>
      </c>
      <c r="AX59" s="454">
        <f t="shared" si="17"/>
        <v>0</v>
      </c>
      <c r="AZ59" s="1696">
        <v>0</v>
      </c>
      <c r="BA59" s="1660">
        <v>0</v>
      </c>
      <c r="BB59" s="1696">
        <v>0</v>
      </c>
      <c r="BC59" s="1696">
        <v>-2.1000000000000001E-4</v>
      </c>
      <c r="BE59" s="454">
        <f t="shared" si="18"/>
        <v>0</v>
      </c>
      <c r="BF59" s="454">
        <f t="shared" si="19"/>
        <v>0</v>
      </c>
    </row>
    <row r="60" spans="1:58" x14ac:dyDescent="0.25">
      <c r="A60" s="438">
        <f t="shared" si="34"/>
        <v>54</v>
      </c>
      <c r="B60" s="505"/>
      <c r="C60" s="452" t="s">
        <v>7</v>
      </c>
      <c r="D60" s="1611">
        <v>-1.9000000000000001E-4</v>
      </c>
      <c r="E60" s="1611">
        <v>0</v>
      </c>
      <c r="F60" s="1095">
        <f>+'Allocation equal ¢ per therm'!H60</f>
        <v>0</v>
      </c>
      <c r="G60" s="1095">
        <f>+'Allocation equal ¢ per therm'!K60</f>
        <v>0</v>
      </c>
      <c r="H60" s="1095">
        <f>+'Allocation equal ¢ per therm'!N60</f>
        <v>0</v>
      </c>
      <c r="I60" s="1095">
        <f t="shared" si="10"/>
        <v>0</v>
      </c>
      <c r="J60" s="1095">
        <f t="shared" si="11"/>
        <v>0</v>
      </c>
      <c r="K60" s="1095">
        <f>+'Allocation = % of margin'!P60</f>
        <v>0</v>
      </c>
      <c r="L60" s="1095">
        <f>+'Allocation = % of margin'!S60</f>
        <v>0</v>
      </c>
      <c r="M60" s="1484">
        <v>0</v>
      </c>
      <c r="N60" s="1484">
        <v>0</v>
      </c>
      <c r="O60" s="454"/>
      <c r="P60" s="454"/>
      <c r="Q60" s="454"/>
      <c r="R60" s="454"/>
      <c r="S60" s="454"/>
      <c r="T60" s="454"/>
      <c r="U60" s="454"/>
      <c r="V60" s="454">
        <f>+'Allocation = % of margin'!V60</f>
        <v>0</v>
      </c>
      <c r="W60" s="454">
        <f>+'Allocation = % of margin'!Y60</f>
        <v>-1.8000000000000001E-4</v>
      </c>
      <c r="X60" s="454"/>
      <c r="Y60" s="454"/>
      <c r="Z60" s="454"/>
      <c r="AA60" s="454"/>
      <c r="AB60" s="454"/>
      <c r="AC60" s="454"/>
      <c r="AD60" s="454">
        <f t="shared" si="12"/>
        <v>-1.8000000000000001E-4</v>
      </c>
      <c r="AE60" s="454">
        <f t="shared" si="13"/>
        <v>9.9999999999999991E-6</v>
      </c>
      <c r="AF60" s="454"/>
      <c r="AG60" s="663">
        <f t="shared" si="31"/>
        <v>-1.8000000000000001E-4</v>
      </c>
      <c r="AH60" s="663">
        <f t="shared" si="35"/>
        <v>-1.8000000000000001E-4</v>
      </c>
      <c r="AI60" s="663">
        <f t="shared" si="32"/>
        <v>0</v>
      </c>
      <c r="AJ60" s="663">
        <f t="shared" si="33"/>
        <v>0</v>
      </c>
      <c r="AK60" s="1643">
        <f t="shared" si="15"/>
        <v>0</v>
      </c>
      <c r="AL60" s="663">
        <f t="shared" si="24"/>
        <v>0</v>
      </c>
      <c r="AM60" s="454">
        <f t="shared" si="25"/>
        <v>1.8000000000000001E-4</v>
      </c>
      <c r="AN60" s="454">
        <f t="shared" si="16"/>
        <v>0</v>
      </c>
      <c r="AO60" s="454">
        <f t="shared" si="26"/>
        <v>-1.8000000000000001E-4</v>
      </c>
      <c r="AQ60" s="454">
        <f t="shared" si="27"/>
        <v>0</v>
      </c>
      <c r="AS60" s="454">
        <f>+'Rates in detail'!U60</f>
        <v>0</v>
      </c>
      <c r="AT60" s="454"/>
      <c r="AU60" s="454"/>
      <c r="AV60" s="454">
        <f t="shared" si="28"/>
        <v>0</v>
      </c>
      <c r="AW60" s="454">
        <f t="shared" si="29"/>
        <v>0</v>
      </c>
      <c r="AX60" s="454">
        <f t="shared" si="17"/>
        <v>0</v>
      </c>
      <c r="AZ60" s="1696">
        <v>0</v>
      </c>
      <c r="BA60" s="1660">
        <v>0</v>
      </c>
      <c r="BB60" s="1696">
        <v>0</v>
      </c>
      <c r="BC60" s="1696">
        <v>-1.9000000000000001E-4</v>
      </c>
      <c r="BE60" s="454">
        <f t="shared" si="18"/>
        <v>0</v>
      </c>
      <c r="BF60" s="454">
        <f t="shared" si="19"/>
        <v>0</v>
      </c>
    </row>
    <row r="61" spans="1:58" x14ac:dyDescent="0.25">
      <c r="A61" s="438">
        <f t="shared" si="34"/>
        <v>55</v>
      </c>
      <c r="B61" s="505"/>
      <c r="C61" s="452" t="s">
        <v>8</v>
      </c>
      <c r="D61" s="1611">
        <v>-1.3999999999999999E-4</v>
      </c>
      <c r="E61" s="1611">
        <v>0</v>
      </c>
      <c r="F61" s="1095">
        <f>+'Allocation equal ¢ per therm'!H61</f>
        <v>0</v>
      </c>
      <c r="G61" s="1095">
        <f>+'Allocation equal ¢ per therm'!K61</f>
        <v>0</v>
      </c>
      <c r="H61" s="1095">
        <f>+'Allocation equal ¢ per therm'!N61</f>
        <v>0</v>
      </c>
      <c r="I61" s="1095">
        <f t="shared" si="10"/>
        <v>0</v>
      </c>
      <c r="J61" s="1095">
        <f t="shared" si="11"/>
        <v>0</v>
      </c>
      <c r="K61" s="1095">
        <f>+'Allocation = % of margin'!P61</f>
        <v>0</v>
      </c>
      <c r="L61" s="1095">
        <f>+'Allocation = % of margin'!S61</f>
        <v>0</v>
      </c>
      <c r="M61" s="1484">
        <v>0</v>
      </c>
      <c r="N61" s="1484">
        <v>0</v>
      </c>
      <c r="O61" s="454"/>
      <c r="P61" s="454"/>
      <c r="Q61" s="454"/>
      <c r="R61" s="454"/>
      <c r="S61" s="454"/>
      <c r="T61" s="454"/>
      <c r="U61" s="454"/>
      <c r="V61" s="454">
        <f>+'Allocation = % of margin'!V61</f>
        <v>0</v>
      </c>
      <c r="W61" s="454">
        <f>+'Allocation = % of margin'!Y61</f>
        <v>-1.3999999999999999E-4</v>
      </c>
      <c r="X61" s="454"/>
      <c r="Y61" s="454"/>
      <c r="Z61" s="454"/>
      <c r="AA61" s="454"/>
      <c r="AB61" s="454"/>
      <c r="AC61" s="454"/>
      <c r="AD61" s="454">
        <f t="shared" si="12"/>
        <v>-1.3999999999999999E-4</v>
      </c>
      <c r="AE61" s="454">
        <f t="shared" si="13"/>
        <v>0</v>
      </c>
      <c r="AF61" s="454"/>
      <c r="AG61" s="663">
        <f t="shared" si="31"/>
        <v>-1.3999999999999999E-4</v>
      </c>
      <c r="AH61" s="663">
        <f t="shared" si="35"/>
        <v>-1.3999999999999999E-4</v>
      </c>
      <c r="AI61" s="663">
        <f t="shared" si="32"/>
        <v>0</v>
      </c>
      <c r="AJ61" s="663">
        <f t="shared" si="33"/>
        <v>0</v>
      </c>
      <c r="AK61" s="1643">
        <f t="shared" si="15"/>
        <v>0</v>
      </c>
      <c r="AL61" s="663">
        <f t="shared" si="24"/>
        <v>0</v>
      </c>
      <c r="AM61" s="454">
        <f t="shared" si="25"/>
        <v>1.3999999999999999E-4</v>
      </c>
      <c r="AN61" s="454">
        <f t="shared" si="16"/>
        <v>0</v>
      </c>
      <c r="AO61" s="454">
        <f t="shared" si="26"/>
        <v>-1.3999999999999999E-4</v>
      </c>
      <c r="AQ61" s="454">
        <f t="shared" si="27"/>
        <v>0</v>
      </c>
      <c r="AS61" s="454">
        <f>+'Rates in detail'!U61</f>
        <v>0</v>
      </c>
      <c r="AT61" s="454"/>
      <c r="AU61" s="454"/>
      <c r="AV61" s="454">
        <f t="shared" si="28"/>
        <v>0</v>
      </c>
      <c r="AW61" s="454">
        <f t="shared" si="29"/>
        <v>0</v>
      </c>
      <c r="AX61" s="454">
        <f t="shared" si="17"/>
        <v>0</v>
      </c>
      <c r="AZ61" s="1696">
        <v>0</v>
      </c>
      <c r="BA61" s="1660">
        <v>0</v>
      </c>
      <c r="BB61" s="1696">
        <v>0</v>
      </c>
      <c r="BC61" s="1696">
        <v>-1.3999999999999999E-4</v>
      </c>
      <c r="BE61" s="454">
        <f t="shared" si="18"/>
        <v>0</v>
      </c>
      <c r="BF61" s="454">
        <f t="shared" si="19"/>
        <v>0</v>
      </c>
    </row>
    <row r="62" spans="1:58" x14ac:dyDescent="0.25">
      <c r="A62" s="438">
        <f t="shared" si="34"/>
        <v>56</v>
      </c>
      <c r="B62" s="505"/>
      <c r="C62" s="452" t="s">
        <v>9</v>
      </c>
      <c r="D62" s="1611">
        <v>-1.1E-4</v>
      </c>
      <c r="E62" s="1611">
        <v>0</v>
      </c>
      <c r="F62" s="1095">
        <f>+'Allocation equal ¢ per therm'!H62</f>
        <v>0</v>
      </c>
      <c r="G62" s="1095">
        <f>+'Allocation equal ¢ per therm'!K62</f>
        <v>0</v>
      </c>
      <c r="H62" s="1095">
        <f>+'Allocation equal ¢ per therm'!N62</f>
        <v>0</v>
      </c>
      <c r="I62" s="1095">
        <f t="shared" si="10"/>
        <v>0</v>
      </c>
      <c r="J62" s="1095">
        <f t="shared" si="11"/>
        <v>0</v>
      </c>
      <c r="K62" s="1095">
        <f>+'Allocation = % of margin'!P62</f>
        <v>0</v>
      </c>
      <c r="L62" s="1095">
        <f>+'Allocation = % of margin'!S62</f>
        <v>0</v>
      </c>
      <c r="M62" s="1484">
        <v>0</v>
      </c>
      <c r="N62" s="1484">
        <v>0</v>
      </c>
      <c r="O62" s="454"/>
      <c r="P62" s="454"/>
      <c r="Q62" s="454"/>
      <c r="R62" s="454"/>
      <c r="S62" s="454"/>
      <c r="T62" s="454"/>
      <c r="U62" s="454"/>
      <c r="V62" s="454">
        <f>+'Allocation = % of margin'!V62</f>
        <v>0</v>
      </c>
      <c r="W62" s="454">
        <f>+'Allocation = % of margin'!Y62</f>
        <v>-1.1E-4</v>
      </c>
      <c r="X62" s="454"/>
      <c r="Y62" s="454"/>
      <c r="Z62" s="454"/>
      <c r="AA62" s="454"/>
      <c r="AB62" s="454"/>
      <c r="AC62" s="454"/>
      <c r="AD62" s="454">
        <f t="shared" si="12"/>
        <v>-1.1E-4</v>
      </c>
      <c r="AE62" s="454">
        <f t="shared" si="13"/>
        <v>0</v>
      </c>
      <c r="AF62" s="454"/>
      <c r="AG62" s="663">
        <f t="shared" si="31"/>
        <v>-1.1E-4</v>
      </c>
      <c r="AH62" s="663">
        <f t="shared" si="35"/>
        <v>-1.1E-4</v>
      </c>
      <c r="AI62" s="663">
        <f t="shared" si="32"/>
        <v>0</v>
      </c>
      <c r="AJ62" s="663">
        <f t="shared" si="33"/>
        <v>0</v>
      </c>
      <c r="AK62" s="1643">
        <f t="shared" si="15"/>
        <v>0</v>
      </c>
      <c r="AL62" s="663">
        <f t="shared" si="24"/>
        <v>0</v>
      </c>
      <c r="AM62" s="454">
        <f t="shared" si="25"/>
        <v>1.1E-4</v>
      </c>
      <c r="AN62" s="454">
        <f t="shared" si="16"/>
        <v>0</v>
      </c>
      <c r="AO62" s="454">
        <f t="shared" si="26"/>
        <v>-1.1E-4</v>
      </c>
      <c r="AQ62" s="454">
        <f t="shared" si="27"/>
        <v>0</v>
      </c>
      <c r="AS62" s="454">
        <f>+'Rates in detail'!U62</f>
        <v>0</v>
      </c>
      <c r="AT62" s="454"/>
      <c r="AU62" s="454"/>
      <c r="AV62" s="454">
        <f t="shared" si="28"/>
        <v>0</v>
      </c>
      <c r="AW62" s="454">
        <f t="shared" si="29"/>
        <v>0</v>
      </c>
      <c r="AX62" s="454">
        <f t="shared" si="17"/>
        <v>0</v>
      </c>
      <c r="AZ62" s="1696">
        <v>0</v>
      </c>
      <c r="BA62" s="1660">
        <v>0</v>
      </c>
      <c r="BB62" s="1696">
        <v>0</v>
      </c>
      <c r="BC62" s="1696">
        <v>-1.1E-4</v>
      </c>
      <c r="BE62" s="454">
        <f t="shared" si="18"/>
        <v>0</v>
      </c>
      <c r="BF62" s="454">
        <f t="shared" si="19"/>
        <v>0</v>
      </c>
    </row>
    <row r="63" spans="1:58" x14ac:dyDescent="0.25">
      <c r="A63" s="438">
        <f t="shared" si="34"/>
        <v>57</v>
      </c>
      <c r="B63" s="505"/>
      <c r="C63" s="452" t="s">
        <v>10</v>
      </c>
      <c r="D63" s="1611">
        <v>-8.0000000000000007E-5</v>
      </c>
      <c r="E63" s="1611">
        <v>0</v>
      </c>
      <c r="F63" s="1095">
        <f>+'Allocation equal ¢ per therm'!H63</f>
        <v>0</v>
      </c>
      <c r="G63" s="1095">
        <f>+'Allocation equal ¢ per therm'!K63</f>
        <v>0</v>
      </c>
      <c r="H63" s="1095">
        <f>+'Allocation equal ¢ per therm'!N63</f>
        <v>0</v>
      </c>
      <c r="I63" s="1095">
        <f t="shared" si="10"/>
        <v>0</v>
      </c>
      <c r="J63" s="1095">
        <f t="shared" si="11"/>
        <v>0</v>
      </c>
      <c r="K63" s="1095">
        <f>+'Allocation = % of margin'!P63</f>
        <v>0</v>
      </c>
      <c r="L63" s="1095">
        <f>+'Allocation = % of margin'!S63</f>
        <v>0</v>
      </c>
      <c r="M63" s="1484">
        <v>0</v>
      </c>
      <c r="N63" s="1484">
        <v>0</v>
      </c>
      <c r="O63" s="454"/>
      <c r="P63" s="454"/>
      <c r="Q63" s="454"/>
      <c r="R63" s="454"/>
      <c r="S63" s="454"/>
      <c r="T63" s="454"/>
      <c r="U63" s="454"/>
      <c r="V63" s="454">
        <f>+'Allocation = % of margin'!V63</f>
        <v>0</v>
      </c>
      <c r="W63" s="454">
        <f>+'Allocation = % of margin'!Y63</f>
        <v>-6.9999999999999994E-5</v>
      </c>
      <c r="X63" s="454"/>
      <c r="Y63" s="454"/>
      <c r="Z63" s="454"/>
      <c r="AA63" s="454"/>
      <c r="AB63" s="454"/>
      <c r="AC63" s="454"/>
      <c r="AD63" s="454">
        <f t="shared" si="12"/>
        <v>-6.9999999999999994E-5</v>
      </c>
      <c r="AE63" s="454">
        <f t="shared" si="13"/>
        <v>1.0000000000000013E-5</v>
      </c>
      <c r="AF63" s="454"/>
      <c r="AG63" s="663">
        <f t="shared" si="31"/>
        <v>-6.9999999999999994E-5</v>
      </c>
      <c r="AH63" s="663">
        <f t="shared" si="35"/>
        <v>-6.9999999999999994E-5</v>
      </c>
      <c r="AI63" s="663">
        <f t="shared" si="32"/>
        <v>0</v>
      </c>
      <c r="AJ63" s="663">
        <f t="shared" si="33"/>
        <v>0</v>
      </c>
      <c r="AK63" s="1643">
        <f t="shared" si="15"/>
        <v>0</v>
      </c>
      <c r="AL63" s="663">
        <f t="shared" si="24"/>
        <v>0</v>
      </c>
      <c r="AM63" s="454">
        <f t="shared" si="25"/>
        <v>6.9999999999999994E-5</v>
      </c>
      <c r="AN63" s="454">
        <f t="shared" si="16"/>
        <v>0</v>
      </c>
      <c r="AO63" s="454">
        <f t="shared" si="26"/>
        <v>-6.9999999999999994E-5</v>
      </c>
      <c r="AQ63" s="454">
        <f t="shared" si="27"/>
        <v>0</v>
      </c>
      <c r="AS63" s="454">
        <f>+'Rates in detail'!U63</f>
        <v>0</v>
      </c>
      <c r="AT63" s="454"/>
      <c r="AU63" s="454"/>
      <c r="AV63" s="454">
        <f t="shared" si="28"/>
        <v>0</v>
      </c>
      <c r="AW63" s="454">
        <f t="shared" si="29"/>
        <v>0</v>
      </c>
      <c r="AX63" s="454">
        <f t="shared" si="17"/>
        <v>0</v>
      </c>
      <c r="AZ63" s="1696">
        <v>0</v>
      </c>
      <c r="BA63" s="1660">
        <v>0</v>
      </c>
      <c r="BB63" s="1696">
        <v>0</v>
      </c>
      <c r="BC63" s="1696">
        <v>-8.0000000000000007E-5</v>
      </c>
      <c r="BE63" s="454">
        <f t="shared" si="18"/>
        <v>0</v>
      </c>
      <c r="BF63" s="454">
        <f t="shared" si="19"/>
        <v>0</v>
      </c>
    </row>
    <row r="64" spans="1:58" x14ac:dyDescent="0.25">
      <c r="A64" s="438">
        <f t="shared" si="34"/>
        <v>58</v>
      </c>
      <c r="B64" s="510"/>
      <c r="C64" s="456" t="s">
        <v>11</v>
      </c>
      <c r="D64" s="1609">
        <v>-3.0000000000000001E-5</v>
      </c>
      <c r="E64" s="1609">
        <v>0</v>
      </c>
      <c r="F64" s="1060">
        <f>+'Allocation equal ¢ per therm'!H64</f>
        <v>0</v>
      </c>
      <c r="G64" s="1060">
        <f>+'Allocation equal ¢ per therm'!K64</f>
        <v>0</v>
      </c>
      <c r="H64" s="1060">
        <f>+'Allocation equal ¢ per therm'!N64</f>
        <v>0</v>
      </c>
      <c r="I64" s="1060">
        <f t="shared" si="10"/>
        <v>0</v>
      </c>
      <c r="J64" s="1060">
        <f t="shared" si="11"/>
        <v>0</v>
      </c>
      <c r="K64" s="1060">
        <f>+'Allocation = % of margin'!P64</f>
        <v>0</v>
      </c>
      <c r="L64" s="1060">
        <f>+'Allocation = % of margin'!S64</f>
        <v>0</v>
      </c>
      <c r="M64" s="1495">
        <v>0</v>
      </c>
      <c r="N64" s="1495">
        <v>0</v>
      </c>
      <c r="O64" s="448"/>
      <c r="P64" s="448"/>
      <c r="Q64" s="448"/>
      <c r="R64" s="448"/>
      <c r="S64" s="448"/>
      <c r="T64" s="448"/>
      <c r="U64" s="448"/>
      <c r="V64" s="448">
        <f>+'Allocation = % of margin'!V64</f>
        <v>0</v>
      </c>
      <c r="W64" s="448">
        <f>+'Allocation = % of margin'!Y64</f>
        <v>-3.0000000000000001E-5</v>
      </c>
      <c r="X64" s="448"/>
      <c r="Y64" s="448"/>
      <c r="Z64" s="448"/>
      <c r="AA64" s="448"/>
      <c r="AB64" s="448"/>
      <c r="AC64" s="448"/>
      <c r="AD64" s="448">
        <f t="shared" si="12"/>
        <v>-3.0000000000000001E-5</v>
      </c>
      <c r="AE64" s="448">
        <f t="shared" si="13"/>
        <v>0</v>
      </c>
      <c r="AF64" s="454"/>
      <c r="AG64" s="663">
        <f t="shared" si="31"/>
        <v>-3.0000000000000001E-5</v>
      </c>
      <c r="AH64" s="663">
        <f t="shared" si="35"/>
        <v>-3.0000000000000001E-5</v>
      </c>
      <c r="AI64" s="663">
        <f t="shared" si="32"/>
        <v>0</v>
      </c>
      <c r="AJ64" s="663">
        <f t="shared" si="33"/>
        <v>0</v>
      </c>
      <c r="AK64" s="1643">
        <f t="shared" si="15"/>
        <v>0</v>
      </c>
      <c r="AL64" s="663">
        <f t="shared" si="24"/>
        <v>0</v>
      </c>
      <c r="AM64" s="454">
        <f t="shared" si="25"/>
        <v>3.0000000000000001E-5</v>
      </c>
      <c r="AN64" s="454">
        <f t="shared" si="16"/>
        <v>0</v>
      </c>
      <c r="AO64" s="454">
        <f t="shared" si="26"/>
        <v>-3.0000000000000001E-5</v>
      </c>
      <c r="AQ64" s="454">
        <f t="shared" si="27"/>
        <v>0</v>
      </c>
      <c r="AS64" s="454">
        <f>+'Rates in detail'!U64</f>
        <v>0</v>
      </c>
      <c r="AT64" s="454"/>
      <c r="AU64" s="454"/>
      <c r="AV64" s="454">
        <f t="shared" si="28"/>
        <v>0</v>
      </c>
      <c r="AW64" s="454">
        <f t="shared" si="29"/>
        <v>0</v>
      </c>
      <c r="AX64" s="454">
        <f t="shared" si="17"/>
        <v>0</v>
      </c>
      <c r="AZ64" s="1696">
        <v>0</v>
      </c>
      <c r="BA64" s="1660">
        <v>0</v>
      </c>
      <c r="BB64" s="1696">
        <v>0</v>
      </c>
      <c r="BC64" s="1696">
        <v>-3.0000000000000001E-5</v>
      </c>
      <c r="BE64" s="454">
        <f t="shared" si="18"/>
        <v>0</v>
      </c>
      <c r="BF64" s="454">
        <f t="shared" si="19"/>
        <v>0</v>
      </c>
    </row>
    <row r="65" spans="1:58" x14ac:dyDescent="0.25">
      <c r="A65" s="438">
        <f t="shared" si="34"/>
        <v>59</v>
      </c>
      <c r="B65" s="510" t="s">
        <v>167</v>
      </c>
      <c r="C65" s="455"/>
      <c r="D65" s="1614">
        <v>-1.0000000000000001E-5</v>
      </c>
      <c r="E65" s="1614">
        <v>0</v>
      </c>
      <c r="F65" s="457">
        <f>+'Allocation equal ¢ per therm'!H65</f>
        <v>0</v>
      </c>
      <c r="G65" s="457">
        <f>+'Allocation equal ¢ per therm'!K65</f>
        <v>0</v>
      </c>
      <c r="H65" s="457">
        <f>+'Allocation equal ¢ per therm'!N65</f>
        <v>0</v>
      </c>
      <c r="I65" s="457">
        <f t="shared" si="10"/>
        <v>0</v>
      </c>
      <c r="J65" s="457">
        <f t="shared" si="11"/>
        <v>0</v>
      </c>
      <c r="K65" s="457">
        <f>+'Allocation = % of margin'!P65</f>
        <v>0</v>
      </c>
      <c r="L65" s="457">
        <f>+'Allocation = % of margin'!S65</f>
        <v>0</v>
      </c>
      <c r="M65" s="1496">
        <v>0</v>
      </c>
      <c r="N65" s="1496">
        <v>0</v>
      </c>
      <c r="O65" s="457"/>
      <c r="P65" s="457"/>
      <c r="Q65" s="457"/>
      <c r="R65" s="457"/>
      <c r="S65" s="457"/>
      <c r="T65" s="457"/>
      <c r="U65" s="457"/>
      <c r="V65" s="457">
        <f>+'Allocation = % of margin'!V65</f>
        <v>0</v>
      </c>
      <c r="W65" s="457">
        <f>+'Allocation = % of margin'!Y65</f>
        <v>-1.0000000000000001E-5</v>
      </c>
      <c r="X65" s="457"/>
      <c r="Y65" s="457"/>
      <c r="Z65" s="457"/>
      <c r="AA65" s="457"/>
      <c r="AB65" s="457"/>
      <c r="AC65" s="457"/>
      <c r="AD65" s="457">
        <f t="shared" si="12"/>
        <v>-1.0000000000000001E-5</v>
      </c>
      <c r="AE65" s="457">
        <f t="shared" si="13"/>
        <v>0</v>
      </c>
      <c r="AF65" s="454"/>
      <c r="AG65" s="663">
        <f t="shared" si="31"/>
        <v>-1.0000000000000001E-5</v>
      </c>
      <c r="AH65" s="663">
        <f t="shared" si="35"/>
        <v>-1.0000000000000001E-5</v>
      </c>
      <c r="AI65" s="663">
        <f t="shared" si="32"/>
        <v>0</v>
      </c>
      <c r="AJ65" s="663">
        <f t="shared" si="33"/>
        <v>0</v>
      </c>
      <c r="AK65" s="1643">
        <f t="shared" si="15"/>
        <v>0</v>
      </c>
      <c r="AL65" s="663">
        <f t="shared" si="24"/>
        <v>0</v>
      </c>
      <c r="AM65" s="454">
        <f t="shared" si="25"/>
        <v>1.0000000000000001E-5</v>
      </c>
      <c r="AN65" s="454">
        <f t="shared" si="16"/>
        <v>0</v>
      </c>
      <c r="AO65" s="454">
        <f t="shared" si="26"/>
        <v>-1.0000000000000001E-5</v>
      </c>
      <c r="AQ65" s="454">
        <f t="shared" si="27"/>
        <v>0</v>
      </c>
      <c r="AS65" s="454">
        <f>+'Rates in detail'!U65</f>
        <v>0</v>
      </c>
      <c r="AT65" s="454"/>
      <c r="AU65" s="454"/>
      <c r="AV65" s="454">
        <f t="shared" si="28"/>
        <v>0</v>
      </c>
      <c r="AW65" s="454">
        <f t="shared" si="29"/>
        <v>0</v>
      </c>
      <c r="AX65" s="454">
        <f t="shared" si="17"/>
        <v>0</v>
      </c>
      <c r="AZ65" s="1696">
        <v>0</v>
      </c>
      <c r="BA65" s="1660">
        <v>0</v>
      </c>
      <c r="BB65" s="1696">
        <v>0</v>
      </c>
      <c r="BC65" s="1696">
        <v>-1.0000000000000001E-5</v>
      </c>
      <c r="BE65" s="454">
        <f t="shared" si="18"/>
        <v>0</v>
      </c>
      <c r="BF65" s="454">
        <f t="shared" si="19"/>
        <v>0</v>
      </c>
    </row>
    <row r="66" spans="1:58" x14ac:dyDescent="0.25">
      <c r="A66" s="438">
        <f t="shared" si="34"/>
        <v>60</v>
      </c>
      <c r="B66" s="450" t="s">
        <v>168</v>
      </c>
      <c r="C66" s="447"/>
      <c r="D66" s="534">
        <v>-1.0000000000000001E-5</v>
      </c>
      <c r="E66" s="534">
        <v>0</v>
      </c>
      <c r="F66" s="458">
        <f>+'Allocation equal ¢ per therm'!H66</f>
        <v>0</v>
      </c>
      <c r="G66" s="458">
        <f>+'Allocation equal ¢ per therm'!K66</f>
        <v>0</v>
      </c>
      <c r="H66" s="458">
        <f>+'Allocation equal ¢ per therm'!N66</f>
        <v>0</v>
      </c>
      <c r="I66" s="458">
        <f t="shared" si="10"/>
        <v>0</v>
      </c>
      <c r="J66" s="458">
        <f t="shared" si="11"/>
        <v>0</v>
      </c>
      <c r="K66" s="458">
        <f>+'Allocation = % of margin'!P66</f>
        <v>0</v>
      </c>
      <c r="L66" s="458">
        <f>+'Allocation = % of margin'!S66</f>
        <v>0</v>
      </c>
      <c r="M66" s="1497">
        <v>0</v>
      </c>
      <c r="N66" s="1497">
        <v>0</v>
      </c>
      <c r="O66" s="458"/>
      <c r="P66" s="458"/>
      <c r="Q66" s="458"/>
      <c r="R66" s="458"/>
      <c r="S66" s="458"/>
      <c r="T66" s="458"/>
      <c r="U66" s="458"/>
      <c r="V66" s="458">
        <f>+'Allocation = % of margin'!V66</f>
        <v>0</v>
      </c>
      <c r="W66" s="458">
        <f>+'Allocation = % of margin'!Y66</f>
        <v>-1.0000000000000001E-5</v>
      </c>
      <c r="X66" s="458"/>
      <c r="Y66" s="458"/>
      <c r="Z66" s="458"/>
      <c r="AA66" s="458"/>
      <c r="AB66" s="458"/>
      <c r="AC66" s="458"/>
      <c r="AD66" s="458">
        <f t="shared" si="12"/>
        <v>-1.0000000000000001E-5</v>
      </c>
      <c r="AE66" s="458">
        <f t="shared" si="13"/>
        <v>0</v>
      </c>
      <c r="AF66" s="454"/>
      <c r="AG66" s="663">
        <f t="shared" si="31"/>
        <v>-1.0000000000000001E-5</v>
      </c>
      <c r="AH66" s="663">
        <f t="shared" si="35"/>
        <v>-1.0000000000000001E-5</v>
      </c>
      <c r="AI66" s="663">
        <f t="shared" si="32"/>
        <v>0</v>
      </c>
      <c r="AJ66" s="663">
        <f t="shared" si="33"/>
        <v>0</v>
      </c>
      <c r="AK66" s="1643">
        <f t="shared" si="15"/>
        <v>0</v>
      </c>
      <c r="AL66" s="663">
        <f t="shared" si="24"/>
        <v>0</v>
      </c>
      <c r="AM66" s="454">
        <f t="shared" si="25"/>
        <v>1.0000000000000001E-5</v>
      </c>
      <c r="AN66" s="454">
        <f t="shared" si="16"/>
        <v>0</v>
      </c>
      <c r="AO66" s="454">
        <f t="shared" si="26"/>
        <v>-1.0000000000000001E-5</v>
      </c>
      <c r="AQ66" s="454">
        <f t="shared" si="27"/>
        <v>0</v>
      </c>
      <c r="AS66" s="454">
        <f>+'Rates in detail'!U66</f>
        <v>0</v>
      </c>
      <c r="AT66" s="454"/>
      <c r="AU66" s="454"/>
      <c r="AV66" s="454">
        <f t="shared" si="28"/>
        <v>0</v>
      </c>
      <c r="AW66" s="454">
        <f t="shared" si="29"/>
        <v>0</v>
      </c>
      <c r="AX66" s="454">
        <f t="shared" si="17"/>
        <v>0</v>
      </c>
      <c r="AZ66" s="1696">
        <v>0</v>
      </c>
      <c r="BA66" s="1660">
        <v>0</v>
      </c>
      <c r="BB66" s="1696">
        <v>0</v>
      </c>
      <c r="BC66" s="1696">
        <v>-1.0000000000000001E-5</v>
      </c>
      <c r="BE66" s="454">
        <f t="shared" si="18"/>
        <v>0</v>
      </c>
      <c r="BF66" s="454">
        <f t="shared" si="19"/>
        <v>0</v>
      </c>
    </row>
    <row r="67" spans="1:58" x14ac:dyDescent="0.25">
      <c r="A67" s="438">
        <f t="shared" si="34"/>
        <v>61</v>
      </c>
      <c r="B67" s="449" t="s">
        <v>217</v>
      </c>
      <c r="C67" s="447"/>
      <c r="D67" s="535"/>
      <c r="E67" s="534"/>
      <c r="F67" s="1500"/>
      <c r="G67" s="1500"/>
      <c r="H67" s="458"/>
      <c r="I67" s="458"/>
      <c r="J67" s="458"/>
      <c r="K67" s="458"/>
      <c r="L67" s="458"/>
      <c r="M67" s="1497"/>
      <c r="N67" s="1497"/>
      <c r="O67" s="459"/>
      <c r="P67" s="459"/>
      <c r="Q67" s="459"/>
      <c r="R67" s="459"/>
      <c r="S67" s="459"/>
      <c r="T67" s="459"/>
      <c r="U67" s="459"/>
      <c r="V67" s="459"/>
      <c r="W67" s="459"/>
      <c r="X67" s="459"/>
      <c r="Y67" s="459"/>
      <c r="Z67" s="459"/>
      <c r="AA67" s="459"/>
      <c r="AB67" s="459"/>
      <c r="AC67" s="459"/>
      <c r="AD67" s="1122"/>
      <c r="AE67" s="459"/>
      <c r="AI67" s="454">
        <f t="shared" si="32"/>
        <v>0</v>
      </c>
      <c r="AJ67" s="454">
        <f t="shared" si="33"/>
        <v>0</v>
      </c>
      <c r="AK67" s="1095">
        <f t="shared" si="15"/>
        <v>0</v>
      </c>
      <c r="AL67" s="454">
        <f t="shared" si="24"/>
        <v>0</v>
      </c>
      <c r="AM67" s="454">
        <f t="shared" si="25"/>
        <v>0</v>
      </c>
      <c r="AN67" s="454">
        <f t="shared" si="16"/>
        <v>0</v>
      </c>
      <c r="AO67" s="454">
        <f t="shared" si="26"/>
        <v>0</v>
      </c>
      <c r="AQ67" s="454">
        <f t="shared" si="27"/>
        <v>0</v>
      </c>
      <c r="AS67" s="454">
        <f>+'Rates in detail'!U67</f>
        <v>0</v>
      </c>
      <c r="AT67" s="454"/>
      <c r="AU67" s="454"/>
      <c r="AV67" s="454">
        <f t="shared" si="28"/>
        <v>0</v>
      </c>
      <c r="AW67" s="454">
        <f t="shared" si="29"/>
        <v>0</v>
      </c>
      <c r="AX67" s="454">
        <f t="shared" si="17"/>
        <v>0</v>
      </c>
      <c r="AZ67" s="1324">
        <v>0</v>
      </c>
      <c r="BA67" s="1324">
        <v>0</v>
      </c>
      <c r="BB67" s="1324"/>
      <c r="BC67" s="1660">
        <v>0</v>
      </c>
      <c r="BE67" s="454">
        <f t="shared" si="18"/>
        <v>0</v>
      </c>
      <c r="BF67" s="454">
        <f t="shared" si="19"/>
        <v>0</v>
      </c>
    </row>
    <row r="68" spans="1:58" x14ac:dyDescent="0.25">
      <c r="A68" s="438">
        <f t="shared" si="34"/>
        <v>62</v>
      </c>
      <c r="AZ68" s="479"/>
      <c r="BA68" s="479"/>
      <c r="BB68" s="479"/>
      <c r="BC68" s="479"/>
    </row>
    <row r="69" spans="1:58" ht="13.8" thickBot="1" x14ac:dyDescent="0.3">
      <c r="A69" s="438">
        <f t="shared" si="34"/>
        <v>63</v>
      </c>
      <c r="B69" s="460" t="s">
        <v>171</v>
      </c>
      <c r="D69" s="436"/>
      <c r="E69" s="653"/>
    </row>
    <row r="70" spans="1:58" ht="13.8" thickBot="1" x14ac:dyDescent="0.3">
      <c r="A70" s="438">
        <f t="shared" si="34"/>
        <v>64</v>
      </c>
      <c r="B70" s="461" t="s">
        <v>172</v>
      </c>
      <c r="C70" s="462"/>
      <c r="D70" s="1501" t="s">
        <v>1182</v>
      </c>
      <c r="E70" s="1501"/>
      <c r="F70" s="530"/>
      <c r="G70" s="530"/>
      <c r="H70" s="530"/>
      <c r="I70" s="530"/>
      <c r="J70" s="530"/>
      <c r="K70" s="530"/>
      <c r="L70" s="530"/>
      <c r="M70" s="530"/>
      <c r="N70" s="530"/>
      <c r="O70" s="463"/>
      <c r="P70" s="463"/>
      <c r="Q70" s="463"/>
      <c r="R70" s="463"/>
      <c r="S70" s="463"/>
      <c r="T70" s="463"/>
      <c r="U70" s="463"/>
      <c r="V70" s="463"/>
      <c r="W70" s="463"/>
      <c r="X70" s="463"/>
      <c r="Y70" s="463"/>
      <c r="Z70" s="463"/>
      <c r="AA70" s="463"/>
      <c r="AB70" s="463"/>
      <c r="AC70" s="463"/>
      <c r="AD70" s="463"/>
      <c r="AE70" s="520"/>
    </row>
    <row r="71" spans="1:58" ht="13.8" thickBot="1" x14ac:dyDescent="0.3">
      <c r="A71" s="438">
        <f t="shared" si="34"/>
        <v>65</v>
      </c>
      <c r="D71" s="436"/>
      <c r="E71" s="653"/>
    </row>
    <row r="72" spans="1:58" ht="13.8" thickBot="1" x14ac:dyDescent="0.3">
      <c r="A72" s="438">
        <f t="shared" si="34"/>
        <v>66</v>
      </c>
      <c r="B72" s="461" t="s">
        <v>174</v>
      </c>
      <c r="C72" s="462"/>
      <c r="D72" s="463"/>
      <c r="E72" s="530"/>
      <c r="F72" s="464" t="s">
        <v>68</v>
      </c>
      <c r="G72" s="464" t="s">
        <v>177</v>
      </c>
      <c r="H72" s="464" t="s">
        <v>173</v>
      </c>
      <c r="I72" s="464"/>
      <c r="J72" s="464"/>
      <c r="K72" s="530"/>
      <c r="L72" s="530"/>
      <c r="M72" s="530"/>
      <c r="N72" s="530"/>
      <c r="O72" s="463"/>
      <c r="P72" s="463"/>
      <c r="Q72" s="463"/>
      <c r="R72" s="463"/>
      <c r="S72" s="463"/>
      <c r="T72" s="463"/>
      <c r="U72" s="463"/>
      <c r="V72" s="463"/>
      <c r="W72" s="463"/>
      <c r="X72" s="464"/>
      <c r="Y72" s="464"/>
      <c r="Z72" s="464"/>
      <c r="AA72" s="464"/>
      <c r="AB72" s="464"/>
      <c r="AC72" s="463"/>
      <c r="AD72" s="463"/>
      <c r="AE72" s="520"/>
    </row>
    <row r="73" spans="1:58" ht="13.8" thickBot="1" x14ac:dyDescent="0.3">
      <c r="A73" s="438">
        <f t="shared" si="34"/>
        <v>67</v>
      </c>
      <c r="B73" s="461" t="s">
        <v>175</v>
      </c>
      <c r="C73" s="462"/>
      <c r="D73" s="463"/>
      <c r="E73" s="530"/>
      <c r="F73" s="530"/>
      <c r="G73" s="530"/>
      <c r="H73" s="530"/>
      <c r="I73" s="530"/>
      <c r="J73" s="530"/>
      <c r="K73" s="464" t="s">
        <v>697</v>
      </c>
      <c r="L73" s="464" t="s">
        <v>845</v>
      </c>
      <c r="M73" s="464"/>
      <c r="N73" s="464"/>
      <c r="O73" s="464"/>
      <c r="P73" s="464"/>
      <c r="Q73" s="464"/>
      <c r="R73" s="464"/>
      <c r="S73" s="464"/>
      <c r="T73" s="464"/>
      <c r="U73" s="464"/>
      <c r="V73" s="464" t="s">
        <v>873</v>
      </c>
      <c r="W73" s="464" t="s">
        <v>1051</v>
      </c>
      <c r="X73" s="463"/>
      <c r="Y73" s="463"/>
      <c r="Z73" s="463"/>
      <c r="AA73" s="463"/>
      <c r="AB73" s="463"/>
      <c r="AC73" s="464"/>
      <c r="AD73" s="463"/>
      <c r="AE73" s="520"/>
    </row>
    <row r="74" spans="1:58" s="538" customFormat="1" ht="13.8" thickBot="1" x14ac:dyDescent="0.3">
      <c r="A74" s="1314">
        <f t="shared" si="34"/>
        <v>68</v>
      </c>
      <c r="B74" s="1315" t="s">
        <v>1052</v>
      </c>
      <c r="K74" s="505"/>
      <c r="L74" s="505"/>
      <c r="M74" s="505"/>
      <c r="N74" s="505"/>
      <c r="O74" s="505"/>
      <c r="P74" s="505"/>
      <c r="Q74" s="505"/>
      <c r="R74" s="505"/>
      <c r="S74" s="505"/>
      <c r="T74" s="505"/>
      <c r="U74" s="505"/>
      <c r="V74" s="505"/>
      <c r="AC74" s="505"/>
    </row>
    <row r="75" spans="1:58" ht="13.8" thickBot="1" x14ac:dyDescent="0.3">
      <c r="A75" s="438">
        <f t="shared" si="34"/>
        <v>69</v>
      </c>
      <c r="B75" s="461" t="s">
        <v>1053</v>
      </c>
      <c r="C75" s="462"/>
      <c r="D75" s="463"/>
      <c r="E75" s="530"/>
      <c r="F75" s="464" t="str">
        <f>+'Allocation equal ¢ per therm'!F74</f>
        <v>Sched 201</v>
      </c>
      <c r="G75" s="464" t="str">
        <f>+'Allocation equal ¢ per therm'!I74</f>
        <v>Sched 201</v>
      </c>
      <c r="H75" s="464" t="str">
        <f>+'Allocation equal ¢ per therm'!L74</f>
        <v>Sched 201</v>
      </c>
      <c r="I75" s="464"/>
      <c r="J75" s="464"/>
      <c r="K75" s="464" t="str">
        <f>+'Allocation = % of margin'!N74</f>
        <v>Sched 215</v>
      </c>
      <c r="L75" s="1313" t="str">
        <f>+'Allocation = % of margin'!Q74</f>
        <v>Sched 230, Prg J</v>
      </c>
      <c r="M75" s="1313"/>
      <c r="N75" s="1313"/>
      <c r="O75" s="1313"/>
      <c r="P75" s="1313"/>
      <c r="Q75" s="1313"/>
      <c r="R75" s="1313"/>
      <c r="S75" s="1313"/>
      <c r="T75" s="1313"/>
      <c r="U75" s="1313"/>
      <c r="V75" s="1313" t="str">
        <f>+'Allocation = % of margin'!T74</f>
        <v>Sched 230, Prg I</v>
      </c>
      <c r="W75" s="1313" t="str">
        <f>+'Allocation = % of margin'!W74</f>
        <v>Sched 209</v>
      </c>
      <c r="X75" s="463"/>
      <c r="Y75" s="463"/>
      <c r="Z75" s="463"/>
      <c r="AA75" s="463"/>
      <c r="AB75" s="463"/>
      <c r="AC75" s="464"/>
      <c r="AD75" s="463"/>
      <c r="AE75" s="520"/>
    </row>
    <row r="76" spans="1:58" x14ac:dyDescent="0.25">
      <c r="A76" s="465"/>
    </row>
    <row r="77" spans="1:58" x14ac:dyDescent="0.25">
      <c r="A77" s="465"/>
    </row>
    <row r="78" spans="1:58" x14ac:dyDescent="0.25">
      <c r="A78" s="465"/>
    </row>
    <row r="79" spans="1:58" x14ac:dyDescent="0.25">
      <c r="A79" s="465"/>
    </row>
    <row r="80" spans="1:58" x14ac:dyDescent="0.25">
      <c r="A80" s="465"/>
    </row>
    <row r="81" spans="1:2" x14ac:dyDescent="0.25">
      <c r="A81" s="465"/>
      <c r="B81" s="436" t="s">
        <v>1105</v>
      </c>
    </row>
    <row r="82" spans="1:2" x14ac:dyDescent="0.25">
      <c r="A82" s="465"/>
    </row>
    <row r="83" spans="1:2" x14ac:dyDescent="0.25">
      <c r="A83" s="465"/>
    </row>
    <row r="84" spans="1:2" x14ac:dyDescent="0.25">
      <c r="A84" s="465"/>
    </row>
    <row r="85" spans="1:2" x14ac:dyDescent="0.25">
      <c r="A85" s="465"/>
    </row>
    <row r="86" spans="1:2" x14ac:dyDescent="0.25">
      <c r="A86" s="465"/>
    </row>
    <row r="87" spans="1:2" x14ac:dyDescent="0.25">
      <c r="A87" s="465"/>
    </row>
    <row r="88" spans="1:2" x14ac:dyDescent="0.25">
      <c r="A88" s="465"/>
    </row>
    <row r="89" spans="1:2" x14ac:dyDescent="0.25">
      <c r="A89" s="465"/>
    </row>
    <row r="90" spans="1:2" x14ac:dyDescent="0.25">
      <c r="A90" s="465"/>
    </row>
    <row r="91" spans="1:2" x14ac:dyDescent="0.25">
      <c r="A91" s="465"/>
    </row>
    <row r="92" spans="1:2" x14ac:dyDescent="0.25">
      <c r="A92" s="465"/>
    </row>
    <row r="93" spans="1:2" x14ac:dyDescent="0.25">
      <c r="A93" s="465"/>
    </row>
    <row r="94" spans="1:2" x14ac:dyDescent="0.25">
      <c r="A94" s="465"/>
    </row>
    <row r="95" spans="1:2" x14ac:dyDescent="0.25">
      <c r="A95" s="465"/>
    </row>
    <row r="96" spans="1:2" x14ac:dyDescent="0.25">
      <c r="A96" s="465"/>
    </row>
    <row r="97" spans="1:1" x14ac:dyDescent="0.25">
      <c r="A97" s="465"/>
    </row>
    <row r="98" spans="1:1" x14ac:dyDescent="0.25">
      <c r="A98" s="465"/>
    </row>
    <row r="99" spans="1:1" x14ac:dyDescent="0.25">
      <c r="A99" s="465"/>
    </row>
    <row r="100" spans="1:1" x14ac:dyDescent="0.25">
      <c r="A100" s="465"/>
    </row>
    <row r="101" spans="1:1" x14ac:dyDescent="0.25">
      <c r="A101" s="465"/>
    </row>
    <row r="102" spans="1:1" x14ac:dyDescent="0.25">
      <c r="A102" s="465"/>
    </row>
    <row r="103" spans="1:1" x14ac:dyDescent="0.25">
      <c r="A103" s="465"/>
    </row>
    <row r="104" spans="1:1" x14ac:dyDescent="0.25">
      <c r="A104" s="465"/>
    </row>
    <row r="105" spans="1:1" x14ac:dyDescent="0.25">
      <c r="A105" s="465"/>
    </row>
    <row r="106" spans="1:1" x14ac:dyDescent="0.25">
      <c r="A106" s="465"/>
    </row>
    <row r="107" spans="1:1" x14ac:dyDescent="0.25">
      <c r="A107" s="465"/>
    </row>
    <row r="108" spans="1:1" x14ac:dyDescent="0.25">
      <c r="A108" s="465"/>
    </row>
    <row r="109" spans="1:1" x14ac:dyDescent="0.25">
      <c r="A109" s="465"/>
    </row>
    <row r="110" spans="1:1" x14ac:dyDescent="0.25">
      <c r="A110" s="465"/>
    </row>
    <row r="111" spans="1:1" x14ac:dyDescent="0.25">
      <c r="A111" s="465"/>
    </row>
    <row r="112" spans="1:1" x14ac:dyDescent="0.25">
      <c r="A112" s="465"/>
    </row>
    <row r="113" spans="1:1" x14ac:dyDescent="0.25">
      <c r="A113" s="465"/>
    </row>
    <row r="114" spans="1:1" x14ac:dyDescent="0.25">
      <c r="A114" s="465"/>
    </row>
    <row r="115" spans="1:1" x14ac:dyDescent="0.25">
      <c r="A115" s="465"/>
    </row>
    <row r="116" spans="1:1" x14ac:dyDescent="0.25">
      <c r="A116" s="465"/>
    </row>
    <row r="117" spans="1:1" x14ac:dyDescent="0.25">
      <c r="A117" s="465"/>
    </row>
    <row r="118" spans="1:1" x14ac:dyDescent="0.25">
      <c r="A118" s="465"/>
    </row>
    <row r="119" spans="1:1" x14ac:dyDescent="0.25">
      <c r="A119" s="465"/>
    </row>
    <row r="120" spans="1:1" x14ac:dyDescent="0.25">
      <c r="A120" s="465"/>
    </row>
    <row r="121" spans="1:1" x14ac:dyDescent="0.25">
      <c r="A121" s="465"/>
    </row>
    <row r="122" spans="1:1" x14ac:dyDescent="0.25">
      <c r="A122" s="465"/>
    </row>
    <row r="123" spans="1:1" x14ac:dyDescent="0.25">
      <c r="A123" s="465"/>
    </row>
    <row r="124" spans="1:1" x14ac:dyDescent="0.25">
      <c r="A124" s="465"/>
    </row>
    <row r="125" spans="1:1" x14ac:dyDescent="0.25">
      <c r="A125" s="465"/>
    </row>
    <row r="126" spans="1:1" x14ac:dyDescent="0.25">
      <c r="A126" s="465"/>
    </row>
    <row r="127" spans="1:1" x14ac:dyDescent="0.25">
      <c r="A127" s="465"/>
    </row>
    <row r="128" spans="1:1" x14ac:dyDescent="0.25">
      <c r="A128" s="465"/>
    </row>
    <row r="129" spans="1:1" x14ac:dyDescent="0.25">
      <c r="A129" s="465"/>
    </row>
    <row r="130" spans="1:1" x14ac:dyDescent="0.25">
      <c r="A130" s="465"/>
    </row>
    <row r="131" spans="1:1" x14ac:dyDescent="0.25">
      <c r="A131" s="465"/>
    </row>
    <row r="132" spans="1:1" x14ac:dyDescent="0.25">
      <c r="A132" s="465"/>
    </row>
    <row r="133" spans="1:1" x14ac:dyDescent="0.25">
      <c r="A133" s="465"/>
    </row>
    <row r="134" spans="1:1" x14ac:dyDescent="0.25">
      <c r="A134" s="465"/>
    </row>
    <row r="135" spans="1:1" x14ac:dyDescent="0.25">
      <c r="A135" s="465"/>
    </row>
  </sheetData>
  <mergeCells count="4">
    <mergeCell ref="BA11:BA12"/>
    <mergeCell ref="AZ11:AZ12"/>
    <mergeCell ref="BB11:BB12"/>
    <mergeCell ref="AN7:AN9"/>
  </mergeCells>
  <phoneticPr fontId="2" type="noConversion"/>
  <printOptions horizontalCentered="1"/>
  <pageMargins left="0.5" right="0.5" top="0.5" bottom="0.5" header="0.25" footer="0.25"/>
  <pageSetup scale="45" orientation="landscape" r:id="rId1"/>
  <headerFooter alignWithMargins="0">
    <oddHeader xml:space="preserve">&amp;RUG-181053 NWN Compliance Filing
Advice 19-07 / Work Paper
</oddHeader>
    <oddFooter xml:space="preserve">&amp;C&amp;F &amp;D &amp;T
&amp;A  </oddFooter>
  </headerFooter>
  <colBreaks count="1" manualBreakCount="1">
    <brk id="2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39997558519241921"/>
  </sheetPr>
  <dimension ref="A1:W76"/>
  <sheetViews>
    <sheetView showGridLines="0" zoomScaleNormal="100" zoomScaleSheetLayoutView="85" workbookViewId="0">
      <pane xSplit="3" ySplit="12" topLeftCell="D13" activePane="bottomRight" state="frozen"/>
      <selection activeCell="Q32" sqref="Q32"/>
      <selection pane="topRight" activeCell="Q32" sqref="Q32"/>
      <selection pane="bottomLeft" activeCell="Q32" sqref="Q32"/>
      <selection pane="bottomRight" activeCell="G13" sqref="G13"/>
    </sheetView>
  </sheetViews>
  <sheetFormatPr defaultColWidth="9.33203125" defaultRowHeight="13.2" x14ac:dyDescent="0.25"/>
  <cols>
    <col min="1" max="1" width="3.88671875" style="437" customWidth="1"/>
    <col min="2" max="2" width="15.6640625" style="436" bestFit="1" customWidth="1"/>
    <col min="3" max="3" width="7.88671875" style="436" bestFit="1" customWidth="1"/>
    <col min="4" max="4" width="15.88671875" style="476" customWidth="1"/>
    <col min="5" max="5" width="24.88671875" style="476" customWidth="1"/>
    <col min="6" max="6" width="13.88671875" style="478" customWidth="1"/>
    <col min="7" max="14" width="13.88671875" style="436" customWidth="1"/>
    <col min="15" max="17" width="13.88671875" style="436" hidden="1" customWidth="1"/>
    <col min="18" max="20" width="13.88671875" style="437" hidden="1" customWidth="1"/>
    <col min="21" max="21" width="9.33203125" style="437"/>
    <col min="22" max="22" width="14" style="437" bestFit="1" customWidth="1"/>
    <col min="23" max="23" width="13.88671875" style="437" customWidth="1"/>
    <col min="24" max="16384" width="9.33203125" style="437"/>
  </cols>
  <sheetData>
    <row r="1" spans="1:23" ht="13.8" x14ac:dyDescent="0.25">
      <c r="A1" s="435" t="str">
        <f>+'Washington volumes'!A1</f>
        <v>NW Natural</v>
      </c>
      <c r="F1" s="476"/>
    </row>
    <row r="2" spans="1:23" ht="13.8" x14ac:dyDescent="0.25">
      <c r="A2" s="435" t="str">
        <f>+'Washington volumes'!A2</f>
        <v>Rates &amp; Regulatory Affairs</v>
      </c>
      <c r="F2" s="476"/>
    </row>
    <row r="3" spans="1:23" ht="13.8" x14ac:dyDescent="0.25">
      <c r="A3" s="435" t="str">
        <f>+'Washington volumes'!A3</f>
        <v>2019-2020 PGA Filing - Washington: September Filing</v>
      </c>
      <c r="F3" s="476"/>
    </row>
    <row r="4" spans="1:23" ht="13.8" x14ac:dyDescent="0.25">
      <c r="A4" s="435" t="s">
        <v>67</v>
      </c>
      <c r="F4" s="476"/>
    </row>
    <row r="5" spans="1:23" x14ac:dyDescent="0.25">
      <c r="A5" s="1038"/>
      <c r="B5" s="1039"/>
      <c r="C5" s="1039"/>
      <c r="D5" s="1039"/>
      <c r="E5" s="653"/>
      <c r="F5" s="514"/>
      <c r="K5" s="514"/>
    </row>
    <row r="6" spans="1:23" x14ac:dyDescent="0.25">
      <c r="D6" s="436"/>
    </row>
    <row r="7" spans="1:23" ht="15" customHeight="1" thickBot="1" x14ac:dyDescent="0.3">
      <c r="A7" s="521">
        <v>1</v>
      </c>
      <c r="D7" s="469" t="s">
        <v>181</v>
      </c>
      <c r="E7" s="471"/>
      <c r="F7" s="480" t="str">
        <f>+Inputs!C36</f>
        <v>WACOG Deferral</v>
      </c>
      <c r="G7" s="481"/>
      <c r="H7" s="482"/>
      <c r="I7" s="480" t="str">
        <f>+Inputs!C38</f>
        <v>Demand Deferral - FIRM</v>
      </c>
      <c r="J7" s="481"/>
      <c r="K7" s="482"/>
      <c r="L7" s="480" t="str">
        <f>+Inputs!C40</f>
        <v>Demand Deferral - INTERRUPTIBLE</v>
      </c>
      <c r="M7" s="481"/>
      <c r="N7" s="482"/>
      <c r="O7" s="1776" t="s">
        <v>1144</v>
      </c>
      <c r="P7" s="1777"/>
      <c r="Q7" s="1778"/>
      <c r="R7" s="1776" t="s">
        <v>1144</v>
      </c>
      <c r="S7" s="1777"/>
      <c r="T7" s="1778"/>
    </row>
    <row r="8" spans="1:23" ht="15" customHeight="1" thickBot="1" x14ac:dyDescent="0.3">
      <c r="A8" s="521">
        <f t="shared" ref="A8:A62" si="0">+A7+1</f>
        <v>2</v>
      </c>
      <c r="D8" s="469" t="s">
        <v>169</v>
      </c>
      <c r="E8" s="483" t="s">
        <v>54</v>
      </c>
      <c r="F8" s="1605">
        <f>+Inputs!B36</f>
        <v>2800514</v>
      </c>
      <c r="G8" s="462" t="s">
        <v>45</v>
      </c>
      <c r="H8" s="485"/>
      <c r="I8" s="1605">
        <f>+Inputs!B38</f>
        <v>-2262005</v>
      </c>
      <c r="J8" s="462" t="s">
        <v>45</v>
      </c>
      <c r="K8" s="485"/>
      <c r="L8" s="1605">
        <f>+Inputs!B40</f>
        <v>-12361</v>
      </c>
      <c r="M8" s="462" t="s">
        <v>45</v>
      </c>
      <c r="N8" s="485"/>
      <c r="O8" s="1157"/>
      <c r="P8" s="462" t="s">
        <v>45</v>
      </c>
      <c r="Q8" s="485"/>
      <c r="R8" s="484"/>
      <c r="S8" s="462" t="s">
        <v>45</v>
      </c>
      <c r="T8" s="485"/>
    </row>
    <row r="9" spans="1:23" ht="15" customHeight="1" thickBot="1" x14ac:dyDescent="0.3">
      <c r="A9" s="521">
        <f t="shared" si="0"/>
        <v>3</v>
      </c>
      <c r="D9" s="469" t="s">
        <v>71</v>
      </c>
      <c r="E9" s="483" t="s">
        <v>43</v>
      </c>
      <c r="F9" s="522">
        <f>+revsens</f>
        <v>4.1579999999999999E-2</v>
      </c>
      <c r="G9" s="462" t="s">
        <v>58</v>
      </c>
      <c r="H9" s="485"/>
      <c r="I9" s="522">
        <f>+revsens</f>
        <v>4.1579999999999999E-2</v>
      </c>
      <c r="J9" s="462" t="s">
        <v>58</v>
      </c>
      <c r="K9" s="485"/>
      <c r="L9" s="522">
        <f>+revsens</f>
        <v>4.1579999999999999E-2</v>
      </c>
      <c r="M9" s="462" t="s">
        <v>58</v>
      </c>
      <c r="N9" s="485"/>
      <c r="O9" s="522">
        <f>+revsens</f>
        <v>4.1579999999999999E-2</v>
      </c>
      <c r="P9" s="462" t="s">
        <v>58</v>
      </c>
      <c r="Q9" s="485"/>
      <c r="R9" s="522">
        <f>+revsens</f>
        <v>4.1579999999999999E-2</v>
      </c>
      <c r="S9" s="462" t="s">
        <v>58</v>
      </c>
      <c r="T9" s="485"/>
    </row>
    <row r="10" spans="1:23" s="442" customFormat="1" ht="15" customHeight="1" thickBot="1" x14ac:dyDescent="0.3">
      <c r="A10" s="521">
        <f t="shared" si="0"/>
        <v>4</v>
      </c>
      <c r="B10" s="436"/>
      <c r="C10" s="436"/>
      <c r="D10" s="488" t="s">
        <v>704</v>
      </c>
      <c r="E10" s="523" t="s">
        <v>44</v>
      </c>
      <c r="F10" s="524">
        <f>ROUND(+F8/(1-F9),0)</f>
        <v>2922011</v>
      </c>
      <c r="G10" s="491" t="s">
        <v>170</v>
      </c>
      <c r="H10" s="492"/>
      <c r="I10" s="524">
        <f>ROUND(+I8/(1-I9),0)</f>
        <v>-2360140</v>
      </c>
      <c r="J10" s="491" t="s">
        <v>51</v>
      </c>
      <c r="K10" s="492"/>
      <c r="L10" s="524">
        <f>ROUND(+L8/(1-L9),0)</f>
        <v>-12897</v>
      </c>
      <c r="M10" s="491" t="s">
        <v>180</v>
      </c>
      <c r="N10" s="492"/>
      <c r="O10" s="524">
        <f>IF(O9="N/A",O8,ROUND(+O8/(1-O9),0))</f>
        <v>0</v>
      </c>
      <c r="P10" s="491" t="s">
        <v>179</v>
      </c>
      <c r="Q10" s="492"/>
      <c r="R10" s="524">
        <f>IF(R9="N/A",R8,ROUND(+R8/(1-R9),0))</f>
        <v>0</v>
      </c>
      <c r="S10" s="491" t="s">
        <v>180</v>
      </c>
      <c r="T10" s="492"/>
      <c r="V10" s="1462"/>
      <c r="W10" s="1462"/>
    </row>
    <row r="11" spans="1:23" s="442" customFormat="1" x14ac:dyDescent="0.25">
      <c r="A11" s="521">
        <f t="shared" si="0"/>
        <v>5</v>
      </c>
      <c r="B11" s="436"/>
      <c r="C11" s="436"/>
      <c r="D11" s="443"/>
      <c r="E11" s="493"/>
      <c r="F11" s="494" t="s">
        <v>41</v>
      </c>
      <c r="G11" s="444" t="s">
        <v>27</v>
      </c>
      <c r="H11" s="495" t="s">
        <v>42</v>
      </c>
      <c r="I11" s="494" t="s">
        <v>41</v>
      </c>
      <c r="J11" s="444" t="s">
        <v>27</v>
      </c>
      <c r="K11" s="495" t="s">
        <v>42</v>
      </c>
      <c r="L11" s="494" t="s">
        <v>41</v>
      </c>
      <c r="M11" s="444" t="s">
        <v>27</v>
      </c>
      <c r="N11" s="495" t="s">
        <v>42</v>
      </c>
      <c r="O11" s="494" t="s">
        <v>41</v>
      </c>
      <c r="P11" s="444" t="s">
        <v>27</v>
      </c>
      <c r="Q11" s="495" t="s">
        <v>42</v>
      </c>
      <c r="R11" s="494" t="s">
        <v>41</v>
      </c>
      <c r="S11" s="444" t="s">
        <v>27</v>
      </c>
      <c r="T11" s="495" t="s">
        <v>42</v>
      </c>
    </row>
    <row r="12" spans="1:23" s="442" customFormat="1" x14ac:dyDescent="0.25">
      <c r="A12" s="521">
        <f t="shared" si="0"/>
        <v>6</v>
      </c>
      <c r="B12" s="496" t="s">
        <v>2</v>
      </c>
      <c r="C12" s="496" t="s">
        <v>3</v>
      </c>
      <c r="D12" s="446" t="s">
        <v>77</v>
      </c>
      <c r="E12" s="497"/>
      <c r="F12" s="498" t="s">
        <v>78</v>
      </c>
      <c r="G12" s="446" t="s">
        <v>16</v>
      </c>
      <c r="H12" s="499" t="s">
        <v>79</v>
      </c>
      <c r="I12" s="498" t="s">
        <v>80</v>
      </c>
      <c r="J12" s="446" t="s">
        <v>81</v>
      </c>
      <c r="K12" s="499" t="s">
        <v>82</v>
      </c>
      <c r="L12" s="498" t="s">
        <v>83</v>
      </c>
      <c r="M12" s="446" t="s">
        <v>84</v>
      </c>
      <c r="N12" s="499" t="s">
        <v>85</v>
      </c>
      <c r="O12" s="498" t="s">
        <v>86</v>
      </c>
      <c r="P12" s="446" t="s">
        <v>87</v>
      </c>
      <c r="Q12" s="499" t="s">
        <v>88</v>
      </c>
      <c r="R12" s="498" t="s">
        <v>89</v>
      </c>
      <c r="S12" s="446" t="s">
        <v>90</v>
      </c>
      <c r="T12" s="499" t="s">
        <v>182</v>
      </c>
      <c r="U12" s="525"/>
    </row>
    <row r="13" spans="1:23" x14ac:dyDescent="0.25">
      <c r="A13" s="521">
        <f t="shared" si="0"/>
        <v>7</v>
      </c>
      <c r="B13" s="450" t="s">
        <v>4</v>
      </c>
      <c r="C13" s="447"/>
      <c r="D13" s="500">
        <f>+'Washington volumes'!J13</f>
        <v>196915.9</v>
      </c>
      <c r="E13" s="526"/>
      <c r="F13" s="502">
        <v>1</v>
      </c>
      <c r="G13" s="500">
        <f t="shared" ref="G13:G66" si="1">+$D13*F13</f>
        <v>196915.9</v>
      </c>
      <c r="H13" s="1563">
        <f>+F13*$H$69</f>
        <v>3.5499999999999997E-2</v>
      </c>
      <c r="I13" s="502">
        <v>1</v>
      </c>
      <c r="J13" s="500">
        <f t="shared" ref="J13:J66" si="2">+$D13*I13</f>
        <v>196915.9</v>
      </c>
      <c r="K13" s="1563">
        <f>+I13*$K$69</f>
        <v>-2.912E-2</v>
      </c>
      <c r="L13" s="502">
        <v>0</v>
      </c>
      <c r="M13" s="500">
        <f t="shared" ref="M13:M66" si="3">+$D13*L13</f>
        <v>0</v>
      </c>
      <c r="N13" s="1563">
        <f>+L13*$N$69</f>
        <v>0</v>
      </c>
      <c r="O13" s="502">
        <v>0</v>
      </c>
      <c r="P13" s="500">
        <f t="shared" ref="P13:P66" si="4">+$D13*O13</f>
        <v>0</v>
      </c>
      <c r="Q13" s="503"/>
      <c r="R13" s="502">
        <v>0</v>
      </c>
      <c r="S13" s="500">
        <f t="shared" ref="S13:S66" si="5">+$D13*R13</f>
        <v>0</v>
      </c>
      <c r="T13" s="503"/>
    </row>
    <row r="14" spans="1:23" x14ac:dyDescent="0.25">
      <c r="A14" s="521">
        <f t="shared" si="0"/>
        <v>8</v>
      </c>
      <c r="B14" s="450" t="s">
        <v>5</v>
      </c>
      <c r="C14" s="447"/>
      <c r="D14" s="500">
        <f>+'Washington volumes'!J14</f>
        <v>41008.9</v>
      </c>
      <c r="E14" s="526"/>
      <c r="F14" s="502">
        <v>1</v>
      </c>
      <c r="G14" s="500">
        <f t="shared" si="1"/>
        <v>41008.9</v>
      </c>
      <c r="H14" s="1563">
        <f>+F14*$H$69</f>
        <v>3.5499999999999997E-2</v>
      </c>
      <c r="I14" s="502">
        <v>1</v>
      </c>
      <c r="J14" s="500">
        <f t="shared" si="2"/>
        <v>41008.9</v>
      </c>
      <c r="K14" s="1563">
        <f>+I14*$K$69</f>
        <v>-2.912E-2</v>
      </c>
      <c r="L14" s="502">
        <v>0</v>
      </c>
      <c r="M14" s="500">
        <f t="shared" si="3"/>
        <v>0</v>
      </c>
      <c r="N14" s="1563">
        <f>+L14*$N$69</f>
        <v>0</v>
      </c>
      <c r="O14" s="502">
        <v>0</v>
      </c>
      <c r="P14" s="500">
        <f t="shared" si="4"/>
        <v>0</v>
      </c>
      <c r="Q14" s="503"/>
      <c r="R14" s="502">
        <v>0</v>
      </c>
      <c r="S14" s="500">
        <f t="shared" si="5"/>
        <v>0</v>
      </c>
      <c r="T14" s="503"/>
    </row>
    <row r="15" spans="1:23" x14ac:dyDescent="0.25">
      <c r="A15" s="521">
        <f t="shared" si="0"/>
        <v>9</v>
      </c>
      <c r="B15" s="450" t="s">
        <v>14</v>
      </c>
      <c r="C15" s="447"/>
      <c r="D15" s="500">
        <f>+'Washington volumes'!J15</f>
        <v>53306699.299999997</v>
      </c>
      <c r="E15" s="526"/>
      <c r="F15" s="502">
        <v>1</v>
      </c>
      <c r="G15" s="500">
        <f t="shared" si="1"/>
        <v>53306699.299999997</v>
      </c>
      <c r="H15" s="1563">
        <f>+F15*$H$69</f>
        <v>3.5499999999999997E-2</v>
      </c>
      <c r="I15" s="502">
        <v>1</v>
      </c>
      <c r="J15" s="500">
        <f t="shared" si="2"/>
        <v>53306699.299999997</v>
      </c>
      <c r="K15" s="1563">
        <f>+I15*$K$69</f>
        <v>-2.912E-2</v>
      </c>
      <c r="L15" s="502">
        <v>0</v>
      </c>
      <c r="M15" s="500">
        <f t="shared" si="3"/>
        <v>0</v>
      </c>
      <c r="N15" s="1563">
        <f>+L15*$N$69</f>
        <v>0</v>
      </c>
      <c r="O15" s="502">
        <v>0</v>
      </c>
      <c r="P15" s="500">
        <f t="shared" si="4"/>
        <v>0</v>
      </c>
      <c r="Q15" s="503"/>
      <c r="R15" s="502">
        <v>0</v>
      </c>
      <c r="S15" s="500">
        <f t="shared" si="5"/>
        <v>0</v>
      </c>
      <c r="T15" s="503"/>
    </row>
    <row r="16" spans="1:23" x14ac:dyDescent="0.25">
      <c r="A16" s="521">
        <f t="shared" si="0"/>
        <v>10</v>
      </c>
      <c r="B16" s="450" t="s">
        <v>12</v>
      </c>
      <c r="C16" s="447"/>
      <c r="D16" s="500">
        <f>+'Washington volumes'!J16</f>
        <v>18528180.699999999</v>
      </c>
      <c r="E16" s="526"/>
      <c r="F16" s="502">
        <v>1</v>
      </c>
      <c r="G16" s="500">
        <f t="shared" si="1"/>
        <v>18528180.699999999</v>
      </c>
      <c r="H16" s="1563">
        <f>+F16*$H$69</f>
        <v>3.5499999999999997E-2</v>
      </c>
      <c r="I16" s="502">
        <v>1</v>
      </c>
      <c r="J16" s="500">
        <f t="shared" si="2"/>
        <v>18528180.699999999</v>
      </c>
      <c r="K16" s="1563">
        <f>+I16*$K$69</f>
        <v>-2.912E-2</v>
      </c>
      <c r="L16" s="502">
        <v>0</v>
      </c>
      <c r="M16" s="500">
        <f t="shared" si="3"/>
        <v>0</v>
      </c>
      <c r="N16" s="1563">
        <f>+L16*$N$69</f>
        <v>0</v>
      </c>
      <c r="O16" s="502">
        <v>0</v>
      </c>
      <c r="P16" s="500">
        <f t="shared" si="4"/>
        <v>0</v>
      </c>
      <c r="Q16" s="503"/>
      <c r="R16" s="502">
        <v>0</v>
      </c>
      <c r="S16" s="500">
        <f t="shared" si="5"/>
        <v>0</v>
      </c>
      <c r="T16" s="503"/>
    </row>
    <row r="17" spans="1:20" x14ac:dyDescent="0.25">
      <c r="A17" s="521">
        <f t="shared" si="0"/>
        <v>11</v>
      </c>
      <c r="B17" s="450" t="s">
        <v>13</v>
      </c>
      <c r="C17" s="447"/>
      <c r="D17" s="500">
        <f>+'Washington volumes'!J17</f>
        <v>363801</v>
      </c>
      <c r="E17" s="526"/>
      <c r="F17" s="502">
        <v>1</v>
      </c>
      <c r="G17" s="500">
        <f t="shared" si="1"/>
        <v>363801</v>
      </c>
      <c r="H17" s="1563">
        <f>+F17*$H$69</f>
        <v>3.5499999999999997E-2</v>
      </c>
      <c r="I17" s="502">
        <v>1</v>
      </c>
      <c r="J17" s="500">
        <f t="shared" si="2"/>
        <v>363801</v>
      </c>
      <c r="K17" s="1563">
        <f>+I17*$K$69</f>
        <v>-2.912E-2</v>
      </c>
      <c r="L17" s="502">
        <v>0</v>
      </c>
      <c r="M17" s="500">
        <f t="shared" si="3"/>
        <v>0</v>
      </c>
      <c r="N17" s="1563">
        <f>+L17*$N$69</f>
        <v>0</v>
      </c>
      <c r="O17" s="502">
        <v>0</v>
      </c>
      <c r="P17" s="500">
        <f t="shared" si="4"/>
        <v>0</v>
      </c>
      <c r="Q17" s="503"/>
      <c r="R17" s="502">
        <v>0</v>
      </c>
      <c r="S17" s="500">
        <f t="shared" si="5"/>
        <v>0</v>
      </c>
      <c r="T17" s="503"/>
    </row>
    <row r="18" spans="1:20" x14ac:dyDescent="0.25">
      <c r="A18" s="521">
        <f t="shared" si="0"/>
        <v>12</v>
      </c>
      <c r="B18" s="510">
        <v>27</v>
      </c>
      <c r="C18" s="455"/>
      <c r="D18" s="500">
        <f>+'Washington volumes'!J18</f>
        <v>575777.19999999995</v>
      </c>
      <c r="E18" s="526"/>
      <c r="F18" s="502">
        <v>1</v>
      </c>
      <c r="G18" s="500">
        <f t="shared" si="1"/>
        <v>575777.19999999995</v>
      </c>
      <c r="H18" s="1563">
        <f t="shared" ref="H18:H66" si="6">+F18*$H$69</f>
        <v>3.5499999999999997E-2</v>
      </c>
      <c r="I18" s="502">
        <v>1</v>
      </c>
      <c r="J18" s="500">
        <f t="shared" si="2"/>
        <v>575777.19999999995</v>
      </c>
      <c r="K18" s="1563">
        <f t="shared" ref="K18:K66" si="7">+I18*$K$69</f>
        <v>-2.912E-2</v>
      </c>
      <c r="L18" s="502">
        <v>0</v>
      </c>
      <c r="M18" s="500">
        <f t="shared" si="3"/>
        <v>0</v>
      </c>
      <c r="N18" s="1563">
        <f t="shared" ref="N18:N66" si="8">+L18*$N$69</f>
        <v>0</v>
      </c>
      <c r="O18" s="502">
        <v>0</v>
      </c>
      <c r="P18" s="500">
        <f t="shared" si="4"/>
        <v>0</v>
      </c>
      <c r="Q18" s="503"/>
      <c r="R18" s="502">
        <v>0</v>
      </c>
      <c r="S18" s="500">
        <f t="shared" si="5"/>
        <v>0</v>
      </c>
      <c r="T18" s="503"/>
    </row>
    <row r="19" spans="1:20" x14ac:dyDescent="0.25">
      <c r="A19" s="521">
        <f t="shared" si="0"/>
        <v>13</v>
      </c>
      <c r="B19" s="505" t="s">
        <v>857</v>
      </c>
      <c r="C19" s="452" t="s">
        <v>6</v>
      </c>
      <c r="D19" s="506">
        <f>+'Washington volumes'!J19</f>
        <v>1970232.1</v>
      </c>
      <c r="E19" s="527"/>
      <c r="F19" s="507">
        <v>1</v>
      </c>
      <c r="G19" s="506">
        <f t="shared" si="1"/>
        <v>1970232.1</v>
      </c>
      <c r="H19" s="1564">
        <f t="shared" si="6"/>
        <v>3.5499999999999997E-2</v>
      </c>
      <c r="I19" s="507">
        <v>1</v>
      </c>
      <c r="J19" s="506">
        <f t="shared" si="2"/>
        <v>1970232.1</v>
      </c>
      <c r="K19" s="1564">
        <f t="shared" si="7"/>
        <v>-2.912E-2</v>
      </c>
      <c r="L19" s="507">
        <v>0</v>
      </c>
      <c r="M19" s="506">
        <f t="shared" si="3"/>
        <v>0</v>
      </c>
      <c r="N19" s="1564">
        <f t="shared" si="8"/>
        <v>0</v>
      </c>
      <c r="O19" s="507">
        <v>0</v>
      </c>
      <c r="P19" s="506">
        <f t="shared" si="4"/>
        <v>0</v>
      </c>
      <c r="Q19" s="509"/>
      <c r="R19" s="507">
        <v>0</v>
      </c>
      <c r="S19" s="506">
        <f t="shared" si="5"/>
        <v>0</v>
      </c>
      <c r="T19" s="509"/>
    </row>
    <row r="20" spans="1:20" x14ac:dyDescent="0.25">
      <c r="A20" s="521">
        <f t="shared" si="0"/>
        <v>14</v>
      </c>
      <c r="B20" s="510"/>
      <c r="C20" s="456" t="s">
        <v>7</v>
      </c>
      <c r="D20" s="500">
        <f>+'Washington volumes'!J20</f>
        <v>2123869.7999999998</v>
      </c>
      <c r="E20" s="526"/>
      <c r="F20" s="502">
        <v>1</v>
      </c>
      <c r="G20" s="500">
        <f t="shared" si="1"/>
        <v>2123869.7999999998</v>
      </c>
      <c r="H20" s="1563">
        <f t="shared" si="6"/>
        <v>3.5499999999999997E-2</v>
      </c>
      <c r="I20" s="502">
        <v>1</v>
      </c>
      <c r="J20" s="500">
        <f t="shared" si="2"/>
        <v>2123869.7999999998</v>
      </c>
      <c r="K20" s="1563">
        <f t="shared" si="7"/>
        <v>-2.912E-2</v>
      </c>
      <c r="L20" s="502">
        <v>0</v>
      </c>
      <c r="M20" s="500">
        <f t="shared" si="3"/>
        <v>0</v>
      </c>
      <c r="N20" s="1563">
        <f t="shared" si="8"/>
        <v>0</v>
      </c>
      <c r="O20" s="502">
        <v>0</v>
      </c>
      <c r="P20" s="500">
        <f t="shared" si="4"/>
        <v>0</v>
      </c>
      <c r="Q20" s="503"/>
      <c r="R20" s="502">
        <v>0</v>
      </c>
      <c r="S20" s="500">
        <f t="shared" si="5"/>
        <v>0</v>
      </c>
      <c r="T20" s="503"/>
    </row>
    <row r="21" spans="1:20" x14ac:dyDescent="0.25">
      <c r="A21" s="521">
        <f t="shared" si="0"/>
        <v>15</v>
      </c>
      <c r="B21" s="505" t="s">
        <v>858</v>
      </c>
      <c r="C21" s="452" t="s">
        <v>6</v>
      </c>
      <c r="D21" s="506">
        <f>+'Washington volumes'!J21</f>
        <v>0</v>
      </c>
      <c r="E21" s="527"/>
      <c r="F21" s="507">
        <v>1</v>
      </c>
      <c r="G21" s="506">
        <f>+$D21*F21</f>
        <v>0</v>
      </c>
      <c r="H21" s="1564">
        <f>+F21*$H$69</f>
        <v>3.5499999999999997E-2</v>
      </c>
      <c r="I21" s="507">
        <v>0</v>
      </c>
      <c r="J21" s="506">
        <f>+$D21*I21</f>
        <v>0</v>
      </c>
      <c r="K21" s="1564">
        <f>+I21*$K$69</f>
        <v>0</v>
      </c>
      <c r="L21" s="507">
        <v>1</v>
      </c>
      <c r="M21" s="506">
        <f>+$D21*L21</f>
        <v>0</v>
      </c>
      <c r="N21" s="1564">
        <f>+L21*$N$69</f>
        <v>-1.017E-2</v>
      </c>
      <c r="O21" s="507">
        <v>0</v>
      </c>
      <c r="P21" s="506">
        <f>+$D21*O21</f>
        <v>0</v>
      </c>
      <c r="Q21" s="509"/>
      <c r="R21" s="507">
        <v>0</v>
      </c>
      <c r="S21" s="506">
        <f>+$D21*R21</f>
        <v>0</v>
      </c>
      <c r="T21" s="509"/>
    </row>
    <row r="22" spans="1:20" x14ac:dyDescent="0.25">
      <c r="A22" s="521">
        <f t="shared" si="0"/>
        <v>16</v>
      </c>
      <c r="B22" s="510"/>
      <c r="C22" s="456" t="s">
        <v>7</v>
      </c>
      <c r="D22" s="500">
        <f>+'Washington volumes'!J22</f>
        <v>0</v>
      </c>
      <c r="E22" s="526"/>
      <c r="F22" s="502">
        <v>1</v>
      </c>
      <c r="G22" s="500">
        <f>+$D22*F22</f>
        <v>0</v>
      </c>
      <c r="H22" s="1563">
        <f>+F22*$H$69</f>
        <v>3.5499999999999997E-2</v>
      </c>
      <c r="I22" s="502">
        <v>0</v>
      </c>
      <c r="J22" s="500">
        <f>+$D22*I22</f>
        <v>0</v>
      </c>
      <c r="K22" s="1563">
        <f>+I22*$K$69</f>
        <v>0</v>
      </c>
      <c r="L22" s="502">
        <v>1</v>
      </c>
      <c r="M22" s="500">
        <f>+$D22*L22</f>
        <v>0</v>
      </c>
      <c r="N22" s="1563">
        <f>+L22*$N$69</f>
        <v>-1.017E-2</v>
      </c>
      <c r="O22" s="502">
        <v>0</v>
      </c>
      <c r="P22" s="500">
        <f>+$D22*O22</f>
        <v>0</v>
      </c>
      <c r="Q22" s="503"/>
      <c r="R22" s="502">
        <v>0</v>
      </c>
      <c r="S22" s="500">
        <f>+$D22*R22</f>
        <v>0</v>
      </c>
      <c r="T22" s="503"/>
    </row>
    <row r="23" spans="1:20" x14ac:dyDescent="0.25">
      <c r="A23" s="521">
        <f t="shared" si="0"/>
        <v>17</v>
      </c>
      <c r="B23" s="505" t="s">
        <v>161</v>
      </c>
      <c r="C23" s="452" t="s">
        <v>6</v>
      </c>
      <c r="D23" s="506">
        <f>+'Washington volumes'!J23</f>
        <v>303749</v>
      </c>
      <c r="E23" s="527"/>
      <c r="F23" s="507">
        <v>0</v>
      </c>
      <c r="G23" s="506">
        <f t="shared" si="1"/>
        <v>0</v>
      </c>
      <c r="H23" s="1564">
        <f t="shared" si="6"/>
        <v>0</v>
      </c>
      <c r="I23" s="507">
        <v>0</v>
      </c>
      <c r="J23" s="506">
        <f t="shared" si="2"/>
        <v>0</v>
      </c>
      <c r="K23" s="1564">
        <f t="shared" si="7"/>
        <v>0</v>
      </c>
      <c r="L23" s="507">
        <v>0</v>
      </c>
      <c r="M23" s="506">
        <f t="shared" si="3"/>
        <v>0</v>
      </c>
      <c r="N23" s="1564">
        <f t="shared" si="8"/>
        <v>0</v>
      </c>
      <c r="O23" s="507">
        <v>0</v>
      </c>
      <c r="P23" s="506">
        <f t="shared" si="4"/>
        <v>0</v>
      </c>
      <c r="Q23" s="509"/>
      <c r="R23" s="507">
        <v>0</v>
      </c>
      <c r="S23" s="506">
        <f t="shared" si="5"/>
        <v>0</v>
      </c>
      <c r="T23" s="509"/>
    </row>
    <row r="24" spans="1:20" x14ac:dyDescent="0.25">
      <c r="A24" s="521">
        <f t="shared" si="0"/>
        <v>18</v>
      </c>
      <c r="B24" s="510"/>
      <c r="C24" s="456" t="s">
        <v>7</v>
      </c>
      <c r="D24" s="500">
        <f>+'Washington volumes'!J24</f>
        <v>484375</v>
      </c>
      <c r="E24" s="526"/>
      <c r="F24" s="502">
        <v>0</v>
      </c>
      <c r="G24" s="500">
        <f t="shared" si="1"/>
        <v>0</v>
      </c>
      <c r="H24" s="1563">
        <f t="shared" si="6"/>
        <v>0</v>
      </c>
      <c r="I24" s="502">
        <v>0</v>
      </c>
      <c r="J24" s="500">
        <f t="shared" si="2"/>
        <v>0</v>
      </c>
      <c r="K24" s="1563">
        <f t="shared" si="7"/>
        <v>0</v>
      </c>
      <c r="L24" s="502">
        <v>0</v>
      </c>
      <c r="M24" s="500">
        <f t="shared" si="3"/>
        <v>0</v>
      </c>
      <c r="N24" s="1563">
        <f t="shared" si="8"/>
        <v>0</v>
      </c>
      <c r="O24" s="502">
        <v>0</v>
      </c>
      <c r="P24" s="500">
        <f t="shared" si="4"/>
        <v>0</v>
      </c>
      <c r="Q24" s="503"/>
      <c r="R24" s="502">
        <v>0</v>
      </c>
      <c r="S24" s="500">
        <f t="shared" si="5"/>
        <v>0</v>
      </c>
      <c r="T24" s="503"/>
    </row>
    <row r="25" spans="1:20" x14ac:dyDescent="0.25">
      <c r="A25" s="521">
        <f t="shared" si="0"/>
        <v>19</v>
      </c>
      <c r="B25" s="505" t="s">
        <v>859</v>
      </c>
      <c r="C25" s="452" t="s">
        <v>6</v>
      </c>
      <c r="D25" s="506">
        <f>+'Washington volumes'!J25</f>
        <v>360236</v>
      </c>
      <c r="E25" s="527"/>
      <c r="F25" s="507">
        <v>1</v>
      </c>
      <c r="G25" s="506">
        <f>+$D25*F25</f>
        <v>360236</v>
      </c>
      <c r="H25" s="1564">
        <f>+F25*$H$69</f>
        <v>3.5499999999999997E-2</v>
      </c>
      <c r="I25" s="507">
        <v>1</v>
      </c>
      <c r="J25" s="506">
        <f>+$D25*I25</f>
        <v>360236</v>
      </c>
      <c r="K25" s="1564">
        <f>+I25*$K$69</f>
        <v>-2.912E-2</v>
      </c>
      <c r="L25" s="507">
        <v>0</v>
      </c>
      <c r="M25" s="506">
        <f>+$D25*L25</f>
        <v>0</v>
      </c>
      <c r="N25" s="1564">
        <f>+L25*$N$69</f>
        <v>0</v>
      </c>
      <c r="O25" s="507">
        <v>0</v>
      </c>
      <c r="P25" s="506">
        <f>+$D25*O25</f>
        <v>0</v>
      </c>
      <c r="Q25" s="509"/>
      <c r="R25" s="507">
        <v>0</v>
      </c>
      <c r="S25" s="506">
        <f>+$D25*R25</f>
        <v>0</v>
      </c>
      <c r="T25" s="509"/>
    </row>
    <row r="26" spans="1:20" x14ac:dyDescent="0.25">
      <c r="A26" s="521">
        <f t="shared" si="0"/>
        <v>20</v>
      </c>
      <c r="B26" s="510"/>
      <c r="C26" s="456" t="s">
        <v>7</v>
      </c>
      <c r="D26" s="500">
        <f>+'Washington volumes'!J26</f>
        <v>542040</v>
      </c>
      <c r="E26" s="526"/>
      <c r="F26" s="502">
        <v>1</v>
      </c>
      <c r="G26" s="500">
        <f>+$D26*F26</f>
        <v>542040</v>
      </c>
      <c r="H26" s="1563">
        <f>+F26*$H$69</f>
        <v>3.5499999999999997E-2</v>
      </c>
      <c r="I26" s="502">
        <v>1</v>
      </c>
      <c r="J26" s="500">
        <f>+$D26*I26</f>
        <v>542040</v>
      </c>
      <c r="K26" s="1563">
        <f>+I26*$K$69</f>
        <v>-2.912E-2</v>
      </c>
      <c r="L26" s="502">
        <v>0</v>
      </c>
      <c r="M26" s="500">
        <f>+$D26*L26</f>
        <v>0</v>
      </c>
      <c r="N26" s="1563">
        <f>+L26*$N$69</f>
        <v>0</v>
      </c>
      <c r="O26" s="502">
        <v>0</v>
      </c>
      <c r="P26" s="500">
        <f>+$D26*O26</f>
        <v>0</v>
      </c>
      <c r="Q26" s="503"/>
      <c r="R26" s="502">
        <v>0</v>
      </c>
      <c r="S26" s="500">
        <f>+$D26*R26</f>
        <v>0</v>
      </c>
      <c r="T26" s="503"/>
    </row>
    <row r="27" spans="1:20" x14ac:dyDescent="0.25">
      <c r="A27" s="521">
        <f t="shared" si="0"/>
        <v>21</v>
      </c>
      <c r="B27" s="505" t="s">
        <v>860</v>
      </c>
      <c r="C27" s="452" t="s">
        <v>6</v>
      </c>
      <c r="D27" s="506">
        <f>+'Washington volumes'!J27</f>
        <v>0</v>
      </c>
      <c r="E27" s="527"/>
      <c r="F27" s="507">
        <v>1</v>
      </c>
      <c r="G27" s="506">
        <f t="shared" si="1"/>
        <v>0</v>
      </c>
      <c r="H27" s="1564">
        <f t="shared" si="6"/>
        <v>3.5499999999999997E-2</v>
      </c>
      <c r="I27" s="507">
        <v>0</v>
      </c>
      <c r="J27" s="506">
        <f t="shared" si="2"/>
        <v>0</v>
      </c>
      <c r="K27" s="1564">
        <f t="shared" si="7"/>
        <v>0</v>
      </c>
      <c r="L27" s="507">
        <v>1</v>
      </c>
      <c r="M27" s="506">
        <f t="shared" si="3"/>
        <v>0</v>
      </c>
      <c r="N27" s="1564">
        <f t="shared" si="8"/>
        <v>-1.017E-2</v>
      </c>
      <c r="O27" s="507">
        <v>0</v>
      </c>
      <c r="P27" s="506">
        <f t="shared" si="4"/>
        <v>0</v>
      </c>
      <c r="Q27" s="509"/>
      <c r="R27" s="507">
        <v>0</v>
      </c>
      <c r="S27" s="506">
        <f t="shared" si="5"/>
        <v>0</v>
      </c>
      <c r="T27" s="509"/>
    </row>
    <row r="28" spans="1:20" x14ac:dyDescent="0.25">
      <c r="A28" s="521">
        <f t="shared" si="0"/>
        <v>22</v>
      </c>
      <c r="B28" s="510"/>
      <c r="C28" s="456" t="s">
        <v>7</v>
      </c>
      <c r="D28" s="500">
        <f>+'Washington volumes'!J28</f>
        <v>0</v>
      </c>
      <c r="E28" s="526"/>
      <c r="F28" s="502">
        <v>1</v>
      </c>
      <c r="G28" s="500">
        <f t="shared" si="1"/>
        <v>0</v>
      </c>
      <c r="H28" s="1563">
        <f t="shared" si="6"/>
        <v>3.5499999999999997E-2</v>
      </c>
      <c r="I28" s="502">
        <v>0</v>
      </c>
      <c r="J28" s="500">
        <f t="shared" si="2"/>
        <v>0</v>
      </c>
      <c r="K28" s="1563">
        <f t="shared" si="7"/>
        <v>0</v>
      </c>
      <c r="L28" s="502">
        <v>1</v>
      </c>
      <c r="M28" s="500">
        <f t="shared" si="3"/>
        <v>0</v>
      </c>
      <c r="N28" s="1563">
        <f t="shared" si="8"/>
        <v>-1.017E-2</v>
      </c>
      <c r="O28" s="502">
        <v>0</v>
      </c>
      <c r="P28" s="500">
        <f t="shared" si="4"/>
        <v>0</v>
      </c>
      <c r="Q28" s="503"/>
      <c r="R28" s="502">
        <v>0</v>
      </c>
      <c r="S28" s="500">
        <f t="shared" si="5"/>
        <v>0</v>
      </c>
      <c r="T28" s="503"/>
    </row>
    <row r="29" spans="1:20" x14ac:dyDescent="0.25">
      <c r="A29" s="521">
        <f t="shared" si="0"/>
        <v>23</v>
      </c>
      <c r="B29" s="505" t="s">
        <v>163</v>
      </c>
      <c r="C29" s="452" t="s">
        <v>6</v>
      </c>
      <c r="D29" s="506">
        <f>+'Washington volumes'!J29</f>
        <v>561182.4</v>
      </c>
      <c r="E29" s="527"/>
      <c r="F29" s="507">
        <v>1</v>
      </c>
      <c r="G29" s="506">
        <f t="shared" si="1"/>
        <v>561182.4</v>
      </c>
      <c r="H29" s="1564">
        <f t="shared" si="6"/>
        <v>3.5499999999999997E-2</v>
      </c>
      <c r="I29" s="507">
        <v>1</v>
      </c>
      <c r="J29" s="506">
        <f t="shared" si="2"/>
        <v>561182.4</v>
      </c>
      <c r="K29" s="1564">
        <f t="shared" si="7"/>
        <v>-2.912E-2</v>
      </c>
      <c r="L29" s="507">
        <v>0</v>
      </c>
      <c r="M29" s="506">
        <f t="shared" si="3"/>
        <v>0</v>
      </c>
      <c r="N29" s="1564">
        <f t="shared" si="8"/>
        <v>0</v>
      </c>
      <c r="O29" s="507">
        <v>0</v>
      </c>
      <c r="P29" s="506">
        <f t="shared" si="4"/>
        <v>0</v>
      </c>
      <c r="Q29" s="509"/>
      <c r="R29" s="507">
        <v>0</v>
      </c>
      <c r="S29" s="506">
        <f t="shared" si="5"/>
        <v>0</v>
      </c>
      <c r="T29" s="509"/>
    </row>
    <row r="30" spans="1:20" x14ac:dyDescent="0.25">
      <c r="A30" s="521">
        <f t="shared" si="0"/>
        <v>24</v>
      </c>
      <c r="B30" s="505"/>
      <c r="C30" s="452" t="s">
        <v>7</v>
      </c>
      <c r="D30" s="506">
        <f>+'Washington volumes'!J30</f>
        <v>481861</v>
      </c>
      <c r="E30" s="527"/>
      <c r="F30" s="507">
        <v>1</v>
      </c>
      <c r="G30" s="506">
        <f t="shared" si="1"/>
        <v>481861</v>
      </c>
      <c r="H30" s="1564">
        <f t="shared" si="6"/>
        <v>3.5499999999999997E-2</v>
      </c>
      <c r="I30" s="507">
        <v>1</v>
      </c>
      <c r="J30" s="506">
        <f t="shared" si="2"/>
        <v>481861</v>
      </c>
      <c r="K30" s="1564">
        <f t="shared" si="7"/>
        <v>-2.912E-2</v>
      </c>
      <c r="L30" s="507">
        <v>0</v>
      </c>
      <c r="M30" s="506">
        <f t="shared" si="3"/>
        <v>0</v>
      </c>
      <c r="N30" s="1564">
        <f t="shared" si="8"/>
        <v>0</v>
      </c>
      <c r="O30" s="507">
        <v>0</v>
      </c>
      <c r="P30" s="506">
        <f t="shared" si="4"/>
        <v>0</v>
      </c>
      <c r="Q30" s="509"/>
      <c r="R30" s="507">
        <v>0</v>
      </c>
      <c r="S30" s="506">
        <f t="shared" si="5"/>
        <v>0</v>
      </c>
      <c r="T30" s="509"/>
    </row>
    <row r="31" spans="1:20" x14ac:dyDescent="0.25">
      <c r="A31" s="521">
        <f t="shared" si="0"/>
        <v>25</v>
      </c>
      <c r="B31" s="505"/>
      <c r="C31" s="452" t="s">
        <v>8</v>
      </c>
      <c r="D31" s="506">
        <f>+'Washington volumes'!J31</f>
        <v>131374.9</v>
      </c>
      <c r="E31" s="527"/>
      <c r="F31" s="507">
        <v>1</v>
      </c>
      <c r="G31" s="506">
        <f t="shared" si="1"/>
        <v>131374.9</v>
      </c>
      <c r="H31" s="1564">
        <f t="shared" si="6"/>
        <v>3.5499999999999997E-2</v>
      </c>
      <c r="I31" s="507">
        <v>1</v>
      </c>
      <c r="J31" s="506">
        <f t="shared" si="2"/>
        <v>131374.9</v>
      </c>
      <c r="K31" s="1564">
        <f t="shared" si="7"/>
        <v>-2.912E-2</v>
      </c>
      <c r="L31" s="507">
        <v>0</v>
      </c>
      <c r="M31" s="506">
        <f t="shared" si="3"/>
        <v>0</v>
      </c>
      <c r="N31" s="1564">
        <f t="shared" si="8"/>
        <v>0</v>
      </c>
      <c r="O31" s="507">
        <v>0</v>
      </c>
      <c r="P31" s="506">
        <f t="shared" si="4"/>
        <v>0</v>
      </c>
      <c r="Q31" s="509"/>
      <c r="R31" s="507">
        <v>0</v>
      </c>
      <c r="S31" s="506">
        <f t="shared" si="5"/>
        <v>0</v>
      </c>
      <c r="T31" s="509"/>
    </row>
    <row r="32" spans="1:20" x14ac:dyDescent="0.25">
      <c r="A32" s="521">
        <f t="shared" si="0"/>
        <v>26</v>
      </c>
      <c r="B32" s="505"/>
      <c r="C32" s="452" t="s">
        <v>9</v>
      </c>
      <c r="D32" s="506">
        <f>+'Washington volumes'!J32</f>
        <v>20968.900000000001</v>
      </c>
      <c r="E32" s="527"/>
      <c r="F32" s="507">
        <v>1</v>
      </c>
      <c r="G32" s="506">
        <f t="shared" si="1"/>
        <v>20968.900000000001</v>
      </c>
      <c r="H32" s="1564">
        <f t="shared" si="6"/>
        <v>3.5499999999999997E-2</v>
      </c>
      <c r="I32" s="507">
        <v>1</v>
      </c>
      <c r="J32" s="506">
        <f t="shared" si="2"/>
        <v>20968.900000000001</v>
      </c>
      <c r="K32" s="1564">
        <f t="shared" si="7"/>
        <v>-2.912E-2</v>
      </c>
      <c r="L32" s="507">
        <v>0</v>
      </c>
      <c r="M32" s="506">
        <f t="shared" si="3"/>
        <v>0</v>
      </c>
      <c r="N32" s="1564">
        <f t="shared" si="8"/>
        <v>0</v>
      </c>
      <c r="O32" s="507">
        <v>0</v>
      </c>
      <c r="P32" s="506">
        <f t="shared" si="4"/>
        <v>0</v>
      </c>
      <c r="Q32" s="509"/>
      <c r="R32" s="507">
        <v>0</v>
      </c>
      <c r="S32" s="506">
        <f t="shared" si="5"/>
        <v>0</v>
      </c>
      <c r="T32" s="509"/>
    </row>
    <row r="33" spans="1:20" x14ac:dyDescent="0.25">
      <c r="A33" s="521">
        <f t="shared" si="0"/>
        <v>27</v>
      </c>
      <c r="B33" s="505"/>
      <c r="C33" s="452" t="s">
        <v>10</v>
      </c>
      <c r="D33" s="506">
        <f>+'Washington volumes'!J33</f>
        <v>0</v>
      </c>
      <c r="E33" s="527"/>
      <c r="F33" s="507">
        <v>1</v>
      </c>
      <c r="G33" s="506">
        <f t="shared" si="1"/>
        <v>0</v>
      </c>
      <c r="H33" s="1564">
        <f t="shared" si="6"/>
        <v>3.5499999999999997E-2</v>
      </c>
      <c r="I33" s="507">
        <v>1</v>
      </c>
      <c r="J33" s="506">
        <f t="shared" si="2"/>
        <v>0</v>
      </c>
      <c r="K33" s="1564">
        <f t="shared" si="7"/>
        <v>-2.912E-2</v>
      </c>
      <c r="L33" s="507">
        <v>0</v>
      </c>
      <c r="M33" s="506">
        <f t="shared" si="3"/>
        <v>0</v>
      </c>
      <c r="N33" s="1564">
        <f t="shared" si="8"/>
        <v>0</v>
      </c>
      <c r="O33" s="507">
        <v>0</v>
      </c>
      <c r="P33" s="506">
        <f t="shared" si="4"/>
        <v>0</v>
      </c>
      <c r="Q33" s="509"/>
      <c r="R33" s="507">
        <v>0</v>
      </c>
      <c r="S33" s="506">
        <f t="shared" si="5"/>
        <v>0</v>
      </c>
      <c r="T33" s="509"/>
    </row>
    <row r="34" spans="1:20" x14ac:dyDescent="0.25">
      <c r="A34" s="521">
        <f t="shared" si="0"/>
        <v>28</v>
      </c>
      <c r="B34" s="510"/>
      <c r="C34" s="456" t="s">
        <v>11</v>
      </c>
      <c r="D34" s="500">
        <f>+'Washington volumes'!J34</f>
        <v>0</v>
      </c>
      <c r="E34" s="526"/>
      <c r="F34" s="502">
        <v>1</v>
      </c>
      <c r="G34" s="500">
        <f t="shared" si="1"/>
        <v>0</v>
      </c>
      <c r="H34" s="1563">
        <f t="shared" si="6"/>
        <v>3.5499999999999997E-2</v>
      </c>
      <c r="I34" s="502">
        <v>1</v>
      </c>
      <c r="J34" s="500">
        <f t="shared" si="2"/>
        <v>0</v>
      </c>
      <c r="K34" s="1563">
        <f t="shared" si="7"/>
        <v>-2.912E-2</v>
      </c>
      <c r="L34" s="502">
        <v>0</v>
      </c>
      <c r="M34" s="500">
        <f t="shared" si="3"/>
        <v>0</v>
      </c>
      <c r="N34" s="1563">
        <f t="shared" si="8"/>
        <v>0</v>
      </c>
      <c r="O34" s="502">
        <v>0</v>
      </c>
      <c r="P34" s="500">
        <f t="shared" si="4"/>
        <v>0</v>
      </c>
      <c r="Q34" s="503"/>
      <c r="R34" s="502">
        <v>0</v>
      </c>
      <c r="S34" s="500">
        <f t="shared" si="5"/>
        <v>0</v>
      </c>
      <c r="T34" s="503"/>
    </row>
    <row r="35" spans="1:20" x14ac:dyDescent="0.25">
      <c r="A35" s="521">
        <f t="shared" si="0"/>
        <v>29</v>
      </c>
      <c r="B35" s="505" t="s">
        <v>164</v>
      </c>
      <c r="C35" s="452" t="s">
        <v>6</v>
      </c>
      <c r="D35" s="506">
        <f>+'Washington volumes'!J35</f>
        <v>1060773</v>
      </c>
      <c r="E35" s="527"/>
      <c r="F35" s="507">
        <v>1</v>
      </c>
      <c r="G35" s="506">
        <f t="shared" si="1"/>
        <v>1060773</v>
      </c>
      <c r="H35" s="1564">
        <f t="shared" si="6"/>
        <v>3.5499999999999997E-2</v>
      </c>
      <c r="I35" s="507">
        <v>1</v>
      </c>
      <c r="J35" s="506">
        <f t="shared" si="2"/>
        <v>1060773</v>
      </c>
      <c r="K35" s="1564">
        <f t="shared" si="7"/>
        <v>-2.912E-2</v>
      </c>
      <c r="L35" s="507">
        <v>0</v>
      </c>
      <c r="M35" s="506">
        <f t="shared" si="3"/>
        <v>0</v>
      </c>
      <c r="N35" s="1564">
        <f t="shared" si="8"/>
        <v>0</v>
      </c>
      <c r="O35" s="507">
        <v>0</v>
      </c>
      <c r="P35" s="506">
        <f t="shared" si="4"/>
        <v>0</v>
      </c>
      <c r="Q35" s="509"/>
      <c r="R35" s="507">
        <v>0</v>
      </c>
      <c r="S35" s="506">
        <f t="shared" si="5"/>
        <v>0</v>
      </c>
      <c r="T35" s="509"/>
    </row>
    <row r="36" spans="1:20" x14ac:dyDescent="0.25">
      <c r="A36" s="521">
        <f t="shared" si="0"/>
        <v>30</v>
      </c>
      <c r="B36" s="505"/>
      <c r="C36" s="452" t="s">
        <v>7</v>
      </c>
      <c r="D36" s="506">
        <f>+'Washington volumes'!J36</f>
        <v>650234</v>
      </c>
      <c r="E36" s="527"/>
      <c r="F36" s="507">
        <v>1</v>
      </c>
      <c r="G36" s="506">
        <f t="shared" si="1"/>
        <v>650234</v>
      </c>
      <c r="H36" s="1564">
        <f t="shared" si="6"/>
        <v>3.5499999999999997E-2</v>
      </c>
      <c r="I36" s="507">
        <v>1</v>
      </c>
      <c r="J36" s="506">
        <f t="shared" si="2"/>
        <v>650234</v>
      </c>
      <c r="K36" s="1564">
        <f t="shared" si="7"/>
        <v>-2.912E-2</v>
      </c>
      <c r="L36" s="507">
        <v>0</v>
      </c>
      <c r="M36" s="506">
        <f t="shared" si="3"/>
        <v>0</v>
      </c>
      <c r="N36" s="1564">
        <f t="shared" si="8"/>
        <v>0</v>
      </c>
      <c r="O36" s="507">
        <v>0</v>
      </c>
      <c r="P36" s="506">
        <f t="shared" si="4"/>
        <v>0</v>
      </c>
      <c r="Q36" s="509"/>
      <c r="R36" s="507">
        <v>0</v>
      </c>
      <c r="S36" s="506">
        <f t="shared" si="5"/>
        <v>0</v>
      </c>
      <c r="T36" s="509"/>
    </row>
    <row r="37" spans="1:20" x14ac:dyDescent="0.25">
      <c r="A37" s="521">
        <f t="shared" si="0"/>
        <v>31</v>
      </c>
      <c r="B37" s="505"/>
      <c r="C37" s="452" t="s">
        <v>8</v>
      </c>
      <c r="D37" s="506">
        <f>+'Washington volumes'!J37</f>
        <v>112053</v>
      </c>
      <c r="E37" s="527"/>
      <c r="F37" s="507">
        <v>1</v>
      </c>
      <c r="G37" s="506">
        <f t="shared" si="1"/>
        <v>112053</v>
      </c>
      <c r="H37" s="1564">
        <f t="shared" si="6"/>
        <v>3.5499999999999997E-2</v>
      </c>
      <c r="I37" s="507">
        <v>1</v>
      </c>
      <c r="J37" s="506">
        <f t="shared" si="2"/>
        <v>112053</v>
      </c>
      <c r="K37" s="1564">
        <f t="shared" si="7"/>
        <v>-2.912E-2</v>
      </c>
      <c r="L37" s="507">
        <v>0</v>
      </c>
      <c r="M37" s="506">
        <f t="shared" si="3"/>
        <v>0</v>
      </c>
      <c r="N37" s="1564">
        <f t="shared" si="8"/>
        <v>0</v>
      </c>
      <c r="O37" s="507">
        <v>0</v>
      </c>
      <c r="P37" s="506">
        <f t="shared" si="4"/>
        <v>0</v>
      </c>
      <c r="Q37" s="509"/>
      <c r="R37" s="507">
        <v>0</v>
      </c>
      <c r="S37" s="506">
        <f t="shared" si="5"/>
        <v>0</v>
      </c>
      <c r="T37" s="509"/>
    </row>
    <row r="38" spans="1:20" x14ac:dyDescent="0.25">
      <c r="A38" s="521">
        <f t="shared" si="0"/>
        <v>32</v>
      </c>
      <c r="B38" s="505"/>
      <c r="C38" s="452" t="s">
        <v>9</v>
      </c>
      <c r="D38" s="506">
        <f>+'Washington volumes'!J38</f>
        <v>9427</v>
      </c>
      <c r="E38" s="527"/>
      <c r="F38" s="507">
        <v>1</v>
      </c>
      <c r="G38" s="506">
        <f t="shared" si="1"/>
        <v>9427</v>
      </c>
      <c r="H38" s="1564">
        <f t="shared" si="6"/>
        <v>3.5499999999999997E-2</v>
      </c>
      <c r="I38" s="507">
        <v>1</v>
      </c>
      <c r="J38" s="506">
        <f t="shared" si="2"/>
        <v>9427</v>
      </c>
      <c r="K38" s="1564">
        <f t="shared" si="7"/>
        <v>-2.912E-2</v>
      </c>
      <c r="L38" s="507">
        <v>0</v>
      </c>
      <c r="M38" s="506">
        <f t="shared" si="3"/>
        <v>0</v>
      </c>
      <c r="N38" s="1564">
        <f t="shared" si="8"/>
        <v>0</v>
      </c>
      <c r="O38" s="507">
        <v>0</v>
      </c>
      <c r="P38" s="506">
        <f t="shared" si="4"/>
        <v>0</v>
      </c>
      <c r="Q38" s="509"/>
      <c r="R38" s="507">
        <v>0</v>
      </c>
      <c r="S38" s="506">
        <f t="shared" si="5"/>
        <v>0</v>
      </c>
      <c r="T38" s="509"/>
    </row>
    <row r="39" spans="1:20" x14ac:dyDescent="0.25">
      <c r="A39" s="521">
        <f t="shared" si="0"/>
        <v>33</v>
      </c>
      <c r="B39" s="505"/>
      <c r="C39" s="452" t="s">
        <v>10</v>
      </c>
      <c r="D39" s="506">
        <f>+'Washington volumes'!J39</f>
        <v>0</v>
      </c>
      <c r="E39" s="527"/>
      <c r="F39" s="507">
        <v>1</v>
      </c>
      <c r="G39" s="506">
        <f t="shared" si="1"/>
        <v>0</v>
      </c>
      <c r="H39" s="1564">
        <f t="shared" si="6"/>
        <v>3.5499999999999997E-2</v>
      </c>
      <c r="I39" s="507">
        <v>1</v>
      </c>
      <c r="J39" s="506">
        <f t="shared" si="2"/>
        <v>0</v>
      </c>
      <c r="K39" s="1564">
        <f t="shared" si="7"/>
        <v>-2.912E-2</v>
      </c>
      <c r="L39" s="507">
        <v>0</v>
      </c>
      <c r="M39" s="506">
        <f t="shared" si="3"/>
        <v>0</v>
      </c>
      <c r="N39" s="1564">
        <f t="shared" si="8"/>
        <v>0</v>
      </c>
      <c r="O39" s="507">
        <v>0</v>
      </c>
      <c r="P39" s="506">
        <f t="shared" si="4"/>
        <v>0</v>
      </c>
      <c r="Q39" s="509"/>
      <c r="R39" s="507">
        <v>0</v>
      </c>
      <c r="S39" s="506">
        <f t="shared" si="5"/>
        <v>0</v>
      </c>
      <c r="T39" s="509"/>
    </row>
    <row r="40" spans="1:20" x14ac:dyDescent="0.25">
      <c r="A40" s="521">
        <f t="shared" si="0"/>
        <v>34</v>
      </c>
      <c r="B40" s="510"/>
      <c r="C40" s="456" t="s">
        <v>11</v>
      </c>
      <c r="D40" s="500">
        <f>+'Washington volumes'!J40</f>
        <v>0</v>
      </c>
      <c r="E40" s="526"/>
      <c r="F40" s="502">
        <v>1</v>
      </c>
      <c r="G40" s="500">
        <f t="shared" si="1"/>
        <v>0</v>
      </c>
      <c r="H40" s="1563">
        <f t="shared" si="6"/>
        <v>3.5499999999999997E-2</v>
      </c>
      <c r="I40" s="502">
        <v>1</v>
      </c>
      <c r="J40" s="500" t="s">
        <v>1151</v>
      </c>
      <c r="K40" s="1563">
        <f t="shared" si="7"/>
        <v>-2.912E-2</v>
      </c>
      <c r="L40" s="502">
        <v>0</v>
      </c>
      <c r="M40" s="500">
        <f t="shared" si="3"/>
        <v>0</v>
      </c>
      <c r="N40" s="1563">
        <f t="shared" si="8"/>
        <v>0</v>
      </c>
      <c r="O40" s="502">
        <v>0</v>
      </c>
      <c r="P40" s="500">
        <f t="shared" si="4"/>
        <v>0</v>
      </c>
      <c r="Q40" s="503"/>
      <c r="R40" s="502">
        <v>0</v>
      </c>
      <c r="S40" s="500">
        <f t="shared" si="5"/>
        <v>0</v>
      </c>
      <c r="T40" s="503"/>
    </row>
    <row r="41" spans="1:20" x14ac:dyDescent="0.25">
      <c r="A41" s="521">
        <f t="shared" si="0"/>
        <v>35</v>
      </c>
      <c r="B41" s="505" t="s">
        <v>165</v>
      </c>
      <c r="C41" s="452" t="s">
        <v>6</v>
      </c>
      <c r="D41" s="506">
        <f>+'Washington volumes'!J41</f>
        <v>1336403</v>
      </c>
      <c r="E41" s="527"/>
      <c r="F41" s="507">
        <v>0</v>
      </c>
      <c r="G41" s="506">
        <f t="shared" si="1"/>
        <v>0</v>
      </c>
      <c r="H41" s="1564">
        <f t="shared" si="6"/>
        <v>0</v>
      </c>
      <c r="I41" s="507">
        <v>0</v>
      </c>
      <c r="J41" s="506">
        <f t="shared" si="2"/>
        <v>0</v>
      </c>
      <c r="K41" s="1564">
        <f t="shared" si="7"/>
        <v>0</v>
      </c>
      <c r="L41" s="507">
        <v>0</v>
      </c>
      <c r="M41" s="506">
        <f t="shared" si="3"/>
        <v>0</v>
      </c>
      <c r="N41" s="1564">
        <f t="shared" si="8"/>
        <v>0</v>
      </c>
      <c r="O41" s="507">
        <v>0</v>
      </c>
      <c r="P41" s="506">
        <f t="shared" si="4"/>
        <v>0</v>
      </c>
      <c r="Q41" s="509"/>
      <c r="R41" s="507">
        <v>0</v>
      </c>
      <c r="S41" s="506">
        <f t="shared" si="5"/>
        <v>0</v>
      </c>
      <c r="T41" s="509"/>
    </row>
    <row r="42" spans="1:20" x14ac:dyDescent="0.25">
      <c r="A42" s="521">
        <f t="shared" si="0"/>
        <v>36</v>
      </c>
      <c r="B42" s="505"/>
      <c r="C42" s="452" t="s">
        <v>7</v>
      </c>
      <c r="D42" s="506">
        <f>+'Washington volumes'!J42</f>
        <v>1682938</v>
      </c>
      <c r="E42" s="527"/>
      <c r="F42" s="507">
        <v>0</v>
      </c>
      <c r="G42" s="506">
        <f t="shared" si="1"/>
        <v>0</v>
      </c>
      <c r="H42" s="1564">
        <f t="shared" si="6"/>
        <v>0</v>
      </c>
      <c r="I42" s="507">
        <v>0</v>
      </c>
      <c r="J42" s="506">
        <f t="shared" si="2"/>
        <v>0</v>
      </c>
      <c r="K42" s="1564">
        <f t="shared" si="7"/>
        <v>0</v>
      </c>
      <c r="L42" s="507">
        <v>0</v>
      </c>
      <c r="M42" s="506">
        <f t="shared" si="3"/>
        <v>0</v>
      </c>
      <c r="N42" s="1564">
        <f t="shared" si="8"/>
        <v>0</v>
      </c>
      <c r="O42" s="507">
        <v>0</v>
      </c>
      <c r="P42" s="506">
        <f t="shared" si="4"/>
        <v>0</v>
      </c>
      <c r="Q42" s="509"/>
      <c r="R42" s="507">
        <v>0</v>
      </c>
      <c r="S42" s="506">
        <f t="shared" si="5"/>
        <v>0</v>
      </c>
      <c r="T42" s="509"/>
    </row>
    <row r="43" spans="1:20" x14ac:dyDescent="0.25">
      <c r="A43" s="521">
        <f t="shared" si="0"/>
        <v>37</v>
      </c>
      <c r="B43" s="505"/>
      <c r="C43" s="452" t="s">
        <v>8</v>
      </c>
      <c r="D43" s="506">
        <f>+'Washington volumes'!J43</f>
        <v>1387648</v>
      </c>
      <c r="E43" s="527"/>
      <c r="F43" s="507">
        <v>0</v>
      </c>
      <c r="G43" s="506">
        <f t="shared" si="1"/>
        <v>0</v>
      </c>
      <c r="H43" s="1564">
        <f t="shared" si="6"/>
        <v>0</v>
      </c>
      <c r="I43" s="507">
        <v>0</v>
      </c>
      <c r="J43" s="506">
        <f t="shared" si="2"/>
        <v>0</v>
      </c>
      <c r="K43" s="1564">
        <f t="shared" si="7"/>
        <v>0</v>
      </c>
      <c r="L43" s="507">
        <v>0</v>
      </c>
      <c r="M43" s="506">
        <f t="shared" si="3"/>
        <v>0</v>
      </c>
      <c r="N43" s="1564">
        <f t="shared" si="8"/>
        <v>0</v>
      </c>
      <c r="O43" s="507">
        <v>0</v>
      </c>
      <c r="P43" s="506">
        <f t="shared" si="4"/>
        <v>0</v>
      </c>
      <c r="Q43" s="509"/>
      <c r="R43" s="507">
        <v>0</v>
      </c>
      <c r="S43" s="506">
        <f t="shared" si="5"/>
        <v>0</v>
      </c>
      <c r="T43" s="509"/>
    </row>
    <row r="44" spans="1:20" x14ac:dyDescent="0.25">
      <c r="A44" s="521">
        <f t="shared" si="0"/>
        <v>38</v>
      </c>
      <c r="B44" s="505"/>
      <c r="C44" s="452" t="s">
        <v>9</v>
      </c>
      <c r="D44" s="506">
        <f>+'Washington volumes'!J44</f>
        <v>2195748</v>
      </c>
      <c r="E44" s="527"/>
      <c r="F44" s="507">
        <v>0</v>
      </c>
      <c r="G44" s="506">
        <f t="shared" si="1"/>
        <v>0</v>
      </c>
      <c r="H44" s="1564">
        <f t="shared" si="6"/>
        <v>0</v>
      </c>
      <c r="I44" s="507">
        <v>0</v>
      </c>
      <c r="J44" s="506">
        <f t="shared" si="2"/>
        <v>0</v>
      </c>
      <c r="K44" s="1564">
        <f t="shared" si="7"/>
        <v>0</v>
      </c>
      <c r="L44" s="507">
        <v>0</v>
      </c>
      <c r="M44" s="506">
        <f t="shared" si="3"/>
        <v>0</v>
      </c>
      <c r="N44" s="1564">
        <f t="shared" si="8"/>
        <v>0</v>
      </c>
      <c r="O44" s="507">
        <v>0</v>
      </c>
      <c r="P44" s="506">
        <f t="shared" si="4"/>
        <v>0</v>
      </c>
      <c r="Q44" s="509"/>
      <c r="R44" s="507">
        <v>0</v>
      </c>
      <c r="S44" s="506">
        <f t="shared" si="5"/>
        <v>0</v>
      </c>
      <c r="T44" s="509"/>
    </row>
    <row r="45" spans="1:20" x14ac:dyDescent="0.25">
      <c r="A45" s="521">
        <f t="shared" si="0"/>
        <v>39</v>
      </c>
      <c r="B45" s="505"/>
      <c r="C45" s="452" t="s">
        <v>10</v>
      </c>
      <c r="D45" s="506">
        <f>+'Washington volumes'!J45</f>
        <v>901810</v>
      </c>
      <c r="E45" s="527"/>
      <c r="F45" s="507">
        <v>0</v>
      </c>
      <c r="G45" s="506">
        <f t="shared" si="1"/>
        <v>0</v>
      </c>
      <c r="H45" s="1564">
        <f t="shared" si="6"/>
        <v>0</v>
      </c>
      <c r="I45" s="507">
        <v>0</v>
      </c>
      <c r="J45" s="506">
        <f t="shared" si="2"/>
        <v>0</v>
      </c>
      <c r="K45" s="1564">
        <f t="shared" si="7"/>
        <v>0</v>
      </c>
      <c r="L45" s="507">
        <v>0</v>
      </c>
      <c r="M45" s="506">
        <f t="shared" si="3"/>
        <v>0</v>
      </c>
      <c r="N45" s="1564">
        <f t="shared" si="8"/>
        <v>0</v>
      </c>
      <c r="O45" s="507">
        <v>0</v>
      </c>
      <c r="P45" s="506">
        <f t="shared" si="4"/>
        <v>0</v>
      </c>
      <c r="Q45" s="509"/>
      <c r="R45" s="507">
        <v>0</v>
      </c>
      <c r="S45" s="506">
        <f t="shared" si="5"/>
        <v>0</v>
      </c>
      <c r="T45" s="509"/>
    </row>
    <row r="46" spans="1:20" x14ac:dyDescent="0.25">
      <c r="A46" s="521">
        <f t="shared" si="0"/>
        <v>40</v>
      </c>
      <c r="B46" s="510"/>
      <c r="C46" s="456" t="s">
        <v>11</v>
      </c>
      <c r="D46" s="500">
        <f>+'Washington volumes'!J46</f>
        <v>0</v>
      </c>
      <c r="E46" s="526"/>
      <c r="F46" s="502">
        <v>0</v>
      </c>
      <c r="G46" s="500">
        <f t="shared" si="1"/>
        <v>0</v>
      </c>
      <c r="H46" s="1563">
        <f t="shared" si="6"/>
        <v>0</v>
      </c>
      <c r="I46" s="502">
        <v>0</v>
      </c>
      <c r="J46" s="500">
        <f t="shared" si="2"/>
        <v>0</v>
      </c>
      <c r="K46" s="1563">
        <f t="shared" si="7"/>
        <v>0</v>
      </c>
      <c r="L46" s="502">
        <v>0</v>
      </c>
      <c r="M46" s="500">
        <f t="shared" si="3"/>
        <v>0</v>
      </c>
      <c r="N46" s="1563">
        <f t="shared" si="8"/>
        <v>0</v>
      </c>
      <c r="O46" s="502">
        <v>0</v>
      </c>
      <c r="P46" s="500">
        <f t="shared" si="4"/>
        <v>0</v>
      </c>
      <c r="Q46" s="503"/>
      <c r="R46" s="502">
        <v>0</v>
      </c>
      <c r="S46" s="500">
        <f t="shared" si="5"/>
        <v>0</v>
      </c>
      <c r="T46" s="503"/>
    </row>
    <row r="47" spans="1:20" x14ac:dyDescent="0.25">
      <c r="A47" s="521">
        <f t="shared" si="0"/>
        <v>41</v>
      </c>
      <c r="B47" s="505" t="s">
        <v>861</v>
      </c>
      <c r="C47" s="452" t="s">
        <v>6</v>
      </c>
      <c r="D47" s="506">
        <f>+'Washington volumes'!J47</f>
        <v>237919</v>
      </c>
      <c r="E47" s="527"/>
      <c r="F47" s="507">
        <v>1</v>
      </c>
      <c r="G47" s="506">
        <f t="shared" ref="G47:G52" si="9">+$D47*F47</f>
        <v>237919</v>
      </c>
      <c r="H47" s="1564">
        <f t="shared" ref="H47:H52" si="10">+F47*$H$69</f>
        <v>3.5499999999999997E-2</v>
      </c>
      <c r="I47" s="507">
        <v>0</v>
      </c>
      <c r="J47" s="506">
        <f t="shared" ref="J47:J52" si="11">+$D47*I47</f>
        <v>0</v>
      </c>
      <c r="K47" s="1564">
        <f t="shared" ref="K47:K52" si="12">+I47*$K$69</f>
        <v>0</v>
      </c>
      <c r="L47" s="507">
        <v>1</v>
      </c>
      <c r="M47" s="506">
        <f t="shared" ref="M47:M52" si="13">+$D47*L47</f>
        <v>237919</v>
      </c>
      <c r="N47" s="1564">
        <f t="shared" ref="N47:N52" si="14">+L47*$N$69</f>
        <v>-1.017E-2</v>
      </c>
      <c r="O47" s="507">
        <v>0</v>
      </c>
      <c r="P47" s="506">
        <f t="shared" ref="P47:P52" si="15">+$D47*O47</f>
        <v>0</v>
      </c>
      <c r="Q47" s="509"/>
      <c r="R47" s="507">
        <v>0</v>
      </c>
      <c r="S47" s="506">
        <f t="shared" ref="S47:S52" si="16">+$D47*R47</f>
        <v>0</v>
      </c>
      <c r="T47" s="509"/>
    </row>
    <row r="48" spans="1:20" x14ac:dyDescent="0.25">
      <c r="A48" s="521">
        <f t="shared" si="0"/>
        <v>42</v>
      </c>
      <c r="B48" s="505"/>
      <c r="C48" s="452" t="s">
        <v>7</v>
      </c>
      <c r="D48" s="506">
        <f>+'Washington volumes'!J48</f>
        <v>464853</v>
      </c>
      <c r="E48" s="527"/>
      <c r="F48" s="507">
        <v>1</v>
      </c>
      <c r="G48" s="506">
        <f t="shared" si="9"/>
        <v>464853</v>
      </c>
      <c r="H48" s="1564">
        <f t="shared" si="10"/>
        <v>3.5499999999999997E-2</v>
      </c>
      <c r="I48" s="507">
        <v>0</v>
      </c>
      <c r="J48" s="506">
        <f t="shared" si="11"/>
        <v>0</v>
      </c>
      <c r="K48" s="1564">
        <f t="shared" si="12"/>
        <v>0</v>
      </c>
      <c r="L48" s="507">
        <v>1</v>
      </c>
      <c r="M48" s="506">
        <f t="shared" si="13"/>
        <v>464853</v>
      </c>
      <c r="N48" s="1564">
        <f t="shared" si="14"/>
        <v>-1.017E-2</v>
      </c>
      <c r="O48" s="507">
        <v>0</v>
      </c>
      <c r="P48" s="506">
        <f t="shared" si="15"/>
        <v>0</v>
      </c>
      <c r="Q48" s="509"/>
      <c r="R48" s="507">
        <v>0</v>
      </c>
      <c r="S48" s="506">
        <f t="shared" si="16"/>
        <v>0</v>
      </c>
      <c r="T48" s="509"/>
    </row>
    <row r="49" spans="1:20" x14ac:dyDescent="0.25">
      <c r="A49" s="521">
        <f t="shared" si="0"/>
        <v>43</v>
      </c>
      <c r="B49" s="505"/>
      <c r="C49" s="452" t="s">
        <v>8</v>
      </c>
      <c r="D49" s="506">
        <f>+'Washington volumes'!J49</f>
        <v>214908</v>
      </c>
      <c r="E49" s="527"/>
      <c r="F49" s="507">
        <v>1</v>
      </c>
      <c r="G49" s="506">
        <f t="shared" si="9"/>
        <v>214908</v>
      </c>
      <c r="H49" s="1564">
        <f t="shared" si="10"/>
        <v>3.5499999999999997E-2</v>
      </c>
      <c r="I49" s="507">
        <v>0</v>
      </c>
      <c r="J49" s="506">
        <f t="shared" si="11"/>
        <v>0</v>
      </c>
      <c r="K49" s="1564">
        <f t="shared" si="12"/>
        <v>0</v>
      </c>
      <c r="L49" s="507">
        <v>1</v>
      </c>
      <c r="M49" s="506">
        <f t="shared" si="13"/>
        <v>214908</v>
      </c>
      <c r="N49" s="1564">
        <f t="shared" si="14"/>
        <v>-1.017E-2</v>
      </c>
      <c r="O49" s="507">
        <v>0</v>
      </c>
      <c r="P49" s="506">
        <f t="shared" si="15"/>
        <v>0</v>
      </c>
      <c r="Q49" s="509"/>
      <c r="R49" s="507">
        <v>0</v>
      </c>
      <c r="S49" s="506">
        <f t="shared" si="16"/>
        <v>0</v>
      </c>
      <c r="T49" s="509"/>
    </row>
    <row r="50" spans="1:20" x14ac:dyDescent="0.25">
      <c r="A50" s="521">
        <f t="shared" si="0"/>
        <v>44</v>
      </c>
      <c r="B50" s="505"/>
      <c r="C50" s="452" t="s">
        <v>9</v>
      </c>
      <c r="D50" s="506">
        <f>+'Washington volumes'!J50</f>
        <v>39494</v>
      </c>
      <c r="E50" s="527"/>
      <c r="F50" s="507">
        <v>1</v>
      </c>
      <c r="G50" s="506">
        <f t="shared" si="9"/>
        <v>39494</v>
      </c>
      <c r="H50" s="1564">
        <f t="shared" si="10"/>
        <v>3.5499999999999997E-2</v>
      </c>
      <c r="I50" s="507">
        <v>0</v>
      </c>
      <c r="J50" s="506">
        <f t="shared" si="11"/>
        <v>0</v>
      </c>
      <c r="K50" s="1564">
        <f t="shared" si="12"/>
        <v>0</v>
      </c>
      <c r="L50" s="507">
        <v>1</v>
      </c>
      <c r="M50" s="506">
        <f t="shared" si="13"/>
        <v>39494</v>
      </c>
      <c r="N50" s="1564">
        <f t="shared" si="14"/>
        <v>-1.017E-2</v>
      </c>
      <c r="O50" s="507">
        <v>0</v>
      </c>
      <c r="P50" s="506">
        <f t="shared" si="15"/>
        <v>0</v>
      </c>
      <c r="Q50" s="509"/>
      <c r="R50" s="507">
        <v>0</v>
      </c>
      <c r="S50" s="506">
        <f t="shared" si="16"/>
        <v>0</v>
      </c>
      <c r="T50" s="509"/>
    </row>
    <row r="51" spans="1:20" x14ac:dyDescent="0.25">
      <c r="A51" s="521">
        <f t="shared" si="0"/>
        <v>45</v>
      </c>
      <c r="B51" s="505"/>
      <c r="C51" s="452" t="s">
        <v>10</v>
      </c>
      <c r="D51" s="506">
        <f>+'Washington volumes'!J51</f>
        <v>0</v>
      </c>
      <c r="E51" s="527"/>
      <c r="F51" s="507">
        <v>1</v>
      </c>
      <c r="G51" s="506">
        <f t="shared" si="9"/>
        <v>0</v>
      </c>
      <c r="H51" s="1564">
        <f t="shared" si="10"/>
        <v>3.5499999999999997E-2</v>
      </c>
      <c r="I51" s="507">
        <v>0</v>
      </c>
      <c r="J51" s="506">
        <f t="shared" si="11"/>
        <v>0</v>
      </c>
      <c r="K51" s="1564">
        <f t="shared" si="12"/>
        <v>0</v>
      </c>
      <c r="L51" s="507">
        <v>1</v>
      </c>
      <c r="M51" s="506">
        <f t="shared" si="13"/>
        <v>0</v>
      </c>
      <c r="N51" s="1564">
        <f t="shared" si="14"/>
        <v>-1.017E-2</v>
      </c>
      <c r="O51" s="507">
        <v>0</v>
      </c>
      <c r="P51" s="506">
        <f t="shared" si="15"/>
        <v>0</v>
      </c>
      <c r="Q51" s="509"/>
      <c r="R51" s="507">
        <v>0</v>
      </c>
      <c r="S51" s="506">
        <f t="shared" si="16"/>
        <v>0</v>
      </c>
      <c r="T51" s="509"/>
    </row>
    <row r="52" spans="1:20" x14ac:dyDescent="0.25">
      <c r="A52" s="521">
        <f t="shared" si="0"/>
        <v>46</v>
      </c>
      <c r="B52" s="510"/>
      <c r="C52" s="456" t="s">
        <v>11</v>
      </c>
      <c r="D52" s="500">
        <f>+'Washington volumes'!J52</f>
        <v>0</v>
      </c>
      <c r="E52" s="527"/>
      <c r="F52" s="502">
        <v>1</v>
      </c>
      <c r="G52" s="500">
        <f t="shared" si="9"/>
        <v>0</v>
      </c>
      <c r="H52" s="1563">
        <f t="shared" si="10"/>
        <v>3.5499999999999997E-2</v>
      </c>
      <c r="I52" s="502">
        <v>0</v>
      </c>
      <c r="J52" s="500">
        <f t="shared" si="11"/>
        <v>0</v>
      </c>
      <c r="K52" s="1563">
        <f t="shared" si="12"/>
        <v>0</v>
      </c>
      <c r="L52" s="502">
        <v>1</v>
      </c>
      <c r="M52" s="500">
        <f t="shared" si="13"/>
        <v>0</v>
      </c>
      <c r="N52" s="1563">
        <f t="shared" si="14"/>
        <v>-1.017E-2</v>
      </c>
      <c r="O52" s="502">
        <v>0</v>
      </c>
      <c r="P52" s="500">
        <f t="shared" si="15"/>
        <v>0</v>
      </c>
      <c r="Q52" s="503"/>
      <c r="R52" s="502">
        <v>0</v>
      </c>
      <c r="S52" s="500">
        <f t="shared" si="16"/>
        <v>0</v>
      </c>
      <c r="T52" s="503"/>
    </row>
    <row r="53" spans="1:20" x14ac:dyDescent="0.25">
      <c r="A53" s="521">
        <f t="shared" si="0"/>
        <v>47</v>
      </c>
      <c r="B53" s="505" t="s">
        <v>862</v>
      </c>
      <c r="C53" s="452" t="s">
        <v>6</v>
      </c>
      <c r="D53" s="506">
        <f>+'Washington volumes'!J53</f>
        <v>159428</v>
      </c>
      <c r="E53" s="527"/>
      <c r="F53" s="507">
        <v>1</v>
      </c>
      <c r="G53" s="506">
        <f t="shared" si="1"/>
        <v>159428</v>
      </c>
      <c r="H53" s="1564">
        <f t="shared" si="6"/>
        <v>3.5499999999999997E-2</v>
      </c>
      <c r="I53" s="507">
        <v>0</v>
      </c>
      <c r="J53" s="506">
        <f t="shared" si="2"/>
        <v>0</v>
      </c>
      <c r="K53" s="1564">
        <f t="shared" si="7"/>
        <v>0</v>
      </c>
      <c r="L53" s="507">
        <v>1</v>
      </c>
      <c r="M53" s="506">
        <f t="shared" si="3"/>
        <v>159428</v>
      </c>
      <c r="N53" s="1564">
        <f t="shared" si="8"/>
        <v>-1.017E-2</v>
      </c>
      <c r="O53" s="507">
        <v>0</v>
      </c>
      <c r="P53" s="506">
        <f t="shared" si="4"/>
        <v>0</v>
      </c>
      <c r="Q53" s="509"/>
      <c r="R53" s="507">
        <v>0</v>
      </c>
      <c r="S53" s="506">
        <f t="shared" si="5"/>
        <v>0</v>
      </c>
      <c r="T53" s="509"/>
    </row>
    <row r="54" spans="1:20" x14ac:dyDescent="0.25">
      <c r="A54" s="521">
        <f t="shared" si="0"/>
        <v>48</v>
      </c>
      <c r="B54" s="505"/>
      <c r="C54" s="452" t="s">
        <v>7</v>
      </c>
      <c r="D54" s="506">
        <f>+'Washington volumes'!J54</f>
        <v>151104</v>
      </c>
      <c r="E54" s="527"/>
      <c r="F54" s="507">
        <v>1</v>
      </c>
      <c r="G54" s="506">
        <f t="shared" si="1"/>
        <v>151104</v>
      </c>
      <c r="H54" s="1564">
        <f t="shared" si="6"/>
        <v>3.5499999999999997E-2</v>
      </c>
      <c r="I54" s="507">
        <v>0</v>
      </c>
      <c r="J54" s="506">
        <f t="shared" si="2"/>
        <v>0</v>
      </c>
      <c r="K54" s="1564">
        <f t="shared" si="7"/>
        <v>0</v>
      </c>
      <c r="L54" s="507">
        <v>1</v>
      </c>
      <c r="M54" s="506">
        <f t="shared" si="3"/>
        <v>151104</v>
      </c>
      <c r="N54" s="1564">
        <f t="shared" si="8"/>
        <v>-1.017E-2</v>
      </c>
      <c r="O54" s="507">
        <v>0</v>
      </c>
      <c r="P54" s="506">
        <f t="shared" si="4"/>
        <v>0</v>
      </c>
      <c r="Q54" s="509"/>
      <c r="R54" s="507">
        <v>0</v>
      </c>
      <c r="S54" s="506">
        <f t="shared" si="5"/>
        <v>0</v>
      </c>
      <c r="T54" s="509"/>
    </row>
    <row r="55" spans="1:20" x14ac:dyDescent="0.25">
      <c r="A55" s="521">
        <f t="shared" si="0"/>
        <v>49</v>
      </c>
      <c r="B55" s="505"/>
      <c r="C55" s="452" t="s">
        <v>8</v>
      </c>
      <c r="D55" s="506">
        <f>+'Washington volumes'!J55</f>
        <v>0</v>
      </c>
      <c r="E55" s="527"/>
      <c r="F55" s="507">
        <v>1</v>
      </c>
      <c r="G55" s="506">
        <f t="shared" si="1"/>
        <v>0</v>
      </c>
      <c r="H55" s="1564">
        <f t="shared" si="6"/>
        <v>3.5499999999999997E-2</v>
      </c>
      <c r="I55" s="507">
        <v>0</v>
      </c>
      <c r="J55" s="506">
        <f t="shared" si="2"/>
        <v>0</v>
      </c>
      <c r="K55" s="1564">
        <f t="shared" si="7"/>
        <v>0</v>
      </c>
      <c r="L55" s="507">
        <v>1</v>
      </c>
      <c r="M55" s="506">
        <f t="shared" si="3"/>
        <v>0</v>
      </c>
      <c r="N55" s="1564">
        <f t="shared" si="8"/>
        <v>-1.017E-2</v>
      </c>
      <c r="O55" s="507">
        <v>0</v>
      </c>
      <c r="P55" s="506">
        <f t="shared" si="4"/>
        <v>0</v>
      </c>
      <c r="Q55" s="509"/>
      <c r="R55" s="507">
        <v>0</v>
      </c>
      <c r="S55" s="506">
        <f t="shared" si="5"/>
        <v>0</v>
      </c>
      <c r="T55" s="509"/>
    </row>
    <row r="56" spans="1:20" x14ac:dyDescent="0.25">
      <c r="A56" s="521">
        <f t="shared" si="0"/>
        <v>50</v>
      </c>
      <c r="B56" s="505"/>
      <c r="C56" s="452" t="s">
        <v>9</v>
      </c>
      <c r="D56" s="506">
        <f>+'Washington volumes'!J56</f>
        <v>0</v>
      </c>
      <c r="E56" s="527"/>
      <c r="F56" s="507">
        <v>1</v>
      </c>
      <c r="G56" s="506">
        <f t="shared" si="1"/>
        <v>0</v>
      </c>
      <c r="H56" s="1564">
        <f t="shared" si="6"/>
        <v>3.5499999999999997E-2</v>
      </c>
      <c r="I56" s="507">
        <v>0</v>
      </c>
      <c r="J56" s="506">
        <f t="shared" si="2"/>
        <v>0</v>
      </c>
      <c r="K56" s="1564">
        <f t="shared" si="7"/>
        <v>0</v>
      </c>
      <c r="L56" s="507">
        <v>1</v>
      </c>
      <c r="M56" s="506">
        <f t="shared" si="3"/>
        <v>0</v>
      </c>
      <c r="N56" s="1564">
        <f t="shared" si="8"/>
        <v>-1.017E-2</v>
      </c>
      <c r="O56" s="507">
        <v>0</v>
      </c>
      <c r="P56" s="506">
        <f t="shared" si="4"/>
        <v>0</v>
      </c>
      <c r="Q56" s="509"/>
      <c r="R56" s="507">
        <v>0</v>
      </c>
      <c r="S56" s="506">
        <f t="shared" si="5"/>
        <v>0</v>
      </c>
      <c r="T56" s="509"/>
    </row>
    <row r="57" spans="1:20" x14ac:dyDescent="0.25">
      <c r="A57" s="521">
        <f t="shared" si="0"/>
        <v>51</v>
      </c>
      <c r="B57" s="505"/>
      <c r="C57" s="452" t="s">
        <v>10</v>
      </c>
      <c r="D57" s="506">
        <f>+'Washington volumes'!J57</f>
        <v>0</v>
      </c>
      <c r="E57" s="527"/>
      <c r="F57" s="507">
        <v>1</v>
      </c>
      <c r="G57" s="506">
        <f t="shared" si="1"/>
        <v>0</v>
      </c>
      <c r="H57" s="1564">
        <f t="shared" si="6"/>
        <v>3.5499999999999997E-2</v>
      </c>
      <c r="I57" s="507">
        <v>0</v>
      </c>
      <c r="J57" s="506">
        <f t="shared" si="2"/>
        <v>0</v>
      </c>
      <c r="K57" s="1564">
        <f t="shared" si="7"/>
        <v>0</v>
      </c>
      <c r="L57" s="507">
        <v>1</v>
      </c>
      <c r="M57" s="506">
        <f t="shared" si="3"/>
        <v>0</v>
      </c>
      <c r="N57" s="1564">
        <f t="shared" si="8"/>
        <v>-1.017E-2</v>
      </c>
      <c r="O57" s="507">
        <v>0</v>
      </c>
      <c r="P57" s="506">
        <f t="shared" si="4"/>
        <v>0</v>
      </c>
      <c r="Q57" s="509"/>
      <c r="R57" s="507">
        <v>0</v>
      </c>
      <c r="S57" s="506">
        <f t="shared" si="5"/>
        <v>0</v>
      </c>
      <c r="T57" s="509"/>
    </row>
    <row r="58" spans="1:20" x14ac:dyDescent="0.25">
      <c r="A58" s="521">
        <f t="shared" si="0"/>
        <v>52</v>
      </c>
      <c r="B58" s="510"/>
      <c r="C58" s="456" t="s">
        <v>11</v>
      </c>
      <c r="D58" s="500">
        <f>+'Washington volumes'!J58</f>
        <v>0</v>
      </c>
      <c r="E58" s="526"/>
      <c r="F58" s="502">
        <v>1</v>
      </c>
      <c r="G58" s="500">
        <f t="shared" si="1"/>
        <v>0</v>
      </c>
      <c r="H58" s="1563">
        <f t="shared" si="6"/>
        <v>3.5499999999999997E-2</v>
      </c>
      <c r="I58" s="502">
        <v>0</v>
      </c>
      <c r="J58" s="500">
        <f t="shared" si="2"/>
        <v>0</v>
      </c>
      <c r="K58" s="1563">
        <f t="shared" si="7"/>
        <v>0</v>
      </c>
      <c r="L58" s="502">
        <v>1</v>
      </c>
      <c r="M58" s="500">
        <f t="shared" si="3"/>
        <v>0</v>
      </c>
      <c r="N58" s="1563">
        <f t="shared" si="8"/>
        <v>-1.017E-2</v>
      </c>
      <c r="O58" s="502">
        <v>0</v>
      </c>
      <c r="P58" s="500">
        <f t="shared" si="4"/>
        <v>0</v>
      </c>
      <c r="Q58" s="503"/>
      <c r="R58" s="502">
        <v>0</v>
      </c>
      <c r="S58" s="500">
        <f t="shared" si="5"/>
        <v>0</v>
      </c>
      <c r="T58" s="503"/>
    </row>
    <row r="59" spans="1:20" x14ac:dyDescent="0.25">
      <c r="A59" s="521">
        <f t="shared" si="0"/>
        <v>53</v>
      </c>
      <c r="B59" s="505" t="s">
        <v>166</v>
      </c>
      <c r="C59" s="452" t="s">
        <v>6</v>
      </c>
      <c r="D59" s="506">
        <f>+'Washington volumes'!J59</f>
        <v>881572</v>
      </c>
      <c r="E59" s="527"/>
      <c r="F59" s="507">
        <v>0</v>
      </c>
      <c r="G59" s="506">
        <f t="shared" si="1"/>
        <v>0</v>
      </c>
      <c r="H59" s="1564">
        <f t="shared" si="6"/>
        <v>0</v>
      </c>
      <c r="I59" s="507">
        <v>0</v>
      </c>
      <c r="J59" s="506">
        <f t="shared" si="2"/>
        <v>0</v>
      </c>
      <c r="K59" s="1564">
        <f t="shared" si="7"/>
        <v>0</v>
      </c>
      <c r="L59" s="507">
        <v>0</v>
      </c>
      <c r="M59" s="506">
        <f t="shared" si="3"/>
        <v>0</v>
      </c>
      <c r="N59" s="1564">
        <f t="shared" si="8"/>
        <v>0</v>
      </c>
      <c r="O59" s="507">
        <v>0</v>
      </c>
      <c r="P59" s="506">
        <f t="shared" si="4"/>
        <v>0</v>
      </c>
      <c r="Q59" s="509"/>
      <c r="R59" s="507">
        <v>0</v>
      </c>
      <c r="S59" s="506">
        <f t="shared" si="5"/>
        <v>0</v>
      </c>
      <c r="T59" s="509"/>
    </row>
    <row r="60" spans="1:20" x14ac:dyDescent="0.25">
      <c r="A60" s="521">
        <f t="shared" si="0"/>
        <v>54</v>
      </c>
      <c r="B60" s="505"/>
      <c r="C60" s="452" t="s">
        <v>7</v>
      </c>
      <c r="D60" s="506">
        <f>+'Washington volumes'!J60</f>
        <v>1495748</v>
      </c>
      <c r="E60" s="527"/>
      <c r="F60" s="507">
        <v>0</v>
      </c>
      <c r="G60" s="506">
        <f t="shared" si="1"/>
        <v>0</v>
      </c>
      <c r="H60" s="1564">
        <f t="shared" si="6"/>
        <v>0</v>
      </c>
      <c r="I60" s="507">
        <v>0</v>
      </c>
      <c r="J60" s="506">
        <f t="shared" si="2"/>
        <v>0</v>
      </c>
      <c r="K60" s="1564">
        <f t="shared" si="7"/>
        <v>0</v>
      </c>
      <c r="L60" s="507">
        <v>0</v>
      </c>
      <c r="M60" s="506">
        <f t="shared" si="3"/>
        <v>0</v>
      </c>
      <c r="N60" s="1564">
        <f t="shared" si="8"/>
        <v>0</v>
      </c>
      <c r="O60" s="507">
        <v>0</v>
      </c>
      <c r="P60" s="506">
        <f t="shared" si="4"/>
        <v>0</v>
      </c>
      <c r="Q60" s="509"/>
      <c r="R60" s="507">
        <v>0</v>
      </c>
      <c r="S60" s="506">
        <f t="shared" si="5"/>
        <v>0</v>
      </c>
      <c r="T60" s="509"/>
    </row>
    <row r="61" spans="1:20" x14ac:dyDescent="0.25">
      <c r="A61" s="521">
        <f t="shared" si="0"/>
        <v>55</v>
      </c>
      <c r="B61" s="505"/>
      <c r="C61" s="452" t="s">
        <v>8</v>
      </c>
      <c r="D61" s="506">
        <f>+'Washington volumes'!J61</f>
        <v>1185204</v>
      </c>
      <c r="E61" s="527"/>
      <c r="F61" s="507">
        <v>0</v>
      </c>
      <c r="G61" s="506">
        <f t="shared" si="1"/>
        <v>0</v>
      </c>
      <c r="H61" s="1564">
        <f t="shared" si="6"/>
        <v>0</v>
      </c>
      <c r="I61" s="507">
        <v>0</v>
      </c>
      <c r="J61" s="506">
        <f t="shared" si="2"/>
        <v>0</v>
      </c>
      <c r="K61" s="1564">
        <f t="shared" si="7"/>
        <v>0</v>
      </c>
      <c r="L61" s="507">
        <v>0</v>
      </c>
      <c r="M61" s="506">
        <f t="shared" si="3"/>
        <v>0</v>
      </c>
      <c r="N61" s="1564">
        <f t="shared" si="8"/>
        <v>0</v>
      </c>
      <c r="O61" s="507">
        <v>0</v>
      </c>
      <c r="P61" s="506">
        <f t="shared" si="4"/>
        <v>0</v>
      </c>
      <c r="Q61" s="509"/>
      <c r="R61" s="507">
        <v>0</v>
      </c>
      <c r="S61" s="506">
        <f t="shared" si="5"/>
        <v>0</v>
      </c>
      <c r="T61" s="509"/>
    </row>
    <row r="62" spans="1:20" x14ac:dyDescent="0.25">
      <c r="A62" s="521">
        <f t="shared" si="0"/>
        <v>56</v>
      </c>
      <c r="B62" s="505"/>
      <c r="C62" s="452" t="s">
        <v>9</v>
      </c>
      <c r="D62" s="506">
        <f>+'Washington volumes'!J62</f>
        <v>4013728</v>
      </c>
      <c r="E62" s="527"/>
      <c r="F62" s="507">
        <v>0</v>
      </c>
      <c r="G62" s="506">
        <f t="shared" si="1"/>
        <v>0</v>
      </c>
      <c r="H62" s="1564">
        <f t="shared" si="6"/>
        <v>0</v>
      </c>
      <c r="I62" s="507">
        <v>0</v>
      </c>
      <c r="J62" s="506">
        <f t="shared" si="2"/>
        <v>0</v>
      </c>
      <c r="K62" s="1564">
        <f t="shared" si="7"/>
        <v>0</v>
      </c>
      <c r="L62" s="507">
        <v>0</v>
      </c>
      <c r="M62" s="506">
        <f t="shared" si="3"/>
        <v>0</v>
      </c>
      <c r="N62" s="1564">
        <f t="shared" si="8"/>
        <v>0</v>
      </c>
      <c r="O62" s="507">
        <v>0</v>
      </c>
      <c r="P62" s="506">
        <f t="shared" si="4"/>
        <v>0</v>
      </c>
      <c r="Q62" s="509"/>
      <c r="R62" s="507">
        <v>0</v>
      </c>
      <c r="S62" s="506">
        <f t="shared" si="5"/>
        <v>0</v>
      </c>
      <c r="T62" s="509"/>
    </row>
    <row r="63" spans="1:20" x14ac:dyDescent="0.25">
      <c r="A63" s="521">
        <f t="shared" ref="A63:A74" si="17">+A62+1</f>
        <v>57</v>
      </c>
      <c r="B63" s="505"/>
      <c r="C63" s="452" t="s">
        <v>10</v>
      </c>
      <c r="D63" s="506">
        <f>+'Washington volumes'!J63</f>
        <v>2332547</v>
      </c>
      <c r="E63" s="527"/>
      <c r="F63" s="507">
        <v>0</v>
      </c>
      <c r="G63" s="506">
        <f t="shared" si="1"/>
        <v>0</v>
      </c>
      <c r="H63" s="1564">
        <f t="shared" si="6"/>
        <v>0</v>
      </c>
      <c r="I63" s="507">
        <v>0</v>
      </c>
      <c r="J63" s="506">
        <f t="shared" si="2"/>
        <v>0</v>
      </c>
      <c r="K63" s="1564">
        <f t="shared" si="7"/>
        <v>0</v>
      </c>
      <c r="L63" s="507">
        <v>0</v>
      </c>
      <c r="M63" s="506">
        <f t="shared" si="3"/>
        <v>0</v>
      </c>
      <c r="N63" s="1564">
        <f t="shared" si="8"/>
        <v>0</v>
      </c>
      <c r="O63" s="507">
        <v>0</v>
      </c>
      <c r="P63" s="506">
        <f t="shared" si="4"/>
        <v>0</v>
      </c>
      <c r="Q63" s="509"/>
      <c r="R63" s="507">
        <v>0</v>
      </c>
      <c r="S63" s="506">
        <f t="shared" si="5"/>
        <v>0</v>
      </c>
      <c r="T63" s="509"/>
    </row>
    <row r="64" spans="1:20" x14ac:dyDescent="0.25">
      <c r="A64" s="521">
        <f t="shared" si="17"/>
        <v>58</v>
      </c>
      <c r="B64" s="510"/>
      <c r="C64" s="456" t="s">
        <v>11</v>
      </c>
      <c r="D64" s="500">
        <f>+'Washington volumes'!J64</f>
        <v>0</v>
      </c>
      <c r="E64" s="526"/>
      <c r="F64" s="502">
        <v>0</v>
      </c>
      <c r="G64" s="500">
        <f t="shared" si="1"/>
        <v>0</v>
      </c>
      <c r="H64" s="1563">
        <f t="shared" si="6"/>
        <v>0</v>
      </c>
      <c r="I64" s="502">
        <v>0</v>
      </c>
      <c r="J64" s="500">
        <f t="shared" si="2"/>
        <v>0</v>
      </c>
      <c r="K64" s="1563">
        <f t="shared" si="7"/>
        <v>0</v>
      </c>
      <c r="L64" s="502">
        <v>0</v>
      </c>
      <c r="M64" s="500">
        <f t="shared" si="3"/>
        <v>0</v>
      </c>
      <c r="N64" s="1563">
        <f t="shared" si="8"/>
        <v>0</v>
      </c>
      <c r="O64" s="502">
        <v>0</v>
      </c>
      <c r="P64" s="500">
        <f t="shared" si="4"/>
        <v>0</v>
      </c>
      <c r="Q64" s="503"/>
      <c r="R64" s="502">
        <v>0</v>
      </c>
      <c r="S64" s="500">
        <f t="shared" si="5"/>
        <v>0</v>
      </c>
      <c r="T64" s="503"/>
    </row>
    <row r="65" spans="1:20" x14ac:dyDescent="0.25">
      <c r="A65" s="521">
        <f t="shared" si="17"/>
        <v>59</v>
      </c>
      <c r="B65" s="510" t="s">
        <v>167</v>
      </c>
      <c r="C65" s="455"/>
      <c r="D65" s="500">
        <f>+'Washington volumes'!J65</f>
        <v>0</v>
      </c>
      <c r="E65" s="526"/>
      <c r="F65" s="502">
        <v>0</v>
      </c>
      <c r="G65" s="500">
        <f t="shared" si="1"/>
        <v>0</v>
      </c>
      <c r="H65" s="1563">
        <f t="shared" si="6"/>
        <v>0</v>
      </c>
      <c r="I65" s="502">
        <v>0</v>
      </c>
      <c r="J65" s="500">
        <f t="shared" si="2"/>
        <v>0</v>
      </c>
      <c r="K65" s="1563">
        <f t="shared" si="7"/>
        <v>0</v>
      </c>
      <c r="L65" s="502">
        <v>0</v>
      </c>
      <c r="M65" s="500">
        <f t="shared" si="3"/>
        <v>0</v>
      </c>
      <c r="N65" s="1563">
        <f t="shared" si="8"/>
        <v>0</v>
      </c>
      <c r="O65" s="502">
        <v>0</v>
      </c>
      <c r="P65" s="500">
        <f t="shared" si="4"/>
        <v>0</v>
      </c>
      <c r="Q65" s="503"/>
      <c r="R65" s="502">
        <v>0</v>
      </c>
      <c r="S65" s="500">
        <f t="shared" si="5"/>
        <v>0</v>
      </c>
      <c r="T65" s="503"/>
    </row>
    <row r="66" spans="1:20" x14ac:dyDescent="0.25">
      <c r="A66" s="521">
        <f t="shared" si="17"/>
        <v>60</v>
      </c>
      <c r="B66" s="450" t="s">
        <v>168</v>
      </c>
      <c r="C66" s="447"/>
      <c r="D66" s="500">
        <f>+'Washington volumes'!J66</f>
        <v>0</v>
      </c>
      <c r="E66" s="526"/>
      <c r="F66" s="502">
        <v>0</v>
      </c>
      <c r="G66" s="500">
        <f t="shared" si="1"/>
        <v>0</v>
      </c>
      <c r="H66" s="1563">
        <f t="shared" si="6"/>
        <v>0</v>
      </c>
      <c r="I66" s="502">
        <v>0</v>
      </c>
      <c r="J66" s="500">
        <f t="shared" si="2"/>
        <v>0</v>
      </c>
      <c r="K66" s="1563">
        <f t="shared" si="7"/>
        <v>0</v>
      </c>
      <c r="L66" s="502">
        <v>0</v>
      </c>
      <c r="M66" s="500">
        <f t="shared" si="3"/>
        <v>0</v>
      </c>
      <c r="N66" s="1563">
        <f t="shared" si="8"/>
        <v>0</v>
      </c>
      <c r="O66" s="502">
        <v>0</v>
      </c>
      <c r="P66" s="500">
        <f t="shared" si="4"/>
        <v>0</v>
      </c>
      <c r="Q66" s="503"/>
      <c r="R66" s="502">
        <v>0</v>
      </c>
      <c r="S66" s="500">
        <f t="shared" si="5"/>
        <v>0</v>
      </c>
      <c r="T66" s="503"/>
    </row>
    <row r="67" spans="1:20" x14ac:dyDescent="0.25">
      <c r="A67" s="521">
        <f t="shared" si="17"/>
        <v>61</v>
      </c>
      <c r="B67" s="449" t="s">
        <v>217</v>
      </c>
      <c r="C67" s="447"/>
      <c r="D67" s="500"/>
      <c r="E67" s="526"/>
      <c r="F67" s="502"/>
      <c r="G67" s="500"/>
      <c r="H67" s="1563"/>
      <c r="I67" s="502"/>
      <c r="J67" s="500"/>
      <c r="K67" s="1563"/>
      <c r="L67" s="502"/>
      <c r="M67" s="500"/>
      <c r="N67" s="1563"/>
      <c r="O67" s="502"/>
      <c r="P67" s="500"/>
      <c r="Q67" s="503"/>
      <c r="R67" s="502"/>
      <c r="S67" s="500"/>
      <c r="T67" s="503"/>
    </row>
    <row r="68" spans="1:20" x14ac:dyDescent="0.25">
      <c r="A68" s="521">
        <f t="shared" si="17"/>
        <v>62</v>
      </c>
      <c r="F68" s="518"/>
      <c r="H68" s="1180"/>
      <c r="K68" s="1180"/>
      <c r="N68" s="1180"/>
      <c r="R68" s="436"/>
      <c r="S68" s="436"/>
      <c r="T68" s="436"/>
    </row>
    <row r="69" spans="1:20" x14ac:dyDescent="0.25">
      <c r="A69" s="521">
        <f t="shared" si="17"/>
        <v>63</v>
      </c>
      <c r="B69" s="436" t="s">
        <v>176</v>
      </c>
      <c r="D69" s="1581">
        <f>SUM(D13:D68)</f>
        <v>100505811.10000001</v>
      </c>
      <c r="F69" s="518"/>
      <c r="G69" s="1581">
        <f>SUM(G13:G68)</f>
        <v>82304341.100000009</v>
      </c>
      <c r="H69" s="1180">
        <f>ROUND(+F10/G69,5)</f>
        <v>3.5499999999999997E-2</v>
      </c>
      <c r="J69" s="1581">
        <f>SUM(J13:J68)</f>
        <v>81036635.100000009</v>
      </c>
      <c r="K69" s="1180">
        <f>ROUND(+I10/J69,5)</f>
        <v>-2.912E-2</v>
      </c>
      <c r="M69" s="1581">
        <f>SUM(M13:M68)</f>
        <v>1267706</v>
      </c>
      <c r="N69" s="1180">
        <f>ROUND(+L10/M69,5)</f>
        <v>-1.017E-2</v>
      </c>
      <c r="P69" s="470">
        <f>SUM(P13:P68)</f>
        <v>0</v>
      </c>
      <c r="Q69" s="528" t="e">
        <f>ROUND(+O10/P69,5)</f>
        <v>#DIV/0!</v>
      </c>
      <c r="R69" s="436"/>
      <c r="S69" s="470">
        <f>SUM(S13:S68)</f>
        <v>0</v>
      </c>
      <c r="T69" s="528" t="e">
        <f>ROUND(+R10/S69,5)</f>
        <v>#DIV/0!</v>
      </c>
    </row>
    <row r="70" spans="1:20" x14ac:dyDescent="0.25">
      <c r="A70" s="521">
        <f t="shared" si="17"/>
        <v>64</v>
      </c>
      <c r="D70" s="470">
        <f>+D69-'Washington volumes'!J68</f>
        <v>0</v>
      </c>
      <c r="F70" s="518"/>
    </row>
    <row r="71" spans="1:20" ht="13.8" thickBot="1" x14ac:dyDescent="0.3">
      <c r="A71" s="521">
        <f t="shared" si="17"/>
        <v>65</v>
      </c>
      <c r="B71" s="460" t="s">
        <v>211</v>
      </c>
      <c r="F71" s="518"/>
    </row>
    <row r="72" spans="1:20" ht="13.8" thickBot="1" x14ac:dyDescent="0.3">
      <c r="A72" s="521">
        <f t="shared" si="17"/>
        <v>66</v>
      </c>
      <c r="B72" s="529" t="s">
        <v>212</v>
      </c>
      <c r="C72" s="530"/>
      <c r="D72" s="531"/>
      <c r="E72" s="531"/>
      <c r="F72" s="532" t="s">
        <v>1059</v>
      </c>
      <c r="G72" s="463"/>
      <c r="H72" s="463"/>
      <c r="I72" s="532" t="s">
        <v>1060</v>
      </c>
      <c r="J72" s="463"/>
      <c r="K72" s="463"/>
      <c r="L72" s="532" t="s">
        <v>1061</v>
      </c>
      <c r="M72" s="463"/>
      <c r="N72" s="463"/>
      <c r="O72" s="532" t="s">
        <v>706</v>
      </c>
      <c r="P72" s="463"/>
      <c r="Q72" s="463"/>
      <c r="R72" s="532" t="s">
        <v>707</v>
      </c>
      <c r="S72" s="463"/>
      <c r="T72" s="520"/>
    </row>
    <row r="73" spans="1:20" ht="13.8" thickBot="1" x14ac:dyDescent="0.3">
      <c r="A73" s="521">
        <f t="shared" si="17"/>
        <v>67</v>
      </c>
      <c r="B73" s="460" t="s">
        <v>1052</v>
      </c>
      <c r="F73" s="518"/>
    </row>
    <row r="74" spans="1:20" ht="13.8" thickBot="1" x14ac:dyDescent="0.3">
      <c r="A74" s="521">
        <f t="shared" si="17"/>
        <v>68</v>
      </c>
      <c r="B74" s="461" t="s">
        <v>1053</v>
      </c>
      <c r="C74" s="530"/>
      <c r="D74" s="531"/>
      <c r="E74" s="531"/>
      <c r="F74" s="532" t="s">
        <v>1058</v>
      </c>
      <c r="G74" s="463"/>
      <c r="H74" s="463"/>
      <c r="I74" s="532" t="s">
        <v>1058</v>
      </c>
      <c r="J74" s="463"/>
      <c r="K74" s="463"/>
      <c r="L74" s="532" t="s">
        <v>1058</v>
      </c>
      <c r="M74" s="463"/>
      <c r="N74" s="463"/>
      <c r="O74" s="532" t="s">
        <v>706</v>
      </c>
      <c r="P74" s="463"/>
      <c r="Q74" s="463"/>
      <c r="R74" s="532" t="s">
        <v>707</v>
      </c>
      <c r="S74" s="463"/>
      <c r="T74" s="520"/>
    </row>
    <row r="75" spans="1:20" x14ac:dyDescent="0.25">
      <c r="A75" s="521"/>
      <c r="F75" s="518"/>
    </row>
    <row r="76" spans="1:20" x14ac:dyDescent="0.25">
      <c r="A76" s="521"/>
      <c r="F76" s="518"/>
    </row>
  </sheetData>
  <mergeCells count="2">
    <mergeCell ref="O7:Q7"/>
    <mergeCell ref="R7:T7"/>
  </mergeCells>
  <phoneticPr fontId="2" type="noConversion"/>
  <pageMargins left="0.5" right="0.5" top="0.5" bottom="0.25" header="0.25" footer="0.25"/>
  <pageSetup scale="58" fitToWidth="0" orientation="landscape" r:id="rId1"/>
  <headerFooter alignWithMargins="0">
    <oddHeader xml:space="preserve">&amp;RUG-181053 NWN Compliance Filing
Advice 19-07 / Work Paper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39997558519241921"/>
  </sheetPr>
  <dimension ref="A1:AD90"/>
  <sheetViews>
    <sheetView showGridLines="0" zoomScale="90" zoomScaleNormal="90" workbookViewId="0">
      <pane xSplit="3" ySplit="12" topLeftCell="Q13" activePane="bottomRight" state="frozen"/>
      <selection activeCell="G13" sqref="G13"/>
      <selection pane="topRight" activeCell="G13" sqref="G13"/>
      <selection pane="bottomLeft" activeCell="G13" sqref="G13"/>
      <selection pane="bottomRight" activeCell="G13" sqref="G13"/>
    </sheetView>
  </sheetViews>
  <sheetFormatPr defaultColWidth="9.33203125" defaultRowHeight="13.2" outlineLevelCol="1" x14ac:dyDescent="0.25"/>
  <cols>
    <col min="1" max="1" width="5.6640625" style="437" customWidth="1"/>
    <col min="2" max="2" width="14.88671875" style="436" customWidth="1"/>
    <col min="3" max="3" width="8.33203125" style="436" customWidth="1"/>
    <col min="4" max="4" width="16.44140625" style="476" bestFit="1" customWidth="1"/>
    <col min="5" max="5" width="13.33203125" style="476" bestFit="1" customWidth="1"/>
    <col min="6" max="6" width="16.6640625" style="476" bestFit="1" customWidth="1"/>
    <col min="7" max="7" width="19.44140625" style="476" bestFit="1" customWidth="1"/>
    <col min="8" max="8" width="11.109375" style="476" bestFit="1" customWidth="1"/>
    <col min="9" max="9" width="14.44140625" style="476" bestFit="1" customWidth="1"/>
    <col min="10" max="10" width="14" style="476" bestFit="1" customWidth="1"/>
    <col min="11" max="11" width="11.44140625" style="476" customWidth="1"/>
    <col min="12" max="12" width="19.88671875" style="476" bestFit="1" customWidth="1"/>
    <col min="13" max="13" width="29.44140625" style="476" customWidth="1"/>
    <col min="14" max="14" width="15.44140625" style="478" customWidth="1"/>
    <col min="15" max="15" width="16.109375" style="436" customWidth="1"/>
    <col min="16" max="16" width="12" style="528" customWidth="1"/>
    <col min="17" max="17" width="16.109375" style="478" customWidth="1"/>
    <col min="18" max="18" width="14" style="436" customWidth="1"/>
    <col min="19" max="19" width="15.109375" style="528" customWidth="1"/>
    <col min="20" max="20" width="16.88671875" style="478" customWidth="1"/>
    <col min="21" max="21" width="16.88671875" style="436" customWidth="1"/>
    <col min="22" max="22" width="16.88671875" style="528" customWidth="1"/>
    <col min="23" max="25" width="15.88671875" style="528" customWidth="1"/>
    <col min="26" max="26" width="15.88671875" style="478" hidden="1" customWidth="1" outlineLevel="1"/>
    <col min="27" max="27" width="15.88671875" style="436" hidden="1" customWidth="1" outlineLevel="1"/>
    <col min="28" max="28" width="2" style="528" hidden="1" customWidth="1" outlineLevel="1"/>
    <col min="29" max="29" width="9.33203125" style="437" collapsed="1"/>
    <col min="30" max="30" width="15.6640625" style="437" bestFit="1" customWidth="1"/>
    <col min="31" max="16384" width="9.33203125" style="437"/>
  </cols>
  <sheetData>
    <row r="1" spans="1:30" ht="13.8" x14ac:dyDescent="0.25">
      <c r="A1" s="435" t="str">
        <f>+'Washington volumes'!A1</f>
        <v>NW Natural</v>
      </c>
      <c r="N1" s="476"/>
      <c r="Q1" s="476"/>
      <c r="T1" s="476"/>
      <c r="Z1" s="476"/>
    </row>
    <row r="2" spans="1:30" ht="13.8" x14ac:dyDescent="0.25">
      <c r="A2" s="435" t="str">
        <f>+'Washington volumes'!A2</f>
        <v>Rates &amp; Regulatory Affairs</v>
      </c>
      <c r="N2" s="476"/>
      <c r="Q2" s="476"/>
      <c r="T2" s="476"/>
      <c r="Z2" s="476"/>
    </row>
    <row r="3" spans="1:30" ht="13.8" x14ac:dyDescent="0.25">
      <c r="A3" s="435" t="str">
        <f>+'Washington volumes'!A3</f>
        <v>2019-2020 PGA Filing - Washington: September Filing</v>
      </c>
      <c r="N3" s="470"/>
      <c r="Q3" s="476"/>
      <c r="T3" s="476"/>
      <c r="Z3" s="476"/>
    </row>
    <row r="4" spans="1:30" ht="13.8" x14ac:dyDescent="0.25">
      <c r="A4" s="435" t="s">
        <v>66</v>
      </c>
      <c r="N4" s="470"/>
      <c r="Q4" s="476"/>
      <c r="T4" s="476"/>
      <c r="Z4" s="476"/>
    </row>
    <row r="5" spans="1:30" x14ac:dyDescent="0.25">
      <c r="D5" s="436"/>
      <c r="E5" s="436"/>
      <c r="F5" s="436"/>
      <c r="G5" s="436"/>
      <c r="H5" s="436"/>
      <c r="I5" s="436"/>
      <c r="J5" s="436"/>
      <c r="K5" s="436"/>
      <c r="L5" s="436"/>
      <c r="M5" s="436"/>
      <c r="N5" s="436"/>
      <c r="Q5" s="436"/>
      <c r="T5" s="436"/>
      <c r="Z5" s="436"/>
    </row>
    <row r="6" spans="1:30" x14ac:dyDescent="0.25">
      <c r="A6" s="1038"/>
      <c r="B6" s="1039"/>
      <c r="C6" s="1039"/>
      <c r="D6" s="1039"/>
      <c r="E6" s="653"/>
      <c r="F6" s="436"/>
      <c r="G6" s="436"/>
      <c r="H6" s="477"/>
      <c r="I6" s="436"/>
      <c r="J6" s="477"/>
      <c r="K6" s="436"/>
      <c r="L6" s="436"/>
    </row>
    <row r="7" spans="1:30" ht="15" customHeight="1" thickBot="1" x14ac:dyDescent="0.3">
      <c r="A7" s="479">
        <v>1</v>
      </c>
      <c r="D7" s="469"/>
      <c r="E7" s="469" t="s">
        <v>28</v>
      </c>
      <c r="F7" s="469" t="s">
        <v>55</v>
      </c>
      <c r="G7" s="469" t="s">
        <v>76</v>
      </c>
      <c r="H7" s="439"/>
      <c r="I7" s="469"/>
      <c r="J7" s="439"/>
      <c r="K7" s="469"/>
      <c r="L7" s="469"/>
      <c r="M7" s="436"/>
      <c r="N7" s="480" t="str">
        <f>+Inputs!C42</f>
        <v>R&amp;C Energy Efficiency Programs</v>
      </c>
      <c r="O7" s="481"/>
      <c r="P7" s="1669"/>
      <c r="Q7" s="480" t="str">
        <f>+Inputs!C46</f>
        <v>Low Income Bill Pay Assistance (GREAT)</v>
      </c>
      <c r="R7" s="481"/>
      <c r="S7" s="659"/>
      <c r="T7" s="1784" t="str">
        <f>+Inputs!C44</f>
        <v>WA-LIEE</v>
      </c>
      <c r="U7" s="1785"/>
      <c r="V7" s="1786"/>
      <c r="W7" s="1781" t="s">
        <v>1162</v>
      </c>
      <c r="X7" s="1782"/>
      <c r="Y7" s="1783"/>
      <c r="Z7" s="480">
        <f>+Inputs!C53</f>
        <v>0</v>
      </c>
      <c r="AA7" s="481"/>
      <c r="AB7" s="659"/>
    </row>
    <row r="8" spans="1:30" ht="15" customHeight="1" thickBot="1" x14ac:dyDescent="0.3">
      <c r="A8" s="479">
        <f t="shared" ref="A8:A73" si="0">+A7+1</f>
        <v>2</v>
      </c>
      <c r="D8" s="469" t="s">
        <v>169</v>
      </c>
      <c r="E8" s="469" t="s">
        <v>72</v>
      </c>
      <c r="F8" s="469" t="s">
        <v>74</v>
      </c>
      <c r="G8" s="469" t="s">
        <v>56</v>
      </c>
      <c r="H8" s="439"/>
      <c r="I8" s="469"/>
      <c r="J8" s="439"/>
      <c r="K8" s="469"/>
      <c r="L8" s="469"/>
      <c r="M8" s="483" t="s">
        <v>54</v>
      </c>
      <c r="N8" s="1605">
        <f>+Inputs!B42</f>
        <v>2973770</v>
      </c>
      <c r="O8" s="462" t="str">
        <f>+Inputs!C34</f>
        <v>Temporary Increments</v>
      </c>
      <c r="P8" s="1640"/>
      <c r="Q8" s="1605">
        <f>+Inputs!B46</f>
        <v>277036</v>
      </c>
      <c r="R8" s="462" t="str">
        <f>+Inputs!C34</f>
        <v>Temporary Increments</v>
      </c>
      <c r="S8" s="660"/>
      <c r="T8" s="1605">
        <f>+Inputs!B44</f>
        <v>103261</v>
      </c>
      <c r="U8" s="462" t="str">
        <f>+Inputs!C34</f>
        <v>Temporary Increments</v>
      </c>
      <c r="V8" s="1640"/>
      <c r="W8" s="1657">
        <f>+Inputs!B48</f>
        <v>-55000</v>
      </c>
      <c r="X8" s="1647" t="str">
        <f>+Inputs!F34</f>
        <v>Allocated to Rate Schedules</v>
      </c>
      <c r="Y8" s="1648"/>
      <c r="Z8" s="484">
        <f>+Inputs!B53</f>
        <v>0</v>
      </c>
      <c r="AA8" s="462" t="str">
        <f>+Inputs!C51</f>
        <v>Permanent Increment</v>
      </c>
      <c r="AB8" s="660"/>
    </row>
    <row r="9" spans="1:30" ht="15" customHeight="1" thickBot="1" x14ac:dyDescent="0.3">
      <c r="A9" s="479">
        <f t="shared" si="0"/>
        <v>3</v>
      </c>
      <c r="D9" s="469" t="s">
        <v>71</v>
      </c>
      <c r="E9" s="469" t="s">
        <v>73</v>
      </c>
      <c r="F9" s="469" t="s">
        <v>73</v>
      </c>
      <c r="G9" s="469" t="s">
        <v>75</v>
      </c>
      <c r="H9" s="439" t="s">
        <v>52</v>
      </c>
      <c r="I9" s="469" t="s">
        <v>694</v>
      </c>
      <c r="J9" s="444" t="s">
        <v>617</v>
      </c>
      <c r="K9" s="469"/>
      <c r="L9" s="439" t="s">
        <v>59</v>
      </c>
      <c r="M9" s="483" t="s">
        <v>43</v>
      </c>
      <c r="N9" s="486">
        <f>+revsens</f>
        <v>4.1579999999999999E-2</v>
      </c>
      <c r="O9" s="487" t="s">
        <v>58</v>
      </c>
      <c r="P9" s="1641"/>
      <c r="Q9" s="486">
        <f>+revsens</f>
        <v>4.1579999999999999E-2</v>
      </c>
      <c r="R9" s="487" t="s">
        <v>58</v>
      </c>
      <c r="S9" s="661"/>
      <c r="T9" s="486">
        <f>+revsens</f>
        <v>4.1579999999999999E-2</v>
      </c>
      <c r="U9" s="487" t="s">
        <v>58</v>
      </c>
      <c r="V9" s="1641"/>
      <c r="W9" s="486">
        <f>+revsens</f>
        <v>4.1579999999999999E-2</v>
      </c>
      <c r="X9" s="487" t="s">
        <v>58</v>
      </c>
      <c r="Y9" s="1641"/>
      <c r="Z9" s="486" t="s">
        <v>70</v>
      </c>
      <c r="AA9" s="487" t="s">
        <v>95</v>
      </c>
      <c r="AB9" s="661"/>
    </row>
    <row r="10" spans="1:30" s="442" customFormat="1" ht="15" customHeight="1" thickBot="1" x14ac:dyDescent="0.3">
      <c r="A10" s="479">
        <f t="shared" si="0"/>
        <v>4</v>
      </c>
      <c r="B10" s="436"/>
      <c r="C10" s="436"/>
      <c r="D10" s="488" t="s">
        <v>68</v>
      </c>
      <c r="E10" s="488" t="s">
        <v>69</v>
      </c>
      <c r="F10" s="488" t="s">
        <v>96</v>
      </c>
      <c r="G10" s="488" t="s">
        <v>69</v>
      </c>
      <c r="H10" s="536" t="s">
        <v>53</v>
      </c>
      <c r="I10" s="488" t="s">
        <v>57</v>
      </c>
      <c r="J10" s="536" t="s">
        <v>198</v>
      </c>
      <c r="K10" s="488" t="s">
        <v>202</v>
      </c>
      <c r="L10" s="536" t="s">
        <v>57</v>
      </c>
      <c r="M10" s="489" t="s">
        <v>44</v>
      </c>
      <c r="N10" s="490">
        <f>IF(N9&lt;&gt;"N/A",ROUND(+N8/(1-N9),0),N8)</f>
        <v>3102784</v>
      </c>
      <c r="O10" s="1316" t="s">
        <v>1062</v>
      </c>
      <c r="P10" s="1642"/>
      <c r="Q10" s="490">
        <f>IF(Q9&lt;&gt;"N/A",ROUND(+Q8/(1-Q9),0),Q8)</f>
        <v>289055</v>
      </c>
      <c r="R10" s="491" t="str">
        <f>+Inputs!F46</f>
        <v>All sales</v>
      </c>
      <c r="S10" s="662"/>
      <c r="T10" s="490">
        <f>IF(T9&lt;&gt;"N/A",ROUND(+T8/(1-T9),0),T8)</f>
        <v>107741</v>
      </c>
      <c r="U10" s="491" t="str">
        <f>+Inputs!F44</f>
        <v>All sales</v>
      </c>
      <c r="V10" s="1642"/>
      <c r="W10" s="490">
        <f>IF(W9&lt;&gt;"N/A",ROUND(+W8/(1-W9),0),W8)</f>
        <v>-57386</v>
      </c>
      <c r="X10" s="1460" t="str">
        <f>+Inputs!F48</f>
        <v>All Customers</v>
      </c>
      <c r="Y10" s="1642"/>
      <c r="Z10" s="490">
        <f>IF(Z9&lt;&gt;"N/A",ROUND(+Z8/(1-Z9),0),Z8)</f>
        <v>0</v>
      </c>
      <c r="AA10" s="491" t="s">
        <v>48</v>
      </c>
      <c r="AB10" s="662"/>
    </row>
    <row r="11" spans="1:30" s="442" customFormat="1" x14ac:dyDescent="0.25">
      <c r="A11" s="479">
        <f t="shared" si="0"/>
        <v>5</v>
      </c>
      <c r="B11" s="436"/>
      <c r="C11" s="436"/>
      <c r="D11" s="443"/>
      <c r="E11" s="443"/>
      <c r="F11" s="443"/>
      <c r="G11" s="443"/>
      <c r="H11" s="439" t="s">
        <v>94</v>
      </c>
      <c r="I11" s="443"/>
      <c r="J11" s="439"/>
      <c r="K11" s="443"/>
      <c r="L11" s="1779" t="s">
        <v>817</v>
      </c>
      <c r="M11" s="493"/>
      <c r="N11" s="494" t="s">
        <v>41</v>
      </c>
      <c r="O11" s="479" t="s">
        <v>695</v>
      </c>
      <c r="P11" s="1649" t="s">
        <v>42</v>
      </c>
      <c r="Q11" s="494" t="s">
        <v>41</v>
      </c>
      <c r="R11" s="479" t="s">
        <v>695</v>
      </c>
      <c r="S11" s="663" t="s">
        <v>42</v>
      </c>
      <c r="T11" s="1632" t="s">
        <v>41</v>
      </c>
      <c r="U11" s="1633" t="s">
        <v>695</v>
      </c>
      <c r="V11" s="1634" t="s">
        <v>42</v>
      </c>
      <c r="W11" s="494" t="s">
        <v>41</v>
      </c>
      <c r="X11" s="479" t="s">
        <v>695</v>
      </c>
      <c r="Y11" s="1649" t="s">
        <v>42</v>
      </c>
      <c r="Z11" s="494" t="s">
        <v>41</v>
      </c>
      <c r="AA11" s="479" t="s">
        <v>695</v>
      </c>
      <c r="AB11" s="663" t="s">
        <v>42</v>
      </c>
    </row>
    <row r="12" spans="1:30" s="442" customFormat="1" x14ac:dyDescent="0.25">
      <c r="A12" s="479">
        <f t="shared" si="0"/>
        <v>6</v>
      </c>
      <c r="B12" s="496" t="s">
        <v>2</v>
      </c>
      <c r="C12" s="445" t="s">
        <v>3</v>
      </c>
      <c r="D12" s="446" t="s">
        <v>77</v>
      </c>
      <c r="E12" s="1059" t="s">
        <v>78</v>
      </c>
      <c r="F12" s="1059" t="s">
        <v>16</v>
      </c>
      <c r="G12" s="1059" t="s">
        <v>79</v>
      </c>
      <c r="H12" s="1059" t="s">
        <v>80</v>
      </c>
      <c r="I12" s="1059" t="s">
        <v>696</v>
      </c>
      <c r="J12" s="1059" t="s">
        <v>82</v>
      </c>
      <c r="K12" s="446" t="s">
        <v>83</v>
      </c>
      <c r="L12" s="1780"/>
      <c r="M12" s="497"/>
      <c r="N12" s="498" t="s">
        <v>85</v>
      </c>
      <c r="O12" s="446" t="s">
        <v>86</v>
      </c>
      <c r="P12" s="1635" t="s">
        <v>87</v>
      </c>
      <c r="Q12" s="498" t="s">
        <v>88</v>
      </c>
      <c r="R12" s="446" t="s">
        <v>89</v>
      </c>
      <c r="S12" s="664" t="s">
        <v>90</v>
      </c>
      <c r="T12" s="498" t="s">
        <v>182</v>
      </c>
      <c r="U12" s="446" t="s">
        <v>820</v>
      </c>
      <c r="V12" s="1635" t="s">
        <v>708</v>
      </c>
      <c r="W12" s="498" t="s">
        <v>1048</v>
      </c>
      <c r="X12" s="446" t="s">
        <v>1049</v>
      </c>
      <c r="Y12" s="1635" t="s">
        <v>1050</v>
      </c>
      <c r="Z12" s="498" t="s">
        <v>1049</v>
      </c>
      <c r="AA12" s="446" t="s">
        <v>1127</v>
      </c>
      <c r="AB12" s="664" t="s">
        <v>1128</v>
      </c>
    </row>
    <row r="13" spans="1:30" x14ac:dyDescent="0.25">
      <c r="A13" s="479">
        <f t="shared" si="0"/>
        <v>7</v>
      </c>
      <c r="B13" s="450" t="s">
        <v>4</v>
      </c>
      <c r="C13" s="447"/>
      <c r="D13" s="500">
        <f>+'Washington volumes'!J13</f>
        <v>196915.9</v>
      </c>
      <c r="E13" s="1546">
        <f>+'Rates in detail'!D13</f>
        <v>1.0291799999999995</v>
      </c>
      <c r="F13" s="1546">
        <f>+'Rates in detail'!E13+'Rates in detail'!F13+'Rates in detail'!G13</f>
        <v>0.33485999999999999</v>
      </c>
      <c r="G13" s="1546">
        <f>+Temporaries!D13</f>
        <v>9.8399999999999876E-3</v>
      </c>
      <c r="H13" s="1546">
        <f>+E13-F13-G13</f>
        <v>0.68447999999999964</v>
      </c>
      <c r="I13" s="1671">
        <f t="shared" ref="I13:I18" si="1">ROUND(H13*D13,0)</f>
        <v>134785</v>
      </c>
      <c r="J13" s="1061">
        <f>+'Avg Bill by RS'!G13</f>
        <v>3.47</v>
      </c>
      <c r="K13" s="500">
        <f>+'Washington volumes'!L13</f>
        <v>885</v>
      </c>
      <c r="L13" s="1672">
        <f t="shared" ref="L13:L18" si="2">ROUND(I13+(J13*K13*12),0)</f>
        <v>171636</v>
      </c>
      <c r="M13" s="501"/>
      <c r="N13" s="502">
        <v>1</v>
      </c>
      <c r="O13" s="1653">
        <f t="shared" ref="O13:O19" si="3">ROUND(+$N$10*(($L13*N13)/N$69),0)</f>
        <v>13411</v>
      </c>
      <c r="P13" s="1563">
        <f>IF(O13&lt;&gt;0,ROUND((O13/$I13)*$H13,5),ROUND((N$10/$I$69)*$H13*N13,5))</f>
        <v>6.8110000000000004E-2</v>
      </c>
      <c r="Q13" s="502">
        <v>1</v>
      </c>
      <c r="R13" s="1653">
        <f t="shared" ref="R13:R19" si="4">ROUND(+$Q$10*(($L13*Q13)/Q$69),0)</f>
        <v>1221</v>
      </c>
      <c r="S13" s="1557">
        <f t="shared" ref="S13:S19" si="5">IF(R13&lt;&gt;0,ROUND((R13/$I13)*$H13,5),ROUND((Q$10/$I$69)*$H13*Q13,5))</f>
        <v>6.1999999999999998E-3</v>
      </c>
      <c r="T13" s="502">
        <v>1</v>
      </c>
      <c r="U13" s="1653">
        <f t="shared" ref="U13:U19" si="6">ROUND(+$T$10*(($L13*T13)/T$69),0)</f>
        <v>455</v>
      </c>
      <c r="V13" s="1563">
        <f t="shared" ref="V13:V19" si="7">IF(U13&lt;&gt;0,ROUND((U13/$I13)*$H13,5),ROUND((T$10/$I$69)*$H13*T13,5))</f>
        <v>2.31E-3</v>
      </c>
      <c r="W13" s="502">
        <v>1</v>
      </c>
      <c r="X13" s="1653">
        <f>ROUND(+$W$10*(($L13*W13)/W$69),0)</f>
        <v>-231</v>
      </c>
      <c r="Y13" s="503">
        <f>IF(X13&lt;&gt;0,ROUND((X13/$I13)*$H13,5),ROUND((W$10/$I$69)*$H13*W13,5))</f>
        <v>-1.17E-3</v>
      </c>
      <c r="Z13" s="502">
        <v>1</v>
      </c>
      <c r="AA13" s="500">
        <f t="shared" ref="AA13:AA19" si="8">ROUND(+$Z$10*(($L13*Z13)/Z$69),0)</f>
        <v>0</v>
      </c>
      <c r="AB13" s="1557">
        <f t="shared" ref="AB13:AB19" si="9">IF(AA13&lt;&gt;0,ROUND((AA13/$I13)*$H13,5),ROUND((Z$10/$I$69)*$H13*Z13,5))</f>
        <v>0</v>
      </c>
      <c r="AD13" s="869"/>
    </row>
    <row r="14" spans="1:30" x14ac:dyDescent="0.25">
      <c r="A14" s="479">
        <f t="shared" si="0"/>
        <v>8</v>
      </c>
      <c r="B14" s="450" t="s">
        <v>5</v>
      </c>
      <c r="C14" s="447"/>
      <c r="D14" s="500">
        <f>+'Washington volumes'!J14</f>
        <v>41008.9</v>
      </c>
      <c r="E14" s="1547">
        <f>+'Rates in detail'!D14</f>
        <v>1.0187299999999995</v>
      </c>
      <c r="F14" s="1547">
        <f>+'Rates in detail'!E14+'Rates in detail'!F14+'Rates in detail'!G14</f>
        <v>0.33485999999999999</v>
      </c>
      <c r="G14" s="1547">
        <f>+Temporaries!D14</f>
        <v>-1.9999999999999879E-4</v>
      </c>
      <c r="H14" s="1547">
        <f t="shared" ref="H14:H66" si="10">+E14-F14-G14</f>
        <v>0.68406999999999951</v>
      </c>
      <c r="I14" s="1672">
        <f t="shared" si="1"/>
        <v>28053</v>
      </c>
      <c r="J14" s="1051">
        <f>+'Avg Bill by RS'!G14</f>
        <v>3.47</v>
      </c>
      <c r="K14" s="500">
        <f>+'Washington volumes'!L14</f>
        <v>36</v>
      </c>
      <c r="L14" s="1672">
        <f t="shared" si="2"/>
        <v>29552</v>
      </c>
      <c r="M14" s="501"/>
      <c r="N14" s="502">
        <v>1</v>
      </c>
      <c r="O14" s="1653">
        <f t="shared" si="3"/>
        <v>2309</v>
      </c>
      <c r="P14" s="1563">
        <f t="shared" ref="P14:P18" si="11">IF(O14&lt;&gt;0,ROUND((O14/$I14)*$H14,5),ROUND((N$10/$I$69)*$H14*N14,5))</f>
        <v>5.6300000000000003E-2</v>
      </c>
      <c r="Q14" s="502">
        <v>1</v>
      </c>
      <c r="R14" s="1653">
        <f t="shared" si="4"/>
        <v>210</v>
      </c>
      <c r="S14" s="1557">
        <f t="shared" si="5"/>
        <v>5.1200000000000004E-3</v>
      </c>
      <c r="T14" s="502">
        <v>1</v>
      </c>
      <c r="U14" s="1653">
        <f t="shared" si="6"/>
        <v>78</v>
      </c>
      <c r="V14" s="1563">
        <f t="shared" si="7"/>
        <v>1.9E-3</v>
      </c>
      <c r="W14" s="502">
        <v>1</v>
      </c>
      <c r="X14" s="1653">
        <f t="shared" ref="X14:X19" si="12">ROUND(+$W$10*(($L14*W14)/W$69),0)</f>
        <v>-40</v>
      </c>
      <c r="Y14" s="503">
        <f t="shared" ref="Y14:Y19" si="13">IF(X14&lt;&gt;0,ROUND((X14/$I14)*$H14,5),ROUND((W$10/$I$69)*$H14*W14,5))</f>
        <v>-9.7999999999999997E-4</v>
      </c>
      <c r="Z14" s="502">
        <v>1</v>
      </c>
      <c r="AA14" s="500">
        <f t="shared" si="8"/>
        <v>0</v>
      </c>
      <c r="AB14" s="1557">
        <f t="shared" si="9"/>
        <v>0</v>
      </c>
      <c r="AD14" s="869"/>
    </row>
    <row r="15" spans="1:30" x14ac:dyDescent="0.25">
      <c r="A15" s="479">
        <f t="shared" si="0"/>
        <v>9</v>
      </c>
      <c r="B15" s="450" t="s">
        <v>14</v>
      </c>
      <c r="C15" s="447"/>
      <c r="D15" s="500">
        <f>+'Washington volumes'!J15</f>
        <v>53306699.299999997</v>
      </c>
      <c r="E15" s="1547">
        <f>+'Rates in detail'!D15</f>
        <v>0.73545999999999978</v>
      </c>
      <c r="F15" s="1547">
        <f>+'Rates in detail'!E15+'Rates in detail'!F15+'Rates in detail'!G15</f>
        <v>0.33485999999999999</v>
      </c>
      <c r="G15" s="1547">
        <f>+Temporaries!D15</f>
        <v>-1.3939999999999994E-2</v>
      </c>
      <c r="H15" s="1547">
        <f t="shared" si="10"/>
        <v>0.4145399999999998</v>
      </c>
      <c r="I15" s="1672">
        <f t="shared" si="1"/>
        <v>22097759</v>
      </c>
      <c r="J15" s="1051">
        <f>+'Avg Bill by RS'!G15</f>
        <v>7</v>
      </c>
      <c r="K15" s="500">
        <f>+'Washington volumes'!L15</f>
        <v>77694</v>
      </c>
      <c r="L15" s="1672">
        <f t="shared" si="2"/>
        <v>28624055</v>
      </c>
      <c r="M15" s="501"/>
      <c r="N15" s="502">
        <v>1</v>
      </c>
      <c r="O15" s="1653">
        <f t="shared" si="3"/>
        <v>2236587</v>
      </c>
      <c r="P15" s="1563">
        <f t="shared" si="11"/>
        <v>4.1959999999999997E-2</v>
      </c>
      <c r="Q15" s="502">
        <v>1</v>
      </c>
      <c r="R15" s="1653">
        <f t="shared" si="4"/>
        <v>203556</v>
      </c>
      <c r="S15" s="1557">
        <f t="shared" si="5"/>
        <v>3.82E-3</v>
      </c>
      <c r="T15" s="502">
        <v>1</v>
      </c>
      <c r="U15" s="1653">
        <f t="shared" si="6"/>
        <v>75872</v>
      </c>
      <c r="V15" s="1563">
        <f t="shared" si="7"/>
        <v>1.42E-3</v>
      </c>
      <c r="W15" s="502">
        <v>1</v>
      </c>
      <c r="X15" s="1653">
        <f t="shared" si="12"/>
        <v>-38476</v>
      </c>
      <c r="Y15" s="503">
        <f t="shared" si="13"/>
        <v>-7.2000000000000005E-4</v>
      </c>
      <c r="Z15" s="502">
        <v>1</v>
      </c>
      <c r="AA15" s="500">
        <f t="shared" si="8"/>
        <v>0</v>
      </c>
      <c r="AB15" s="1557">
        <f t="shared" si="9"/>
        <v>0</v>
      </c>
      <c r="AD15" s="869"/>
    </row>
    <row r="16" spans="1:30" x14ac:dyDescent="0.25">
      <c r="A16" s="479">
        <f t="shared" si="0"/>
        <v>10</v>
      </c>
      <c r="B16" s="450" t="s">
        <v>12</v>
      </c>
      <c r="C16" s="447"/>
      <c r="D16" s="500">
        <f>+'Washington volumes'!J16</f>
        <v>18528180.699999999</v>
      </c>
      <c r="E16" s="1547">
        <f>+'Rates in detail'!D16</f>
        <v>0.73534000000000033</v>
      </c>
      <c r="F16" s="1547">
        <f>+'Rates in detail'!E16+'Rates in detail'!F16+'Rates in detail'!G16</f>
        <v>0.33485999999999999</v>
      </c>
      <c r="G16" s="1547">
        <f>+Temporaries!D16</f>
        <v>-1.8099999999999991E-2</v>
      </c>
      <c r="H16" s="1547">
        <f t="shared" si="10"/>
        <v>0.41858000000000034</v>
      </c>
      <c r="I16" s="1672">
        <f t="shared" si="1"/>
        <v>7755526</v>
      </c>
      <c r="J16" s="1051">
        <f>+'Avg Bill by RS'!G16</f>
        <v>15</v>
      </c>
      <c r="K16" s="500">
        <f>+'Washington volumes'!L16</f>
        <v>6219</v>
      </c>
      <c r="L16" s="1672">
        <f t="shared" si="2"/>
        <v>8874946</v>
      </c>
      <c r="M16" s="501"/>
      <c r="N16" s="502">
        <v>1</v>
      </c>
      <c r="O16" s="1653">
        <f t="shared" si="3"/>
        <v>693458</v>
      </c>
      <c r="P16" s="1563">
        <f t="shared" si="11"/>
        <v>3.7429999999999998E-2</v>
      </c>
      <c r="Q16" s="502">
        <v>1</v>
      </c>
      <c r="R16" s="1653">
        <f t="shared" si="4"/>
        <v>63113</v>
      </c>
      <c r="S16" s="1557">
        <f t="shared" si="5"/>
        <v>3.4099999999999998E-3</v>
      </c>
      <c r="T16" s="502">
        <v>1</v>
      </c>
      <c r="U16" s="1653">
        <f t="shared" si="6"/>
        <v>23524</v>
      </c>
      <c r="V16" s="1563">
        <f t="shared" si="7"/>
        <v>1.2700000000000001E-3</v>
      </c>
      <c r="W16" s="502">
        <v>1</v>
      </c>
      <c r="X16" s="1653">
        <f t="shared" si="12"/>
        <v>-11929</v>
      </c>
      <c r="Y16" s="503">
        <f t="shared" si="13"/>
        <v>-6.4000000000000005E-4</v>
      </c>
      <c r="Z16" s="502">
        <v>1</v>
      </c>
      <c r="AA16" s="500">
        <f t="shared" si="8"/>
        <v>0</v>
      </c>
      <c r="AB16" s="1557">
        <f t="shared" si="9"/>
        <v>0</v>
      </c>
      <c r="AD16" s="869"/>
    </row>
    <row r="17" spans="1:30" x14ac:dyDescent="0.25">
      <c r="A17" s="479">
        <f t="shared" si="0"/>
        <v>11</v>
      </c>
      <c r="B17" s="450" t="s">
        <v>13</v>
      </c>
      <c r="C17" s="447"/>
      <c r="D17" s="500">
        <f>+'Washington volumes'!J17</f>
        <v>363801</v>
      </c>
      <c r="E17" s="1547">
        <f>+'Rates in detail'!D17</f>
        <v>0.70457999999999954</v>
      </c>
      <c r="F17" s="1547">
        <f>+'Rates in detail'!E17+'Rates in detail'!F17+'Rates in detail'!G17</f>
        <v>0.33485999999999999</v>
      </c>
      <c r="G17" s="1547">
        <f>+Temporaries!D17</f>
        <v>-4.8729999999999996E-2</v>
      </c>
      <c r="H17" s="1547">
        <f t="shared" si="10"/>
        <v>0.41844999999999954</v>
      </c>
      <c r="I17" s="1672">
        <f t="shared" si="1"/>
        <v>152233</v>
      </c>
      <c r="J17" s="1051">
        <f>+'Avg Bill by RS'!G17</f>
        <v>15</v>
      </c>
      <c r="K17" s="500">
        <f>+'Washington volumes'!L17</f>
        <v>25</v>
      </c>
      <c r="L17" s="1672">
        <f t="shared" si="2"/>
        <v>156733</v>
      </c>
      <c r="M17" s="501"/>
      <c r="N17" s="502">
        <v>0</v>
      </c>
      <c r="O17" s="1653">
        <f t="shared" si="3"/>
        <v>0</v>
      </c>
      <c r="P17" s="1563">
        <f t="shared" si="11"/>
        <v>0</v>
      </c>
      <c r="Q17" s="502">
        <v>1</v>
      </c>
      <c r="R17" s="1653">
        <f t="shared" si="4"/>
        <v>1115</v>
      </c>
      <c r="S17" s="1557">
        <f t="shared" si="5"/>
        <v>3.0599999999999998E-3</v>
      </c>
      <c r="T17" s="502">
        <v>1</v>
      </c>
      <c r="U17" s="1653">
        <f t="shared" si="6"/>
        <v>415</v>
      </c>
      <c r="V17" s="1563">
        <f t="shared" si="7"/>
        <v>1.14E-3</v>
      </c>
      <c r="W17" s="502">
        <v>1</v>
      </c>
      <c r="X17" s="1653">
        <f t="shared" si="12"/>
        <v>-211</v>
      </c>
      <c r="Y17" s="503">
        <f t="shared" si="13"/>
        <v>-5.8E-4</v>
      </c>
      <c r="Z17" s="502">
        <v>1</v>
      </c>
      <c r="AA17" s="500">
        <f t="shared" si="8"/>
        <v>0</v>
      </c>
      <c r="AB17" s="1557">
        <f t="shared" si="9"/>
        <v>0</v>
      </c>
      <c r="AD17" s="869"/>
    </row>
    <row r="18" spans="1:30" x14ac:dyDescent="0.25">
      <c r="A18" s="479">
        <f t="shared" si="0"/>
        <v>12</v>
      </c>
      <c r="B18" s="510">
        <v>27</v>
      </c>
      <c r="C18" s="455"/>
      <c r="D18" s="500">
        <f>+'Washington volumes'!J18</f>
        <v>575777.19999999995</v>
      </c>
      <c r="E18" s="1547">
        <f>+'Rates in detail'!D18</f>
        <v>0.56221999999999994</v>
      </c>
      <c r="F18" s="1547">
        <f>+'Rates in detail'!E18+'Rates in detail'!F18+'Rates in detail'!G18</f>
        <v>0.33485999999999999</v>
      </c>
      <c r="G18" s="1547">
        <f>+Temporaries!D18</f>
        <v>-2.6839999999999999E-2</v>
      </c>
      <c r="H18" s="1547">
        <f t="shared" si="10"/>
        <v>0.25419999999999993</v>
      </c>
      <c r="I18" s="1672">
        <f t="shared" si="1"/>
        <v>146363</v>
      </c>
      <c r="J18" s="1051">
        <f>+'Avg Bill by RS'!G18</f>
        <v>6</v>
      </c>
      <c r="K18" s="500">
        <f>+'Washington volumes'!L18</f>
        <v>889</v>
      </c>
      <c r="L18" s="1672">
        <f t="shared" si="2"/>
        <v>210371</v>
      </c>
      <c r="M18" s="501"/>
      <c r="N18" s="502">
        <v>1</v>
      </c>
      <c r="O18" s="1653">
        <f t="shared" si="3"/>
        <v>16438</v>
      </c>
      <c r="P18" s="1563">
        <f t="shared" si="11"/>
        <v>2.8549999999999999E-2</v>
      </c>
      <c r="Q18" s="502">
        <v>1</v>
      </c>
      <c r="R18" s="1653">
        <f t="shared" si="4"/>
        <v>1496</v>
      </c>
      <c r="S18" s="1557">
        <f t="shared" si="5"/>
        <v>2.5999999999999999E-3</v>
      </c>
      <c r="T18" s="502">
        <v>1</v>
      </c>
      <c r="U18" s="1653">
        <f t="shared" si="6"/>
        <v>558</v>
      </c>
      <c r="V18" s="1563">
        <f t="shared" si="7"/>
        <v>9.7000000000000005E-4</v>
      </c>
      <c r="W18" s="502">
        <v>1</v>
      </c>
      <c r="X18" s="1653">
        <f t="shared" si="12"/>
        <v>-283</v>
      </c>
      <c r="Y18" s="503">
        <f t="shared" si="13"/>
        <v>-4.8999999999999998E-4</v>
      </c>
      <c r="Z18" s="502">
        <v>1</v>
      </c>
      <c r="AA18" s="500">
        <f t="shared" si="8"/>
        <v>0</v>
      </c>
      <c r="AB18" s="1557">
        <f t="shared" si="9"/>
        <v>0</v>
      </c>
      <c r="AD18" s="869"/>
    </row>
    <row r="19" spans="1:30" x14ac:dyDescent="0.25">
      <c r="A19" s="479">
        <f t="shared" si="0"/>
        <v>13</v>
      </c>
      <c r="B19" s="505" t="s">
        <v>857</v>
      </c>
      <c r="C19" s="452" t="s">
        <v>6</v>
      </c>
      <c r="D19" s="506">
        <f>+'Washington volumes'!J19</f>
        <v>1970232.1</v>
      </c>
      <c r="E19" s="1548">
        <f>+'Rates in detail'!D19</f>
        <v>0.49926000000000026</v>
      </c>
      <c r="F19" s="1548">
        <f>+'Rates in detail'!E19+'Rates in detail'!F19+'Rates in detail'!G19</f>
        <v>0.22356000000000001</v>
      </c>
      <c r="G19" s="1548">
        <f>+Temporaries!D19</f>
        <v>-2.5939999999999998E-2</v>
      </c>
      <c r="H19" s="1548">
        <f t="shared" si="10"/>
        <v>0.3016400000000003</v>
      </c>
      <c r="I19" s="1673">
        <f>ROUND((+H19*D19)+(H20*D20),0)</f>
        <v>1158804</v>
      </c>
      <c r="J19" s="870">
        <f>+'Avg Bill by RS'!G19</f>
        <v>250</v>
      </c>
      <c r="K19" s="506">
        <f>+'Washington volumes'!L19</f>
        <v>96</v>
      </c>
      <c r="L19" s="1673">
        <f>ROUND((+H19*D19)+(H20*D20)+(J19*K19*12),0)</f>
        <v>1446804</v>
      </c>
      <c r="M19" s="508"/>
      <c r="N19" s="507">
        <v>1</v>
      </c>
      <c r="O19" s="1654">
        <f t="shared" si="3"/>
        <v>113048</v>
      </c>
      <c r="P19" s="1636">
        <f>IF(O19&lt;&gt;0,ROUND((O19/$I19)*$H19,5),ROUND((N$10/$I$69)*$H19*N19,5))</f>
        <v>2.9430000000000001E-2</v>
      </c>
      <c r="Q19" s="507">
        <v>1</v>
      </c>
      <c r="R19" s="1654">
        <f t="shared" si="4"/>
        <v>10289</v>
      </c>
      <c r="S19" s="1558">
        <f t="shared" si="5"/>
        <v>2.6800000000000001E-3</v>
      </c>
      <c r="T19" s="507">
        <v>1</v>
      </c>
      <c r="U19" s="1654">
        <f t="shared" si="6"/>
        <v>3835</v>
      </c>
      <c r="V19" s="1636">
        <f t="shared" si="7"/>
        <v>1E-3</v>
      </c>
      <c r="W19" s="507">
        <v>1</v>
      </c>
      <c r="X19" s="1654">
        <f t="shared" si="12"/>
        <v>-1945</v>
      </c>
      <c r="Y19" s="1650">
        <f t="shared" si="13"/>
        <v>-5.1000000000000004E-4</v>
      </c>
      <c r="Z19" s="507">
        <v>1</v>
      </c>
      <c r="AA19" s="658">
        <f t="shared" si="8"/>
        <v>0</v>
      </c>
      <c r="AB19" s="1558">
        <f t="shared" si="9"/>
        <v>0</v>
      </c>
      <c r="AD19" s="869"/>
    </row>
    <row r="20" spans="1:30" x14ac:dyDescent="0.25">
      <c r="A20" s="479">
        <f t="shared" si="0"/>
        <v>14</v>
      </c>
      <c r="B20" s="510"/>
      <c r="C20" s="456" t="s">
        <v>7</v>
      </c>
      <c r="D20" s="500">
        <f>+'Washington volumes'!J20</f>
        <v>2123869.7999999998</v>
      </c>
      <c r="E20" s="1547">
        <f>+'Rates in detail'!D20</f>
        <v>0.46017999999999998</v>
      </c>
      <c r="F20" s="1547">
        <f>+'Rates in detail'!E20+'Rates in detail'!F20+'Rates in detail'!G20</f>
        <v>0.22356000000000001</v>
      </c>
      <c r="G20" s="1547">
        <f>+Temporaries!D20</f>
        <v>-2.9169999999999995E-2</v>
      </c>
      <c r="H20" s="1547">
        <f t="shared" si="10"/>
        <v>0.26578999999999997</v>
      </c>
      <c r="I20" s="1672"/>
      <c r="J20" s="1051"/>
      <c r="K20" s="500"/>
      <c r="L20" s="1672"/>
      <c r="M20" s="501"/>
      <c r="N20" s="502">
        <v>1</v>
      </c>
      <c r="O20" s="1653"/>
      <c r="P20" s="1563">
        <f>IF(O19&lt;&gt;0,ROUND((O19/$I19)*$H20,5),ROUND((N$10/$I$69)*$H20*N20,5))</f>
        <v>2.5930000000000002E-2</v>
      </c>
      <c r="Q20" s="502">
        <v>1</v>
      </c>
      <c r="R20" s="1653"/>
      <c r="S20" s="1557">
        <f>IF(R19&lt;&gt;0,ROUND((R19/$I19)*$H20,5),ROUND((Q$10/$I$69)*$H20*Q20,5))</f>
        <v>2.3600000000000001E-3</v>
      </c>
      <c r="T20" s="502">
        <v>1</v>
      </c>
      <c r="U20" s="1653"/>
      <c r="V20" s="1563">
        <f>IF(U19&lt;&gt;0,ROUND((U19/$I19)*$H20,5),ROUND((T$10/$I$69)*$H20*T20,5))</f>
        <v>8.8000000000000003E-4</v>
      </c>
      <c r="W20" s="502">
        <v>1</v>
      </c>
      <c r="X20" s="1653"/>
      <c r="Y20" s="503">
        <f>IF(X19&lt;&gt;0,ROUND((X19/$I19)*$H20,5),ROUND((W$10/$I$69)*$H20*W20,5))</f>
        <v>-4.4999999999999999E-4</v>
      </c>
      <c r="Z20" s="502">
        <v>1</v>
      </c>
      <c r="AA20" s="500"/>
      <c r="AB20" s="1557">
        <f>IF(AA19&lt;&gt;0,ROUND((AA19/$I19)*$H20,5),ROUND((Z$10/$I$69)*$H20*Z20,5))</f>
        <v>0</v>
      </c>
      <c r="AD20" s="869"/>
    </row>
    <row r="21" spans="1:30" x14ac:dyDescent="0.25">
      <c r="A21" s="479">
        <f t="shared" si="0"/>
        <v>15</v>
      </c>
      <c r="B21" s="505" t="s">
        <v>858</v>
      </c>
      <c r="C21" s="452" t="s">
        <v>6</v>
      </c>
      <c r="D21" s="506">
        <f>+'Washington volumes'!J21</f>
        <v>0</v>
      </c>
      <c r="E21" s="1548">
        <f>+'Rates in detail'!D21</f>
        <v>0.51518999999999993</v>
      </c>
      <c r="F21" s="1548">
        <f>+'Rates in detail'!E21+'Rates in detail'!F21+'Rates in detail'!G21</f>
        <v>0.22356000000000001</v>
      </c>
      <c r="G21" s="1548">
        <f>+Temporaries!D21</f>
        <v>-9.779999999999997E-3</v>
      </c>
      <c r="H21" s="1548">
        <f>+E21-F21-G21</f>
        <v>0.30140999999999996</v>
      </c>
      <c r="I21" s="1673">
        <f>ROUND((+H21*D21)+(H22*D22),0)</f>
        <v>0</v>
      </c>
      <c r="J21" s="870">
        <f>+'Avg Bill by RS'!G22</f>
        <v>250</v>
      </c>
      <c r="K21" s="506">
        <f>+'Washington volumes'!L21</f>
        <v>0</v>
      </c>
      <c r="L21" s="1673">
        <f>ROUND((+H21*D21)+(H22*D22)+(J21*K21*12),0)</f>
        <v>0</v>
      </c>
      <c r="M21" s="508"/>
      <c r="N21" s="507">
        <v>1</v>
      </c>
      <c r="O21" s="1654">
        <f>ROUND(+$N$10*(($L21*N21)/N$69),0)</f>
        <v>0</v>
      </c>
      <c r="P21" s="1636">
        <f>IF(O21&lt;&gt;0,ROUND((O21/$I21)*$H21,5),ROUND((N$10/$I$69)*$H21*N21,5))</f>
        <v>2.7699999999999999E-2</v>
      </c>
      <c r="Q21" s="507">
        <v>1</v>
      </c>
      <c r="R21" s="1654">
        <f>ROUND(+$Q$10*(($L21*Q21)/Q$69),0)</f>
        <v>0</v>
      </c>
      <c r="S21" s="1558">
        <f>IF(R21&lt;&gt;0,ROUND((R21/$I21)*$H21,5),ROUND((Q$10/$I$69)*$H21*Q21,5))</f>
        <v>2.5799999999999998E-3</v>
      </c>
      <c r="T21" s="507">
        <v>1</v>
      </c>
      <c r="U21" s="1654">
        <f>ROUND(+$T$10*(($L21*T21)/T$69),0)</f>
        <v>0</v>
      </c>
      <c r="V21" s="1636">
        <f>IF(U21&lt;&gt;0,ROUND((U21/$I21)*$H21,5),ROUND((T$10/$I$69)*$H21*T21,5))</f>
        <v>9.6000000000000002E-4</v>
      </c>
      <c r="W21" s="507">
        <v>1</v>
      </c>
      <c r="X21" s="1654">
        <f>ROUND(+$W$10*(($L21*W21)/W$69),0)</f>
        <v>0</v>
      </c>
      <c r="Y21" s="1650">
        <f>IF(X21&lt;&gt;0,ROUND((X21/$I21)*$H21,5),ROUND((W$10/$I$69)*$H21*W21,5))</f>
        <v>-5.1000000000000004E-4</v>
      </c>
      <c r="Z21" s="507">
        <v>1</v>
      </c>
      <c r="AA21" s="658">
        <f>ROUND(+$Z$10*(($L21*Z21)/Z$69),0)</f>
        <v>0</v>
      </c>
      <c r="AB21" s="1558">
        <f>IF(AA21&lt;&gt;0,ROUND((AA21/$I21)*$H21,5),ROUND((Z$10/$I$69)*$H21*Z21,5))</f>
        <v>0</v>
      </c>
      <c r="AD21" s="869"/>
    </row>
    <row r="22" spans="1:30" x14ac:dyDescent="0.25">
      <c r="A22" s="479">
        <f t="shared" si="0"/>
        <v>16</v>
      </c>
      <c r="B22" s="510"/>
      <c r="C22" s="456" t="s">
        <v>7</v>
      </c>
      <c r="D22" s="500">
        <f>+'Washington volumes'!J22</f>
        <v>0</v>
      </c>
      <c r="E22" s="1547">
        <f>+'Rates in detail'!D22</f>
        <v>0.47625999999999991</v>
      </c>
      <c r="F22" s="1547">
        <f>+'Rates in detail'!E22+'Rates in detail'!F22+'Rates in detail'!G22</f>
        <v>0.22356000000000001</v>
      </c>
      <c r="G22" s="1547">
        <f>+Temporaries!D22</f>
        <v>-1.286E-2</v>
      </c>
      <c r="H22" s="1547">
        <f>+E22-F22-G22</f>
        <v>0.26555999999999991</v>
      </c>
      <c r="I22" s="1672"/>
      <c r="J22" s="1051"/>
      <c r="K22" s="500"/>
      <c r="L22" s="1672"/>
      <c r="M22" s="501"/>
      <c r="N22" s="502">
        <v>1</v>
      </c>
      <c r="O22" s="1653"/>
      <c r="P22" s="1563">
        <f>IF(O21&lt;&gt;0,ROUND((O21/$I21)*$H22,5),ROUND((N$10/$I$69)*$H22*N22,5))</f>
        <v>2.4400000000000002E-2</v>
      </c>
      <c r="Q22" s="502">
        <v>1</v>
      </c>
      <c r="R22" s="1653"/>
      <c r="S22" s="1557">
        <f>IF(R21&lt;&gt;0,ROUND((R21/$I21)*$H22,5),ROUND((Q$10/$I$69)*$H22*Q22,5))</f>
        <v>2.2699999999999999E-3</v>
      </c>
      <c r="T22" s="502">
        <v>1</v>
      </c>
      <c r="U22" s="1653"/>
      <c r="V22" s="1563">
        <f>IF(U21&lt;&gt;0,ROUND((U21/$I21)*$H22,5),ROUND((T$10/$I$69)*$H22*T22,5))</f>
        <v>8.4999999999999995E-4</v>
      </c>
      <c r="W22" s="502">
        <v>1</v>
      </c>
      <c r="X22" s="1653"/>
      <c r="Y22" s="503">
        <f>IF(X21&lt;&gt;0,ROUND((X21/$I21)*$H22,5),ROUND((W$10/$I$69)*$H22*W22,5))</f>
        <v>-4.4999999999999999E-4</v>
      </c>
      <c r="Z22" s="502">
        <v>1</v>
      </c>
      <c r="AA22" s="500"/>
      <c r="AB22" s="1557">
        <f>IF(AA21&lt;&gt;0,ROUND((AA21/$I21)*$H22,5),ROUND((Z$10/$I$69)*$H22*Z22,5))</f>
        <v>0</v>
      </c>
      <c r="AD22" s="869"/>
    </row>
    <row r="23" spans="1:30" x14ac:dyDescent="0.25">
      <c r="A23" s="479">
        <f t="shared" si="0"/>
        <v>17</v>
      </c>
      <c r="B23" s="505" t="s">
        <v>161</v>
      </c>
      <c r="C23" s="452" t="s">
        <v>6</v>
      </c>
      <c r="D23" s="506">
        <f>+'Washington volumes'!J23</f>
        <v>303749</v>
      </c>
      <c r="E23" s="1548">
        <f>+'Rates in detail'!D23</f>
        <v>0.30018999999999996</v>
      </c>
      <c r="F23" s="1548">
        <f>+'Rates in detail'!E23+'Rates in detail'!F23+'Rates in detail'!G23</f>
        <v>0</v>
      </c>
      <c r="G23" s="1548">
        <f>+Temporaries!D23</f>
        <v>-5.8E-4</v>
      </c>
      <c r="H23" s="1548">
        <f t="shared" si="10"/>
        <v>0.30076999999999998</v>
      </c>
      <c r="I23" s="1673">
        <f>ROUND((+H23*D23)+(H24*D24),0)</f>
        <v>219718</v>
      </c>
      <c r="J23" s="870">
        <f>+'Avg Bill by RS'!G25</f>
        <v>500</v>
      </c>
      <c r="K23" s="506">
        <f>+'Washington volumes'!L23</f>
        <v>8</v>
      </c>
      <c r="L23" s="1675">
        <f>ROUND((+H23*D23)+(H24*D24)+(J23*K23*12),0)</f>
        <v>267718</v>
      </c>
      <c r="M23" s="508"/>
      <c r="N23" s="507">
        <v>0</v>
      </c>
      <c r="O23" s="1654">
        <f>ROUND(+$N$10*(($L23*N23)/N$69),0)</f>
        <v>0</v>
      </c>
      <c r="P23" s="1636">
        <f>IF(O23&lt;&gt;0,ROUND((O23/$I23)*$H23,5),ROUND((N$10/$I$69)*$H23*N23,5))</f>
        <v>0</v>
      </c>
      <c r="Q23" s="507">
        <v>0</v>
      </c>
      <c r="R23" s="1654">
        <f>ROUND(+$Q$10*(($L23*Q23)/Q$69),0)</f>
        <v>0</v>
      </c>
      <c r="S23" s="1558">
        <f>IF(R23&lt;&gt;0,ROUND((R23/$I23)*$H23,5),ROUND((Q$10/$I$69)*$H23*Q23,5))</f>
        <v>0</v>
      </c>
      <c r="T23" s="507">
        <v>0</v>
      </c>
      <c r="U23" s="1654">
        <f>ROUND(+$T$10*(($L23*T23)/T$69),0)</f>
        <v>0</v>
      </c>
      <c r="V23" s="1636">
        <f>IF(U23&lt;&gt;0,ROUND((U23/$I23)*$H23,5),ROUND((T$10/$I$69)*$H23*T23,5))</f>
        <v>0</v>
      </c>
      <c r="W23" s="507">
        <v>1</v>
      </c>
      <c r="X23" s="1654">
        <f>ROUND(+$W$10*(($L23*W23)/W$69),0)</f>
        <v>-360</v>
      </c>
      <c r="Y23" s="1650">
        <f>IF(X23&lt;&gt;0,ROUND((X23/$I23)*$H23,5),ROUND((W$10/$I$69)*$H23*W23,5))</f>
        <v>-4.8999999999999998E-4</v>
      </c>
      <c r="Z23" s="507">
        <v>0</v>
      </c>
      <c r="AA23" s="658">
        <f>ROUND(+$Z$10*(($L23*Z23)/Z$69),0)</f>
        <v>0</v>
      </c>
      <c r="AB23" s="1558">
        <f>IF(AA23&lt;&gt;0,ROUND((AA23/$I23)*$H23,5),ROUND((Z$10/$I$69)*$H23*Z23,5))</f>
        <v>0</v>
      </c>
      <c r="AD23" s="869"/>
    </row>
    <row r="24" spans="1:30" x14ac:dyDescent="0.25">
      <c r="A24" s="479">
        <f t="shared" si="0"/>
        <v>18</v>
      </c>
      <c r="B24" s="510"/>
      <c r="C24" s="456" t="s">
        <v>7</v>
      </c>
      <c r="D24" s="500">
        <f>+'Washington volumes'!J24</f>
        <v>484375</v>
      </c>
      <c r="E24" s="1547">
        <f>+'Rates in detail'!D24</f>
        <v>0.26449</v>
      </c>
      <c r="F24" s="1547">
        <f>+'Rates in detail'!E24+'Rates in detail'!F24+'Rates in detail'!G24</f>
        <v>0</v>
      </c>
      <c r="G24" s="1547">
        <f>+Temporaries!D24</f>
        <v>-5.1000000000000004E-4</v>
      </c>
      <c r="H24" s="1547">
        <f t="shared" si="10"/>
        <v>0.26500000000000001</v>
      </c>
      <c r="I24" s="1672"/>
      <c r="J24" s="1051"/>
      <c r="K24" s="500"/>
      <c r="L24" s="1672"/>
      <c r="M24" s="501"/>
      <c r="N24" s="502">
        <v>0</v>
      </c>
      <c r="O24" s="1653"/>
      <c r="P24" s="1563">
        <f>IF(O23&lt;&gt;0,ROUND((O23/$I23)*$H24,5),ROUND((N$10/$I$69)*$H24*N24,5))</f>
        <v>0</v>
      </c>
      <c r="Q24" s="502">
        <v>0</v>
      </c>
      <c r="R24" s="1653"/>
      <c r="S24" s="1557">
        <f>IF(R23&lt;&gt;0,ROUND((R23/$I23)*$H24,5),ROUND((Q$10/$I$69)*$H24*Q24,5))</f>
        <v>0</v>
      </c>
      <c r="T24" s="502">
        <v>0</v>
      </c>
      <c r="U24" s="1653"/>
      <c r="V24" s="1563">
        <f>IF(U23&lt;&gt;0,ROUND((U23/$I23)*$H24,5),ROUND((T$10/$I$69)*$H24*T24,5))</f>
        <v>0</v>
      </c>
      <c r="W24" s="502">
        <v>1</v>
      </c>
      <c r="X24" s="1653"/>
      <c r="Y24" s="503">
        <f>IF(X23&lt;&gt;0,ROUND((X23/$I23)*$H24,5),ROUND((W$10/$I$69)*$H24*W24,5))</f>
        <v>-4.2999999999999999E-4</v>
      </c>
      <c r="Z24" s="502">
        <v>0</v>
      </c>
      <c r="AA24" s="500"/>
      <c r="AB24" s="1557">
        <f>IF(AA23&lt;&gt;0,ROUND((AA23/$I23)*$H24,5),ROUND((Z$10/$I$69)*$H24*Z24,5))</f>
        <v>0</v>
      </c>
      <c r="AD24" s="869"/>
    </row>
    <row r="25" spans="1:30" x14ac:dyDescent="0.25">
      <c r="A25" s="479">
        <f t="shared" si="0"/>
        <v>19</v>
      </c>
      <c r="B25" s="505" t="s">
        <v>859</v>
      </c>
      <c r="C25" s="452" t="s">
        <v>6</v>
      </c>
      <c r="D25" s="506">
        <f>+'Washington volumes'!J25</f>
        <v>360236</v>
      </c>
      <c r="E25" s="1548">
        <f>+'Rates in detail'!D25</f>
        <v>0.47592000000000023</v>
      </c>
      <c r="F25" s="1548">
        <f>+'Rates in detail'!E25+'Rates in detail'!F25+'Rates in detail'!G25</f>
        <v>0.22356000000000001</v>
      </c>
      <c r="G25" s="1548">
        <f>+Temporaries!D25</f>
        <v>-4.9319999999999996E-2</v>
      </c>
      <c r="H25" s="1548">
        <f>+E25-F25-G25</f>
        <v>0.30168000000000023</v>
      </c>
      <c r="I25" s="1673">
        <f>ROUND((+H25*D25)+(H26*D26),0)</f>
        <v>252761</v>
      </c>
      <c r="J25" s="870">
        <f>+'Avg Bill by RS'!G28</f>
        <v>250</v>
      </c>
      <c r="K25" s="506">
        <f>+'Washington volumes'!L25</f>
        <v>18</v>
      </c>
      <c r="L25" s="1673">
        <f>ROUND((+H25*D25)+(H26*D26)+(J25*K25*12),0)</f>
        <v>306761</v>
      </c>
      <c r="M25" s="508"/>
      <c r="N25" s="507">
        <v>0</v>
      </c>
      <c r="O25" s="1654">
        <f>ROUND(+$N$10*(($L25*N25)/N$69),0)</f>
        <v>0</v>
      </c>
      <c r="P25" s="1636">
        <f>IF(O25&lt;&gt;0,ROUND((O25/$I25)*$H25,5),ROUND((N$10/$I$69)*$H25*N25,5))</f>
        <v>0</v>
      </c>
      <c r="Q25" s="507">
        <v>1</v>
      </c>
      <c r="R25" s="1654">
        <f>ROUND(+$Q$10*(($L25*Q25)/Q$69),0)</f>
        <v>2181</v>
      </c>
      <c r="S25" s="1558">
        <f>IF(R25&lt;&gt;0,ROUND((R25/$I25)*$H25,5),ROUND((Q$10/$I$69)*$H25*Q25,5))</f>
        <v>2.5999999999999999E-3</v>
      </c>
      <c r="T25" s="507">
        <v>1</v>
      </c>
      <c r="U25" s="1654">
        <f>ROUND(+$T$10*(($L25*T25)/T$69),0)</f>
        <v>813</v>
      </c>
      <c r="V25" s="1636">
        <f>IF(U25&lt;&gt;0,ROUND((U25/$I25)*$H25,5),ROUND((T$10/$I$69)*$H25*T25,5))</f>
        <v>9.7000000000000005E-4</v>
      </c>
      <c r="W25" s="507">
        <v>1</v>
      </c>
      <c r="X25" s="1654">
        <f>ROUND(+$W$10*(($L25*W25)/W$69),0)</f>
        <v>-412</v>
      </c>
      <c r="Y25" s="1650">
        <f>IF(X25&lt;&gt;0,ROUND((X25/$I25)*$H25,5),ROUND((W$10/$I$69)*$H25*W25,5))</f>
        <v>-4.8999999999999998E-4</v>
      </c>
      <c r="Z25" s="507">
        <v>1</v>
      </c>
      <c r="AA25" s="658">
        <f>ROUND(+$Z$10*(($L25*Z25)/Z$69),0)</f>
        <v>0</v>
      </c>
      <c r="AB25" s="1558">
        <f>IF(AA25&lt;&gt;0,ROUND((AA25/$I25)*$H25,5),ROUND((Z$10/$I$69)*$H25*Z25,5))</f>
        <v>0</v>
      </c>
      <c r="AD25" s="869"/>
    </row>
    <row r="26" spans="1:30" x14ac:dyDescent="0.25">
      <c r="A26" s="479">
        <f t="shared" si="0"/>
        <v>20</v>
      </c>
      <c r="B26" s="510"/>
      <c r="C26" s="456" t="s">
        <v>7</v>
      </c>
      <c r="D26" s="500">
        <f>+'Washington volumes'!J26</f>
        <v>542040</v>
      </c>
      <c r="E26" s="1547">
        <f>+'Rates in detail'!D26</f>
        <v>0.43959999999999988</v>
      </c>
      <c r="F26" s="1547">
        <f>+'Rates in detail'!E26+'Rates in detail'!F26+'Rates in detail'!G26</f>
        <v>0.22356000000000001</v>
      </c>
      <c r="G26" s="1547">
        <f>+Temporaries!D26</f>
        <v>-4.9779999999999998E-2</v>
      </c>
      <c r="H26" s="1547">
        <f>+E26-F26-G26</f>
        <v>0.26581999999999989</v>
      </c>
      <c r="I26" s="1672"/>
      <c r="J26" s="1051"/>
      <c r="K26" s="500"/>
      <c r="L26" s="1672"/>
      <c r="M26" s="501"/>
      <c r="N26" s="502">
        <v>0</v>
      </c>
      <c r="O26" s="1653"/>
      <c r="P26" s="1563">
        <f>IF(O25&lt;&gt;0,ROUND((O25/$I25)*$H26,5),ROUND((N$10/$I$69)*$H26*N26,5))</f>
        <v>0</v>
      </c>
      <c r="Q26" s="502">
        <v>1</v>
      </c>
      <c r="R26" s="1653"/>
      <c r="S26" s="1557">
        <f>IF(R25&lt;&gt;0,ROUND((R25/$I25)*$H26,5),ROUND((Q$10/$I$69)*$H26*Q26,5))</f>
        <v>2.2899999999999999E-3</v>
      </c>
      <c r="T26" s="502">
        <v>1</v>
      </c>
      <c r="U26" s="1653"/>
      <c r="V26" s="1563">
        <f>IF(U25&lt;&gt;0,ROUND((U25/$I25)*$H26,5),ROUND((T$10/$I$69)*$H26*T26,5))</f>
        <v>8.5999999999999998E-4</v>
      </c>
      <c r="W26" s="502">
        <v>1</v>
      </c>
      <c r="X26" s="1653"/>
      <c r="Y26" s="503">
        <f>IF(X25&lt;&gt;0,ROUND((X25/$I25)*$H26,5),ROUND((W$10/$I$69)*$H26*W26,5))</f>
        <v>-4.2999999999999999E-4</v>
      </c>
      <c r="Z26" s="502">
        <v>1</v>
      </c>
      <c r="AA26" s="500"/>
      <c r="AB26" s="1557">
        <f>IF(AA25&lt;&gt;0,ROUND((AA25/$I25)*$H26,5),ROUND((Z$10/$I$69)*$H26*Z26,5))</f>
        <v>0</v>
      </c>
      <c r="AD26" s="869"/>
    </row>
    <row r="27" spans="1:30" x14ac:dyDescent="0.25">
      <c r="A27" s="479">
        <f t="shared" si="0"/>
        <v>21</v>
      </c>
      <c r="B27" s="505" t="s">
        <v>860</v>
      </c>
      <c r="C27" s="452" t="s">
        <v>6</v>
      </c>
      <c r="D27" s="506">
        <f>+'Washington volumes'!J27</f>
        <v>0</v>
      </c>
      <c r="E27" s="1548">
        <f>+'Rates in detail'!D27</f>
        <v>0.4930000000000001</v>
      </c>
      <c r="F27" s="1548">
        <f>+'Rates in detail'!E27+'Rates in detail'!F27+'Rates in detail'!G27</f>
        <v>0.22356000000000001</v>
      </c>
      <c r="G27" s="1548">
        <f>+Temporaries!D27</f>
        <v>-3.1969999999999998E-2</v>
      </c>
      <c r="H27" s="1548">
        <f t="shared" si="10"/>
        <v>0.30141000000000012</v>
      </c>
      <c r="I27" s="1673">
        <f>ROUND((+H27*D27)+(H28*D28),0)</f>
        <v>0</v>
      </c>
      <c r="J27" s="870">
        <f>+'Avg Bill by RS'!G31</f>
        <v>250</v>
      </c>
      <c r="K27" s="506">
        <f>+'Washington volumes'!L27</f>
        <v>0</v>
      </c>
      <c r="L27" s="1675">
        <f>ROUND((+H27*D27)+(H28*D28)+(J27*K27*12),0)</f>
        <v>0</v>
      </c>
      <c r="M27" s="508"/>
      <c r="N27" s="507">
        <v>0</v>
      </c>
      <c r="O27" s="1654">
        <f>ROUND(+$N$10*(($L27*N27)/N$69),0)</f>
        <v>0</v>
      </c>
      <c r="P27" s="1636">
        <f>IF(O27&lt;&gt;0,ROUND((O27/$I27)*$H27,5),ROUND((N$10/$I$69)*$H27*N27,5))</f>
        <v>0</v>
      </c>
      <c r="Q27" s="507">
        <v>1</v>
      </c>
      <c r="R27" s="1654">
        <f>ROUND(+$Q$10*(($L27*Q27)/Q$69),0)</f>
        <v>0</v>
      </c>
      <c r="S27" s="1558">
        <f>IF(R27&lt;&gt;0,ROUND((R27/$I27)*$H27,5),ROUND((Q$10/$I$69)*$H27*Q27,5))</f>
        <v>2.5799999999999998E-3</v>
      </c>
      <c r="T27" s="507">
        <v>1</v>
      </c>
      <c r="U27" s="1654">
        <f>ROUND(+$T$10*(($L27*T27)/T$69),0)</f>
        <v>0</v>
      </c>
      <c r="V27" s="1636">
        <f>IF(U27&lt;&gt;0,ROUND((U27/$I27)*$H27,5),ROUND((T$10/$I$69)*$H27*T27,5))</f>
        <v>9.6000000000000002E-4</v>
      </c>
      <c r="W27" s="507">
        <v>1</v>
      </c>
      <c r="X27" s="1654">
        <f>ROUND(+$W$10*(($L27*W27)/W$69),0)</f>
        <v>0</v>
      </c>
      <c r="Y27" s="1650">
        <f>IF(X27&lt;&gt;0,ROUND((X27/$I27)*$H27,5),ROUND((W$10/$I$69)*$H27*W27,5))</f>
        <v>-5.1000000000000004E-4</v>
      </c>
      <c r="Z27" s="507">
        <v>1</v>
      </c>
      <c r="AA27" s="658">
        <f>ROUND(+$Z$10*(($L27*Z27)/Z$69),0)</f>
        <v>0</v>
      </c>
      <c r="AB27" s="1558">
        <f>IF(AA27&lt;&gt;0,ROUND((AA27/$I27)*$H27,5),ROUND((Z$10/$I$69)*$H27*Z27,5))</f>
        <v>0</v>
      </c>
      <c r="AD27" s="869"/>
    </row>
    <row r="28" spans="1:30" x14ac:dyDescent="0.25">
      <c r="A28" s="479">
        <f t="shared" si="0"/>
        <v>22</v>
      </c>
      <c r="B28" s="510"/>
      <c r="C28" s="456" t="s">
        <v>7</v>
      </c>
      <c r="D28" s="500">
        <f>+'Washington volumes'!J28</f>
        <v>0</v>
      </c>
      <c r="E28" s="1547">
        <f>+'Rates in detail'!D28</f>
        <v>0.45670999999999995</v>
      </c>
      <c r="F28" s="1547">
        <f>+'Rates in detail'!E28+'Rates in detail'!F28+'Rates in detail'!G28</f>
        <v>0.22356000000000001</v>
      </c>
      <c r="G28" s="1547">
        <f>+Temporaries!D28</f>
        <v>-3.2409999999999994E-2</v>
      </c>
      <c r="H28" s="1547">
        <f t="shared" si="10"/>
        <v>0.26555999999999991</v>
      </c>
      <c r="I28" s="1672"/>
      <c r="J28" s="1051"/>
      <c r="K28" s="500"/>
      <c r="L28" s="1672"/>
      <c r="M28" s="501"/>
      <c r="N28" s="502">
        <v>0</v>
      </c>
      <c r="O28" s="1653"/>
      <c r="P28" s="1563">
        <f>IF(O27&lt;&gt;0,ROUND((O27/$I27)*$H28,5),ROUND((N$10/$I$69)*$H28*N28,5))</f>
        <v>0</v>
      </c>
      <c r="Q28" s="502">
        <v>1</v>
      </c>
      <c r="R28" s="1653"/>
      <c r="S28" s="1557">
        <f>IF(R27&lt;&gt;0,ROUND((R27/$I27)*$H28,5),ROUND((Q$10/$I$69)*$H28*Q28,5))</f>
        <v>2.2699999999999999E-3</v>
      </c>
      <c r="T28" s="502">
        <v>1</v>
      </c>
      <c r="U28" s="1653"/>
      <c r="V28" s="1563">
        <f>IF(U27&lt;&gt;0,ROUND((U27/$I27)*$H28,5),ROUND((T$10/$I$69)*$H28*T28,5))</f>
        <v>8.4999999999999995E-4</v>
      </c>
      <c r="W28" s="502">
        <v>1</v>
      </c>
      <c r="X28" s="1653"/>
      <c r="Y28" s="503">
        <f>IF(X27&lt;&gt;0,ROUND((X27/$I27)*$H28,5),ROUND((W$10/$I$69)*$H28*W28,5))</f>
        <v>-4.4999999999999999E-4</v>
      </c>
      <c r="Z28" s="502">
        <v>1</v>
      </c>
      <c r="AA28" s="500"/>
      <c r="AB28" s="1557">
        <f>IF(AA27&lt;&gt;0,ROUND((AA27/$I27)*$H28,5),ROUND((Z$10/$I$69)*$H28*Z28,5))</f>
        <v>0</v>
      </c>
      <c r="AD28" s="869"/>
    </row>
    <row r="29" spans="1:30" x14ac:dyDescent="0.25">
      <c r="A29" s="479">
        <f t="shared" si="0"/>
        <v>23</v>
      </c>
      <c r="B29" s="505" t="s">
        <v>163</v>
      </c>
      <c r="C29" s="452" t="s">
        <v>6</v>
      </c>
      <c r="D29" s="506">
        <f>+'Washington volumes'!J29</f>
        <v>561182.4</v>
      </c>
      <c r="E29" s="1548">
        <f>+'Rates in detail'!D29</f>
        <v>0.30433999999999994</v>
      </c>
      <c r="F29" s="1548">
        <f>+'Rates in detail'!E29+'Rates in detail'!F29+'Rates in detail'!G29</f>
        <v>0.22356000000000001</v>
      </c>
      <c r="G29" s="1548">
        <f>+Temporaries!D29</f>
        <v>-3.7989999999999996E-2</v>
      </c>
      <c r="H29" s="1548">
        <f t="shared" si="10"/>
        <v>0.11876999999999993</v>
      </c>
      <c r="I29" s="1673">
        <f>ROUND((+H29*D29)+(H30*D30)+(H31*D31)+(H32*D32)+(H33*D33)+(H34*D34),0)</f>
        <v>129963</v>
      </c>
      <c r="J29" s="870">
        <f>+'Avg Bill by RS'!G34</f>
        <v>1300</v>
      </c>
      <c r="K29" s="506">
        <f>+'Washington volumes'!L29</f>
        <v>6</v>
      </c>
      <c r="L29" s="1673">
        <f>ROUND((+H29*D29)+(H30*D30)+(H31*D31)+(H32*D32)+(H33*D33)+(H34*D34)+(J29*K29*12),0)</f>
        <v>223563</v>
      </c>
      <c r="M29" s="508"/>
      <c r="N29" s="507">
        <v>1</v>
      </c>
      <c r="O29" s="1655">
        <f>ROUND(+$N$10*(($L29*N29)/N$69),0)</f>
        <v>17468</v>
      </c>
      <c r="P29" s="1637">
        <f>IF(O29&lt;&gt;0,ROUND((O29/$I29)*$H29,5),ROUND((N$10/$I$69)*$H29*N29,5))</f>
        <v>1.5959999999999998E-2</v>
      </c>
      <c r="Q29" s="507">
        <v>1</v>
      </c>
      <c r="R29" s="1655">
        <f>ROUND(+$Q$10*(($L29*Q29)/Q$69),0)</f>
        <v>1590</v>
      </c>
      <c r="S29" s="1559">
        <f>IF(R29&lt;&gt;0,ROUND((R29/$I29)*$H29,5),ROUND((Q$10/$I$69)*$H29*Q29,5))</f>
        <v>1.4499999999999999E-3</v>
      </c>
      <c r="T29" s="507">
        <v>1</v>
      </c>
      <c r="U29" s="1655">
        <f>ROUND(+$T$10*(($L29*T29)/T$69),0)</f>
        <v>593</v>
      </c>
      <c r="V29" s="1637">
        <f>IF(U29&lt;&gt;0,ROUND((U29/$I29)*$H29,5),ROUND((T$10/$I$69)*$H29*T29,5))</f>
        <v>5.4000000000000001E-4</v>
      </c>
      <c r="W29" s="507">
        <v>1</v>
      </c>
      <c r="X29" s="1655">
        <f>ROUND(+$W$10*(($L29*W29)/W$69),0)</f>
        <v>-301</v>
      </c>
      <c r="Y29" s="1651">
        <f>IF(X29&lt;&gt;0,ROUND((X29/$I29)*$H29,5),ROUND((W$10/$I$69)*$H29*W29,5))</f>
        <v>-2.7999999999999998E-4</v>
      </c>
      <c r="Z29" s="507">
        <v>1</v>
      </c>
      <c r="AA29" s="657">
        <f>ROUND(+$Z$10*(($L29*Z29)/Z$69),0)</f>
        <v>0</v>
      </c>
      <c r="AB29" s="1559">
        <f>IF(AA29&lt;&gt;0,ROUND((AA29/$I29)*$H29,5),ROUND((Z$10/$I$69)*$H29*Z29,5))</f>
        <v>0</v>
      </c>
      <c r="AD29" s="869"/>
    </row>
    <row r="30" spans="1:30" x14ac:dyDescent="0.25">
      <c r="A30" s="479">
        <f t="shared" si="0"/>
        <v>24</v>
      </c>
      <c r="B30" s="505"/>
      <c r="C30" s="452" t="s">
        <v>7</v>
      </c>
      <c r="D30" s="506">
        <f>+'Washington volumes'!J30</f>
        <v>481861</v>
      </c>
      <c r="E30" s="1548">
        <f>+'Rates in detail'!D30</f>
        <v>0.29029999999999978</v>
      </c>
      <c r="F30" s="1548">
        <f>+'Rates in detail'!E30+'Rates in detail'!F30+'Rates in detail'!G30</f>
        <v>0.22356000000000001</v>
      </c>
      <c r="G30" s="1548">
        <f>+Temporaries!D30</f>
        <v>-3.9579999999999997E-2</v>
      </c>
      <c r="H30" s="1548">
        <f t="shared" si="10"/>
        <v>0.10631999999999978</v>
      </c>
      <c r="I30" s="1674"/>
      <c r="J30" s="870"/>
      <c r="K30" s="506"/>
      <c r="L30" s="1674"/>
      <c r="M30" s="508"/>
      <c r="N30" s="507">
        <v>1</v>
      </c>
      <c r="O30" s="1656"/>
      <c r="P30" s="1564">
        <f>IF(O29&lt;&gt;0,ROUND((O29/$I29)*$H30,5),ROUND((N$10/$I$69)*$H30*N30,5))</f>
        <v>1.4290000000000001E-2</v>
      </c>
      <c r="Q30" s="507">
        <v>1</v>
      </c>
      <c r="R30" s="1656"/>
      <c r="S30" s="869">
        <f>IF(R29&lt;&gt;0,ROUND((R29/$I29)*$H30,5),ROUND((Q$10/$I$69)*$H30*Q30,5))</f>
        <v>1.2999999999999999E-3</v>
      </c>
      <c r="T30" s="507">
        <v>1</v>
      </c>
      <c r="U30" s="1656"/>
      <c r="V30" s="1564">
        <f>IF(U29&lt;&gt;0,ROUND((U29/$I29)*$H30,5),ROUND((T$10/$I$69)*$H30*T30,5))</f>
        <v>4.8999999999999998E-4</v>
      </c>
      <c r="W30" s="507">
        <v>1</v>
      </c>
      <c r="X30" s="1656"/>
      <c r="Y30" s="509">
        <f>IF(X29&lt;&gt;0,ROUND((X29/$I29)*$H30,5),ROUND((W$10/$I$69)*$H30*W30,5))</f>
        <v>-2.5000000000000001E-4</v>
      </c>
      <c r="Z30" s="507">
        <v>1</v>
      </c>
      <c r="AA30" s="506"/>
      <c r="AB30" s="869">
        <f>IF(AA29&lt;&gt;0,ROUND((AA29/$I29)*$H30,5),ROUND((Z$10/$I$69)*$H30*Z30,5))</f>
        <v>0</v>
      </c>
      <c r="AD30" s="869"/>
    </row>
    <row r="31" spans="1:30" x14ac:dyDescent="0.25">
      <c r="A31" s="479">
        <f t="shared" si="0"/>
        <v>25</v>
      </c>
      <c r="B31" s="505"/>
      <c r="C31" s="452" t="s">
        <v>8</v>
      </c>
      <c r="D31" s="506">
        <f>+'Washington volumes'!J31</f>
        <v>131374.9</v>
      </c>
      <c r="E31" s="1548">
        <f>+'Rates in detail'!D31</f>
        <v>0.26236999999999994</v>
      </c>
      <c r="F31" s="1548">
        <f>+'Rates in detail'!E31+'Rates in detail'!F31+'Rates in detail'!G31</f>
        <v>0.22356000000000001</v>
      </c>
      <c r="G31" s="1548">
        <f>+Temporaries!D31</f>
        <v>-4.2729999999999997E-2</v>
      </c>
      <c r="H31" s="1548">
        <f t="shared" si="10"/>
        <v>8.1539999999999918E-2</v>
      </c>
      <c r="I31" s="1674"/>
      <c r="J31" s="870"/>
      <c r="K31" s="506"/>
      <c r="L31" s="1674"/>
      <c r="M31" s="508"/>
      <c r="N31" s="507">
        <v>1</v>
      </c>
      <c r="O31" s="1656"/>
      <c r="P31" s="1564">
        <f>IF(O29&lt;&gt;0,ROUND((O29/$I29)*$H31,5),ROUND((N$10/$I$69)*$H31*N31,5))</f>
        <v>1.0959999999999999E-2</v>
      </c>
      <c r="Q31" s="507">
        <v>1</v>
      </c>
      <c r="R31" s="1656"/>
      <c r="S31" s="869">
        <f>IF(R29&lt;&gt;0,ROUND((R29/$I29)*$H31,5),ROUND((Q$10/$I$69)*$H31*Q31,5))</f>
        <v>1E-3</v>
      </c>
      <c r="T31" s="507">
        <v>1</v>
      </c>
      <c r="U31" s="1656"/>
      <c r="V31" s="1564">
        <f>IF(U29&lt;&gt;0,ROUND((U29/$I29)*$H31,5),ROUND((T$10/$I$69)*$H31*T31,5))</f>
        <v>3.6999999999999999E-4</v>
      </c>
      <c r="W31" s="507">
        <v>1</v>
      </c>
      <c r="X31" s="1656"/>
      <c r="Y31" s="509">
        <f>IF(X29&lt;&gt;0,ROUND((X29/$I29)*$H31,5),ROUND((W$10/$I$69)*$H31*W31,5))</f>
        <v>-1.9000000000000001E-4</v>
      </c>
      <c r="Z31" s="507">
        <v>1</v>
      </c>
      <c r="AA31" s="506"/>
      <c r="AB31" s="869">
        <f>IF(AA29&lt;&gt;0,ROUND((AA29/$I29)*$H31,5),ROUND((Z$10/$I$69)*$H31*Z31,5))</f>
        <v>0</v>
      </c>
      <c r="AD31" s="869"/>
    </row>
    <row r="32" spans="1:30" x14ac:dyDescent="0.25">
      <c r="A32" s="479">
        <f t="shared" si="0"/>
        <v>26</v>
      </c>
      <c r="B32" s="505"/>
      <c r="C32" s="452" t="s">
        <v>9</v>
      </c>
      <c r="D32" s="506">
        <f>+'Washington volumes'!J32</f>
        <v>20968.900000000001</v>
      </c>
      <c r="E32" s="1548">
        <f>+'Rates in detail'!D32</f>
        <v>0.2439800000000002</v>
      </c>
      <c r="F32" s="1548">
        <f>+'Rates in detail'!E32+'Rates in detail'!F32+'Rates in detail'!G32</f>
        <v>0.22356000000000001</v>
      </c>
      <c r="G32" s="1548">
        <f>+Temporaries!D32</f>
        <v>-4.4809999999999996E-2</v>
      </c>
      <c r="H32" s="1548">
        <f t="shared" si="10"/>
        <v>6.5230000000000177E-2</v>
      </c>
      <c r="I32" s="1674"/>
      <c r="J32" s="870"/>
      <c r="K32" s="506"/>
      <c r="L32" s="1674"/>
      <c r="M32" s="508"/>
      <c r="N32" s="507">
        <v>1</v>
      </c>
      <c r="O32" s="1656"/>
      <c r="P32" s="1564">
        <f>IF(O29&lt;&gt;0,ROUND((O29/$I29)*$H32,5),ROUND((N$10/$I$69)*$H32*N32,5))</f>
        <v>8.77E-3</v>
      </c>
      <c r="Q32" s="507">
        <v>1</v>
      </c>
      <c r="R32" s="1656"/>
      <c r="S32" s="869">
        <f>IF(R29&lt;&gt;0,ROUND((R29/$I29)*$H32,5),ROUND((Q$10/$I$69)*$H32*Q32,5))</f>
        <v>8.0000000000000004E-4</v>
      </c>
      <c r="T32" s="507">
        <v>1</v>
      </c>
      <c r="U32" s="1656"/>
      <c r="V32" s="1564">
        <f>IF(U29&lt;&gt;0,ROUND((U29/$I29)*$H32,5),ROUND((T$10/$I$69)*$H32*T32,5))</f>
        <v>2.9999999999999997E-4</v>
      </c>
      <c r="W32" s="507">
        <v>1</v>
      </c>
      <c r="X32" s="1656"/>
      <c r="Y32" s="509">
        <f>IF(X29&lt;&gt;0,ROUND((X29/$I29)*$H32,5),ROUND((W$10/$I$69)*$H32*W32,5))</f>
        <v>-1.4999999999999999E-4</v>
      </c>
      <c r="Z32" s="507">
        <v>1</v>
      </c>
      <c r="AA32" s="506"/>
      <c r="AB32" s="869">
        <f>IF(AA29&lt;&gt;0,ROUND((AA29/$I29)*$H32,5),ROUND((Z$10/$I$69)*$H32*Z32,5))</f>
        <v>0</v>
      </c>
      <c r="AD32" s="869"/>
    </row>
    <row r="33" spans="1:30" x14ac:dyDescent="0.25">
      <c r="A33" s="479">
        <f t="shared" si="0"/>
        <v>27</v>
      </c>
      <c r="B33" s="505"/>
      <c r="C33" s="452" t="s">
        <v>10</v>
      </c>
      <c r="D33" s="506">
        <f>+'Washington volumes'!J33</f>
        <v>0</v>
      </c>
      <c r="E33" s="1548">
        <f>+'Rates in detail'!D33</f>
        <v>0.21944999999999995</v>
      </c>
      <c r="F33" s="1548">
        <f>+'Rates in detail'!E33+'Rates in detail'!F33+'Rates in detail'!G33</f>
        <v>0.22356000000000001</v>
      </c>
      <c r="G33" s="1548">
        <f>+Temporaries!D33</f>
        <v>-4.7589999999999993E-2</v>
      </c>
      <c r="H33" s="1548">
        <f t="shared" si="10"/>
        <v>4.3479999999999935E-2</v>
      </c>
      <c r="I33" s="1674"/>
      <c r="J33" s="870"/>
      <c r="K33" s="506"/>
      <c r="L33" s="1674"/>
      <c r="M33" s="508"/>
      <c r="N33" s="507">
        <v>1</v>
      </c>
      <c r="O33" s="1656"/>
      <c r="P33" s="1564">
        <f>IF(O29&lt;&gt;0,ROUND((O29/$I29)*$H33,5),ROUND((N$10/$I$69)*$H33*N33,5))</f>
        <v>5.8399999999999997E-3</v>
      </c>
      <c r="Q33" s="507">
        <v>1</v>
      </c>
      <c r="R33" s="1656"/>
      <c r="S33" s="869">
        <f>IF(R29&lt;&gt;0,ROUND((R29/$I29)*$H33,5),ROUND((Q$10/$I$69)*$H33*Q33,5))</f>
        <v>5.2999999999999998E-4</v>
      </c>
      <c r="T33" s="507">
        <v>1</v>
      </c>
      <c r="U33" s="1656"/>
      <c r="V33" s="1564">
        <f>IF(U29&lt;&gt;0,ROUND((U29/$I29)*$H33,5),ROUND((T$10/$I$69)*$H33*T33,5))</f>
        <v>2.0000000000000001E-4</v>
      </c>
      <c r="W33" s="507">
        <v>1</v>
      </c>
      <c r="X33" s="1656"/>
      <c r="Y33" s="509">
        <f>IF(X29&lt;&gt;0,ROUND((X29/$I29)*$H33,5),ROUND((W$10/$I$69)*$H33*W33,5))</f>
        <v>-1E-4</v>
      </c>
      <c r="Z33" s="507">
        <v>1</v>
      </c>
      <c r="AA33" s="506"/>
      <c r="AB33" s="869">
        <f>IF(AA29&lt;&gt;0,ROUND((AA29/$I29)*$H33,5),ROUND((Z$10/$I$69)*$H33*Z33,5))</f>
        <v>0</v>
      </c>
      <c r="AD33" s="869"/>
    </row>
    <row r="34" spans="1:30" x14ac:dyDescent="0.25">
      <c r="A34" s="479">
        <f t="shared" si="0"/>
        <v>28</v>
      </c>
      <c r="B34" s="510"/>
      <c r="C34" s="456" t="s">
        <v>11</v>
      </c>
      <c r="D34" s="500">
        <f>+'Washington volumes'!J34</f>
        <v>0</v>
      </c>
      <c r="E34" s="1547">
        <f>+'Rates in detail'!D34</f>
        <v>0.18881000000000006</v>
      </c>
      <c r="F34" s="1547">
        <f>+'Rates in detail'!E34+'Rates in detail'!F34+'Rates in detail'!G34</f>
        <v>0.22356000000000001</v>
      </c>
      <c r="G34" s="1547">
        <f>+Temporaries!D34</f>
        <v>-5.1049999999999998E-2</v>
      </c>
      <c r="H34" s="1547">
        <f t="shared" si="10"/>
        <v>1.6300000000000051E-2</v>
      </c>
      <c r="I34" s="1672"/>
      <c r="J34" s="1051"/>
      <c r="K34" s="500"/>
      <c r="L34" s="1672"/>
      <c r="M34" s="501"/>
      <c r="N34" s="502">
        <v>1</v>
      </c>
      <c r="O34" s="1653"/>
      <c r="P34" s="1563">
        <f>IF(O29&lt;&gt;0,ROUND((O29/$I29)*$H34,5),ROUND((N$10/$I$69)*$H34*N34,5))</f>
        <v>2.1900000000000001E-3</v>
      </c>
      <c r="Q34" s="502">
        <v>1</v>
      </c>
      <c r="R34" s="1653"/>
      <c r="S34" s="1557">
        <f>IF(R29&lt;&gt;0,ROUND((R29/$I29)*$H34,5),ROUND((Q$10/$I$69)*$H34*Q34,5))</f>
        <v>2.0000000000000001E-4</v>
      </c>
      <c r="T34" s="502">
        <v>1</v>
      </c>
      <c r="U34" s="1653"/>
      <c r="V34" s="1563">
        <f>IF(U29&lt;&gt;0,ROUND((U29/$I29)*$H34,5),ROUND((T$10/$I$69)*$H34*T34,5))</f>
        <v>6.9999999999999994E-5</v>
      </c>
      <c r="W34" s="502">
        <v>1</v>
      </c>
      <c r="X34" s="1653"/>
      <c r="Y34" s="503">
        <f>IF(X29&lt;&gt;0,ROUND((X29/$I29)*$H34,5),ROUND((W$10/$I$69)*$H34*W34,5))</f>
        <v>-4.0000000000000003E-5</v>
      </c>
      <c r="Z34" s="502">
        <v>1</v>
      </c>
      <c r="AA34" s="500"/>
      <c r="AB34" s="1557">
        <f>IF(AA29&lt;&gt;0,ROUND((AA29/$I29)*$H34,5),ROUND((Z$10/$I$69)*$H34*Z34,5))</f>
        <v>0</v>
      </c>
      <c r="AD34" s="869"/>
    </row>
    <row r="35" spans="1:30" x14ac:dyDescent="0.25">
      <c r="A35" s="479">
        <f t="shared" si="0"/>
        <v>29</v>
      </c>
      <c r="B35" s="505" t="s">
        <v>164</v>
      </c>
      <c r="C35" s="452" t="s">
        <v>6</v>
      </c>
      <c r="D35" s="506">
        <f>+'Washington volumes'!J35</f>
        <v>1060773</v>
      </c>
      <c r="E35" s="1548">
        <f>+'Rates in detail'!D35</f>
        <v>0.29139999999999999</v>
      </c>
      <c r="F35" s="1548">
        <f>+'Rates in detail'!E35+'Rates in detail'!F35+'Rates in detail'!G35</f>
        <v>0.22356000000000001</v>
      </c>
      <c r="G35" s="1548">
        <f>+Temporaries!D35</f>
        <v>-5.0869999999999999E-2</v>
      </c>
      <c r="H35" s="1548">
        <f t="shared" si="10"/>
        <v>0.11870999999999998</v>
      </c>
      <c r="I35" s="1673">
        <f>ROUND((+H35*D35)+(H36*D36)+(H37*D37)+(H38*D38)+(H39*D39)+(H40*D40),0)</f>
        <v>204764</v>
      </c>
      <c r="J35" s="870">
        <f>+'Avg Bill by RS'!G41</f>
        <v>1300</v>
      </c>
      <c r="K35" s="506">
        <f>+'Washington volumes'!L35</f>
        <v>12</v>
      </c>
      <c r="L35" s="1673">
        <f>ROUND((+H35*D35)+(H36*D36)+(H37*D37)+(H38*D38)+(H39*D39)+(H40*D40)+(J35*K35*12),0)</f>
        <v>391964</v>
      </c>
      <c r="M35" s="508"/>
      <c r="N35" s="507">
        <v>0</v>
      </c>
      <c r="O35" s="1655">
        <f>ROUND(+$N$10*(($L35*N35)/N$69),0)</f>
        <v>0</v>
      </c>
      <c r="P35" s="1637">
        <f>IF(O35&lt;&gt;0,ROUND((O35/$I35)*$H35,5),ROUND((N$10/$I$69)*$H35*N35,5))</f>
        <v>0</v>
      </c>
      <c r="Q35" s="507">
        <v>1</v>
      </c>
      <c r="R35" s="1655">
        <f>ROUND(+$Q$10*(($L35*Q35)/Q$69),0)</f>
        <v>2787</v>
      </c>
      <c r="S35" s="1559">
        <f>IF(R35&lt;&gt;0,ROUND((R35/$I35)*$H35,5),ROUND((Q$10/$I$69)*$H35*Q35,5))</f>
        <v>1.6199999999999999E-3</v>
      </c>
      <c r="T35" s="507">
        <v>1</v>
      </c>
      <c r="U35" s="1655">
        <f>ROUND(+$T$10*(($L35*T35)/T$69),0)</f>
        <v>1039</v>
      </c>
      <c r="V35" s="1637">
        <f>IF(U35&lt;&gt;0,ROUND((U35/$I35)*$H35,5),ROUND((T$10/$I$69)*$H35*T35,5))</f>
        <v>5.9999999999999995E-4</v>
      </c>
      <c r="W35" s="507">
        <v>1</v>
      </c>
      <c r="X35" s="1655">
        <f>ROUND(+$W$10*(($L35*W35)/W$69),0)</f>
        <v>-527</v>
      </c>
      <c r="Y35" s="1651">
        <f>IF(X35&lt;&gt;0,ROUND((X35/$I35)*$H35,5),ROUND((W$10/$I$69)*$H35*W35,5))</f>
        <v>-3.1E-4</v>
      </c>
      <c r="Z35" s="507">
        <v>1</v>
      </c>
      <c r="AA35" s="657">
        <f>ROUND(+$Z$10*(($L35*Z35)/Z$69),0)</f>
        <v>0</v>
      </c>
      <c r="AB35" s="1559">
        <f>IF(AA35&lt;&gt;0,ROUND((AA35/$I35)*$H35,5),ROUND((Z$10/$I$69)*$H35*Z35,5))</f>
        <v>0</v>
      </c>
      <c r="AD35" s="869"/>
    </row>
    <row r="36" spans="1:30" x14ac:dyDescent="0.25">
      <c r="A36" s="479">
        <f t="shared" si="0"/>
        <v>30</v>
      </c>
      <c r="B36" s="505"/>
      <c r="C36" s="452" t="s">
        <v>7</v>
      </c>
      <c r="D36" s="506">
        <f>+'Washington volumes'!J36</f>
        <v>650234</v>
      </c>
      <c r="E36" s="1548">
        <f>+'Rates in detail'!D36</f>
        <v>0.27872000000000008</v>
      </c>
      <c r="F36" s="1548">
        <f>+'Rates in detail'!E36+'Rates in detail'!F36+'Rates in detail'!G36</f>
        <v>0.22356000000000001</v>
      </c>
      <c r="G36" s="1548">
        <f>+Temporaries!D36</f>
        <v>-5.11E-2</v>
      </c>
      <c r="H36" s="1548">
        <f t="shared" si="10"/>
        <v>0.10626000000000008</v>
      </c>
      <c r="I36" s="1674"/>
      <c r="J36" s="870"/>
      <c r="K36" s="506"/>
      <c r="L36" s="1674"/>
      <c r="M36" s="508"/>
      <c r="N36" s="507">
        <v>0</v>
      </c>
      <c r="O36" s="1656"/>
      <c r="P36" s="1564">
        <f>IF(O35&lt;&gt;0,ROUND((O35/$I35)*$H36,5),ROUND((N$10/$I$69)*$H36*N36,5))</f>
        <v>0</v>
      </c>
      <c r="Q36" s="507">
        <v>1</v>
      </c>
      <c r="R36" s="1656"/>
      <c r="S36" s="869">
        <f>IF(R35&lt;&gt;0,ROUND((R35/$I35)*$H36,5),ROUND((Q$10/$I$69)*$H36*Q36,5))</f>
        <v>1.4499999999999999E-3</v>
      </c>
      <c r="T36" s="507">
        <v>1</v>
      </c>
      <c r="U36" s="1656"/>
      <c r="V36" s="1564">
        <f>IF(U35&lt;&gt;0,ROUND((U35/$I35)*$H36,5),ROUND((T$10/$I$69)*$H36*T36,5))</f>
        <v>5.4000000000000001E-4</v>
      </c>
      <c r="W36" s="507">
        <v>1</v>
      </c>
      <c r="X36" s="1656"/>
      <c r="Y36" s="509">
        <f>IF(X35&lt;&gt;0,ROUND((X35/$I35)*$H36,5),ROUND((W$10/$I$69)*$H36*W36,5))</f>
        <v>-2.7E-4</v>
      </c>
      <c r="Z36" s="507">
        <v>1</v>
      </c>
      <c r="AA36" s="506"/>
      <c r="AB36" s="869">
        <f>IF(AA35&lt;&gt;0,ROUND((AA35/$I35)*$H36,5),ROUND((Z$10/$I$69)*$H36*Z36,5))</f>
        <v>0</v>
      </c>
      <c r="AD36" s="869"/>
    </row>
    <row r="37" spans="1:30" x14ac:dyDescent="0.25">
      <c r="A37" s="479">
        <f t="shared" si="0"/>
        <v>31</v>
      </c>
      <c r="B37" s="505"/>
      <c r="C37" s="452" t="s">
        <v>8</v>
      </c>
      <c r="D37" s="506">
        <f>+'Washington volumes'!J37</f>
        <v>112053</v>
      </c>
      <c r="E37" s="1548">
        <f>+'Rates in detail'!D37</f>
        <v>0.25346999999999992</v>
      </c>
      <c r="F37" s="1548">
        <f>+'Rates in detail'!E37+'Rates in detail'!F37+'Rates in detail'!G37</f>
        <v>0.22356000000000001</v>
      </c>
      <c r="G37" s="1548">
        <f>+Temporaries!D37</f>
        <v>-5.1579999999999994E-2</v>
      </c>
      <c r="H37" s="1548">
        <f t="shared" si="10"/>
        <v>8.1489999999999896E-2</v>
      </c>
      <c r="I37" s="1674"/>
      <c r="J37" s="870"/>
      <c r="K37" s="506"/>
      <c r="L37" s="1674"/>
      <c r="M37" s="508"/>
      <c r="N37" s="507">
        <v>0</v>
      </c>
      <c r="O37" s="1656"/>
      <c r="P37" s="1564">
        <f>IF(O35&lt;&gt;0,ROUND((O35/$I35)*$H37,5),ROUND((N$10/$I$69)*$H37*N37,5))</f>
        <v>0</v>
      </c>
      <c r="Q37" s="507">
        <v>1</v>
      </c>
      <c r="R37" s="1656"/>
      <c r="S37" s="869">
        <f>IF(R35&lt;&gt;0,ROUND((R35/$I35)*$H37,5),ROUND((Q$10/$I$69)*$H37*Q37,5))</f>
        <v>1.1100000000000001E-3</v>
      </c>
      <c r="T37" s="507">
        <v>1</v>
      </c>
      <c r="U37" s="1656"/>
      <c r="V37" s="1564">
        <f>IF(U35&lt;&gt;0,ROUND((U35/$I35)*$H37,5),ROUND((T$10/$I$69)*$H37*T37,5))</f>
        <v>4.0999999999999999E-4</v>
      </c>
      <c r="W37" s="507">
        <v>1</v>
      </c>
      <c r="X37" s="1656"/>
      <c r="Y37" s="509">
        <f>IF(X35&lt;&gt;0,ROUND((X35/$I35)*$H37,5),ROUND((W$10/$I$69)*$H37*W37,5))</f>
        <v>-2.1000000000000001E-4</v>
      </c>
      <c r="Z37" s="507">
        <v>1</v>
      </c>
      <c r="AA37" s="506"/>
      <c r="AB37" s="869">
        <f>IF(AA35&lt;&gt;0,ROUND((AA35/$I35)*$H37,5),ROUND((Z$10/$I$69)*$H37*Z37,5))</f>
        <v>0</v>
      </c>
      <c r="AD37" s="869"/>
    </row>
    <row r="38" spans="1:30" x14ac:dyDescent="0.25">
      <c r="A38" s="479">
        <f t="shared" si="0"/>
        <v>32</v>
      </c>
      <c r="B38" s="505"/>
      <c r="C38" s="452" t="s">
        <v>9</v>
      </c>
      <c r="D38" s="506">
        <f>+'Washington volumes'!J38</f>
        <v>9427</v>
      </c>
      <c r="E38" s="1548">
        <f>+'Rates in detail'!D38</f>
        <v>0.23686000000000015</v>
      </c>
      <c r="F38" s="1548">
        <f>+'Rates in detail'!E38+'Rates in detail'!F38+'Rates in detail'!G38</f>
        <v>0.22356000000000001</v>
      </c>
      <c r="G38" s="1548">
        <f>+Temporaries!D38</f>
        <v>-5.1889999999999999E-2</v>
      </c>
      <c r="H38" s="1548">
        <f t="shared" si="10"/>
        <v>6.5190000000000137E-2</v>
      </c>
      <c r="I38" s="1674"/>
      <c r="J38" s="870"/>
      <c r="K38" s="506"/>
      <c r="L38" s="1674"/>
      <c r="M38" s="508"/>
      <c r="N38" s="507">
        <v>0</v>
      </c>
      <c r="O38" s="1656"/>
      <c r="P38" s="1564">
        <f>IF(O35&lt;&gt;0,ROUND((O35/$I35)*$H38,5),ROUND((N$10/$I$69)*$H38*N38,5))</f>
        <v>0</v>
      </c>
      <c r="Q38" s="507">
        <v>1</v>
      </c>
      <c r="R38" s="1656"/>
      <c r="S38" s="869">
        <f>IF(R35&lt;&gt;0,ROUND((R35/$I35)*$H38,5),ROUND((Q$10/$I$69)*$H38*Q38,5))</f>
        <v>8.8999999999999995E-4</v>
      </c>
      <c r="T38" s="507">
        <v>1</v>
      </c>
      <c r="U38" s="1656"/>
      <c r="V38" s="1564">
        <f>IF(U35&lt;&gt;0,ROUND((U35/$I35)*$H38,5),ROUND((T$10/$I$69)*$H38*T38,5))</f>
        <v>3.3E-4</v>
      </c>
      <c r="W38" s="507">
        <v>1</v>
      </c>
      <c r="X38" s="1656"/>
      <c r="Y38" s="509">
        <f>IF(X35&lt;&gt;0,ROUND((X35/$I35)*$H38,5),ROUND((W$10/$I$69)*$H38*W38,5))</f>
        <v>-1.7000000000000001E-4</v>
      </c>
      <c r="Z38" s="507">
        <v>1</v>
      </c>
      <c r="AA38" s="506"/>
      <c r="AB38" s="869">
        <f>IF(AA35&lt;&gt;0,ROUND((AA35/$I35)*$H38,5),ROUND((Z$10/$I$69)*$H38*Z38,5))</f>
        <v>0</v>
      </c>
      <c r="AD38" s="869"/>
    </row>
    <row r="39" spans="1:30" x14ac:dyDescent="0.25">
      <c r="A39" s="479">
        <f t="shared" si="0"/>
        <v>33</v>
      </c>
      <c r="B39" s="505"/>
      <c r="C39" s="452" t="s">
        <v>10</v>
      </c>
      <c r="D39" s="506">
        <f>+'Washington volumes'!J39</f>
        <v>0</v>
      </c>
      <c r="E39" s="1548">
        <f>+'Rates in detail'!D39</f>
        <v>0.2147300000000002</v>
      </c>
      <c r="F39" s="1548">
        <f>+'Rates in detail'!E39+'Rates in detail'!F39+'Rates in detail'!G39</f>
        <v>0.22356000000000001</v>
      </c>
      <c r="G39" s="1548">
        <f>+Temporaries!D39</f>
        <v>-5.2299999999999999E-2</v>
      </c>
      <c r="H39" s="1548">
        <f t="shared" si="10"/>
        <v>4.3470000000000189E-2</v>
      </c>
      <c r="I39" s="1674"/>
      <c r="J39" s="870"/>
      <c r="K39" s="506"/>
      <c r="L39" s="1674"/>
      <c r="M39" s="508"/>
      <c r="N39" s="507">
        <v>0</v>
      </c>
      <c r="O39" s="1656"/>
      <c r="P39" s="1564">
        <f>IF(O35&lt;&gt;0,ROUND((O35/$I35)*$H39,5),ROUND((N$10/$I$69)*$H39*N39,5))</f>
        <v>0</v>
      </c>
      <c r="Q39" s="507">
        <v>1</v>
      </c>
      <c r="R39" s="1656"/>
      <c r="S39" s="869">
        <f>IF(R35&lt;&gt;0,ROUND((R35/$I35)*$H39,5),ROUND((Q$10/$I$69)*$H39*Q39,5))</f>
        <v>5.9000000000000003E-4</v>
      </c>
      <c r="T39" s="507">
        <v>1</v>
      </c>
      <c r="U39" s="1656"/>
      <c r="V39" s="1564">
        <f>IF(U35&lt;&gt;0,ROUND((U35/$I35)*$H39,5),ROUND((T$10/$I$69)*$H39*T39,5))</f>
        <v>2.2000000000000001E-4</v>
      </c>
      <c r="W39" s="507">
        <v>1</v>
      </c>
      <c r="X39" s="1656"/>
      <c r="Y39" s="509">
        <f>IF(X35&lt;&gt;0,ROUND((X35/$I35)*$H39,5),ROUND((W$10/$I$69)*$H39*W39,5))</f>
        <v>-1.1E-4</v>
      </c>
      <c r="Z39" s="507">
        <v>1</v>
      </c>
      <c r="AA39" s="506"/>
      <c r="AB39" s="869">
        <f>IF(AA35&lt;&gt;0,ROUND((AA35/$I35)*$H39,5),ROUND((Z$10/$I$69)*$H39*Z39,5))</f>
        <v>0</v>
      </c>
      <c r="AD39" s="869"/>
    </row>
    <row r="40" spans="1:30" x14ac:dyDescent="0.25">
      <c r="A40" s="479">
        <f t="shared" si="0"/>
        <v>34</v>
      </c>
      <c r="B40" s="510"/>
      <c r="C40" s="456" t="s">
        <v>11</v>
      </c>
      <c r="D40" s="500">
        <f>+'Washington volumes'!J40</f>
        <v>0</v>
      </c>
      <c r="E40" s="1547">
        <f>+'Rates in detail'!D40</f>
        <v>0.18703999999999993</v>
      </c>
      <c r="F40" s="1547">
        <f>+'Rates in detail'!E40+'Rates in detail'!F40+'Rates in detail'!G40</f>
        <v>0.22356000000000001</v>
      </c>
      <c r="G40" s="1547">
        <f>+Temporaries!D40</f>
        <v>-5.2809999999999996E-2</v>
      </c>
      <c r="H40" s="1547">
        <f t="shared" si="10"/>
        <v>1.6289999999999916E-2</v>
      </c>
      <c r="I40" s="1672"/>
      <c r="J40" s="1051"/>
      <c r="K40" s="500"/>
      <c r="L40" s="1672"/>
      <c r="M40" s="501"/>
      <c r="N40" s="502">
        <v>0</v>
      </c>
      <c r="O40" s="1653"/>
      <c r="P40" s="1563">
        <f>IF(O35&lt;&gt;0,ROUND((O35/$I35)*$H40,5),ROUND((N$10/$I$69)*$H40*N40,5))</f>
        <v>0</v>
      </c>
      <c r="Q40" s="502">
        <v>1</v>
      </c>
      <c r="R40" s="1653"/>
      <c r="S40" s="1557">
        <f>IF(R35&lt;&gt;0,ROUND((R35/$I35)*$H40,5),ROUND((Q$10/$I$69)*$H40*Q40,5))</f>
        <v>2.2000000000000001E-4</v>
      </c>
      <c r="T40" s="502">
        <v>1</v>
      </c>
      <c r="U40" s="1653"/>
      <c r="V40" s="1563">
        <f>IF(U35&lt;&gt;0,ROUND((U35/$I35)*$H40,5),ROUND((T$10/$I$69)*$H40*T40,5))</f>
        <v>8.0000000000000007E-5</v>
      </c>
      <c r="W40" s="502">
        <v>1</v>
      </c>
      <c r="X40" s="1653"/>
      <c r="Y40" s="503">
        <f>IF(X35&lt;&gt;0,ROUND((X35/$I35)*$H40,5),ROUND((W$10/$I$69)*$H40*W40,5))</f>
        <v>-4.0000000000000003E-5</v>
      </c>
      <c r="Z40" s="502">
        <v>1</v>
      </c>
      <c r="AA40" s="500"/>
      <c r="AB40" s="1557">
        <f>IF(AA35&lt;&gt;0,ROUND((AA35/$I35)*$H40,5),ROUND((Z$10/$I$69)*$H40*Z40,5))</f>
        <v>0</v>
      </c>
      <c r="AD40" s="869"/>
    </row>
    <row r="41" spans="1:30" x14ac:dyDescent="0.25">
      <c r="A41" s="479">
        <f t="shared" si="0"/>
        <v>35</v>
      </c>
      <c r="B41" s="505" t="s">
        <v>165</v>
      </c>
      <c r="C41" s="452" t="s">
        <v>6</v>
      </c>
      <c r="D41" s="506">
        <f>+'Washington volumes'!J41</f>
        <v>1336403</v>
      </c>
      <c r="E41" s="1548">
        <f>+'Rates in detail'!D41</f>
        <v>0.11795</v>
      </c>
      <c r="F41" s="1548">
        <f>+'Rates in detail'!E41+'Rates in detail'!F41+'Rates in detail'!G41</f>
        <v>0</v>
      </c>
      <c r="G41" s="1548">
        <f>+Temporaries!D41</f>
        <v>-2.3000000000000001E-4</v>
      </c>
      <c r="H41" s="1548">
        <f t="shared" si="10"/>
        <v>0.11817999999999999</v>
      </c>
      <c r="I41" s="1673">
        <f>ROUND((+H41*D41)+(H42*D42)+(H43*D43)+(H44*D44)+(H45*D45)+(H46*D46),0)</f>
        <v>630065</v>
      </c>
      <c r="J41" s="870">
        <f>+'Avg Bill by RS'!G48</f>
        <v>1550</v>
      </c>
      <c r="K41" s="506">
        <f>+'Washington volumes'!L41</f>
        <v>13</v>
      </c>
      <c r="L41" s="1673">
        <f>ROUND((+H41*D41)+(H42*D42)+(H43*D43)+(H44*D44)+(H45*D45)+(H46*D46)+(J41*K41*12),0)</f>
        <v>871865</v>
      </c>
      <c r="M41" s="508"/>
      <c r="N41" s="507">
        <v>0</v>
      </c>
      <c r="O41" s="1655">
        <f>ROUND(+$N$10*(($L41*N41)/N$69),0)</f>
        <v>0</v>
      </c>
      <c r="P41" s="1637">
        <f>IF(O41&lt;&gt;0,ROUND((O41/$I41)*$H41,5),ROUND((N$10/$I$69)*$H41*N41,5))</f>
        <v>0</v>
      </c>
      <c r="Q41" s="507">
        <v>0</v>
      </c>
      <c r="R41" s="1655">
        <f>ROUND(+$Q$10*(($L41*Q41)/Q$69),0)</f>
        <v>0</v>
      </c>
      <c r="S41" s="1559">
        <f>IF(R41&lt;&gt;0,ROUND((R41/$I41)*$H41,5),ROUND((Q$10/$I$69)*$H41*Q41,5))</f>
        <v>0</v>
      </c>
      <c r="T41" s="507">
        <v>0</v>
      </c>
      <c r="U41" s="1655">
        <f>ROUND(+$T$10*(($L41*T41)/T$69),0)</f>
        <v>0</v>
      </c>
      <c r="V41" s="1637">
        <f>IF(U41&lt;&gt;0,ROUND((U41/$I41)*$H41,5),ROUND((T$10/$I$69)*$H41*T41,5))</f>
        <v>0</v>
      </c>
      <c r="W41" s="507">
        <v>1</v>
      </c>
      <c r="X41" s="1655">
        <f>ROUND(+$W$10*(($L41*W41)/W$69),0)</f>
        <v>-1172</v>
      </c>
      <c r="Y41" s="1651">
        <f>IF(X41&lt;&gt;0,ROUND((X41/$I41)*$H41,5),ROUND((W$10/$I$69)*$H41*W41,5))</f>
        <v>-2.2000000000000001E-4</v>
      </c>
      <c r="Z41" s="507">
        <v>0</v>
      </c>
      <c r="AA41" s="657">
        <f>ROUND(+$Z$10*(($L41*Z41)/Z$69),0)</f>
        <v>0</v>
      </c>
      <c r="AB41" s="1559">
        <f>IF(AA41&lt;&gt;0,ROUND((AA41/$I41)*$H41,5),ROUND((Z$10/$I$69)*$H41*Z41,5))</f>
        <v>0</v>
      </c>
      <c r="AD41" s="869"/>
    </row>
    <row r="42" spans="1:30" x14ac:dyDescent="0.25">
      <c r="A42" s="479">
        <f t="shared" si="0"/>
        <v>36</v>
      </c>
      <c r="B42" s="505"/>
      <c r="C42" s="452" t="s">
        <v>7</v>
      </c>
      <c r="D42" s="506">
        <f>+'Washington volumes'!J42</f>
        <v>1682938</v>
      </c>
      <c r="E42" s="1548">
        <f>+'Rates in detail'!D42</f>
        <v>0.10557999999999999</v>
      </c>
      <c r="F42" s="1548">
        <f>+'Rates in detail'!E42+'Rates in detail'!F42+'Rates in detail'!G42</f>
        <v>0</v>
      </c>
      <c r="G42" s="1548">
        <f>+Temporaries!D42</f>
        <v>-2.1000000000000001E-4</v>
      </c>
      <c r="H42" s="1548">
        <f t="shared" si="10"/>
        <v>0.10579</v>
      </c>
      <c r="I42" s="1674"/>
      <c r="J42" s="870"/>
      <c r="K42" s="506"/>
      <c r="L42" s="1674"/>
      <c r="M42" s="508"/>
      <c r="N42" s="507">
        <v>0</v>
      </c>
      <c r="O42" s="1656"/>
      <c r="P42" s="1564">
        <f>IF(O41&lt;&gt;0,ROUND((O41/$I41)*$H42,5),ROUND((N$10/$I$69)*$H42*N42,5))</f>
        <v>0</v>
      </c>
      <c r="Q42" s="507">
        <v>0</v>
      </c>
      <c r="R42" s="1656"/>
      <c r="S42" s="869">
        <f>IF(R41&lt;&gt;0,ROUND((R41/$I41)*$H42,5),ROUND((Q$10/$I$69)*$H42*Q42,5))</f>
        <v>0</v>
      </c>
      <c r="T42" s="507">
        <v>0</v>
      </c>
      <c r="U42" s="1656"/>
      <c r="V42" s="1564">
        <f>IF(U41&lt;&gt;0,ROUND((U41/$I41)*$H42,5),ROUND((T$10/$I$69)*$H42*T42,5))</f>
        <v>0</v>
      </c>
      <c r="W42" s="507">
        <v>1</v>
      </c>
      <c r="X42" s="1656"/>
      <c r="Y42" s="509">
        <f>IF(X41&lt;&gt;0,ROUND((X41/$I41)*$H42,5),ROUND((W$10/$I$69)*$H42*W42,5))</f>
        <v>-2.0000000000000001E-4</v>
      </c>
      <c r="Z42" s="507">
        <v>0</v>
      </c>
      <c r="AA42" s="506"/>
      <c r="AB42" s="869">
        <f>IF(AA41&lt;&gt;0,ROUND((AA41/$I41)*$H42,5),ROUND((Z$10/$I$69)*$H42*Z42,5))</f>
        <v>0</v>
      </c>
      <c r="AD42" s="869"/>
    </row>
    <row r="43" spans="1:30" x14ac:dyDescent="0.25">
      <c r="A43" s="479">
        <f t="shared" si="0"/>
        <v>37</v>
      </c>
      <c r="B43" s="505"/>
      <c r="C43" s="452" t="s">
        <v>8</v>
      </c>
      <c r="D43" s="506">
        <f>+'Washington volumes'!J43</f>
        <v>1387648</v>
      </c>
      <c r="E43" s="1548">
        <f>+'Rates in detail'!D43</f>
        <v>8.0960000000000004E-2</v>
      </c>
      <c r="F43" s="1548">
        <f>+'Rates in detail'!E43+'Rates in detail'!F43+'Rates in detail'!G43</f>
        <v>0</v>
      </c>
      <c r="G43" s="1548">
        <f>+Temporaries!D43</f>
        <v>-1.6000000000000001E-4</v>
      </c>
      <c r="H43" s="1548">
        <f t="shared" si="10"/>
        <v>8.1119999999999998E-2</v>
      </c>
      <c r="I43" s="1674"/>
      <c r="J43" s="870"/>
      <c r="K43" s="506"/>
      <c r="L43" s="1674"/>
      <c r="M43" s="508"/>
      <c r="N43" s="507">
        <v>0</v>
      </c>
      <c r="O43" s="1656"/>
      <c r="P43" s="1564">
        <f>IF(O41&lt;&gt;0,ROUND((O41/$I41)*$H43,5),ROUND((N$10/$I$69)*$H43*N43,5))</f>
        <v>0</v>
      </c>
      <c r="Q43" s="507">
        <v>0</v>
      </c>
      <c r="R43" s="1656"/>
      <c r="S43" s="869">
        <f>IF(R41&lt;&gt;0,ROUND((R41/$I41)*$H43,5),ROUND((Q$10/$I$69)*$H43*Q43,5))</f>
        <v>0</v>
      </c>
      <c r="T43" s="507">
        <v>0</v>
      </c>
      <c r="U43" s="1656"/>
      <c r="V43" s="1564">
        <f>IF(U41&lt;&gt;0,ROUND((U41/$I41)*$H43,5),ROUND((T$10/$I$69)*$H43*T43,5))</f>
        <v>0</v>
      </c>
      <c r="W43" s="507">
        <v>1</v>
      </c>
      <c r="X43" s="1656"/>
      <c r="Y43" s="509">
        <f>IF(X41&lt;&gt;0,ROUND((X41/$I41)*$H43,5),ROUND((W$10/$I$69)*$H43*W43,5))</f>
        <v>-1.4999999999999999E-4</v>
      </c>
      <c r="Z43" s="507">
        <v>0</v>
      </c>
      <c r="AA43" s="506"/>
      <c r="AB43" s="869">
        <f>IF(AA41&lt;&gt;0,ROUND((AA41/$I41)*$H43,5),ROUND((Z$10/$I$69)*$H43*Z43,5))</f>
        <v>0</v>
      </c>
      <c r="AD43" s="869"/>
    </row>
    <row r="44" spans="1:30" x14ac:dyDescent="0.25">
      <c r="A44" s="479">
        <f t="shared" si="0"/>
        <v>38</v>
      </c>
      <c r="B44" s="505"/>
      <c r="C44" s="452" t="s">
        <v>9</v>
      </c>
      <c r="D44" s="506">
        <f>+'Washington volumes'!J44</f>
        <v>2195748</v>
      </c>
      <c r="E44" s="1548">
        <f>+'Rates in detail'!D44</f>
        <v>6.4769999999999994E-2</v>
      </c>
      <c r="F44" s="1548">
        <f>+'Rates in detail'!E44+'Rates in detail'!F44+'Rates in detail'!G44</f>
        <v>0</v>
      </c>
      <c r="G44" s="1548">
        <f>+Temporaries!D44</f>
        <v>-1.2999999999999999E-4</v>
      </c>
      <c r="H44" s="1548">
        <f t="shared" si="10"/>
        <v>6.4899999999999999E-2</v>
      </c>
      <c r="I44" s="1674"/>
      <c r="J44" s="870"/>
      <c r="K44" s="506"/>
      <c r="L44" s="1674"/>
      <c r="M44" s="508"/>
      <c r="N44" s="507">
        <v>0</v>
      </c>
      <c r="O44" s="1656"/>
      <c r="P44" s="1564">
        <f>IF(O41&lt;&gt;0,ROUND((O41/$I41)*$H44,5),ROUND((N$10/$I$69)*$H44*N44,5))</f>
        <v>0</v>
      </c>
      <c r="Q44" s="507">
        <v>0</v>
      </c>
      <c r="R44" s="1656"/>
      <c r="S44" s="869">
        <f>IF(R41&lt;&gt;0,ROUND((R41/$I41)*$H44,5),ROUND((Q$10/$I$69)*$H44*Q44,5))</f>
        <v>0</v>
      </c>
      <c r="T44" s="507">
        <v>0</v>
      </c>
      <c r="U44" s="1656"/>
      <c r="V44" s="1564">
        <f>IF(U41&lt;&gt;0,ROUND((U41/$I41)*$H44,5),ROUND((T$10/$I$69)*$H44*T44,5))</f>
        <v>0</v>
      </c>
      <c r="W44" s="507">
        <v>1</v>
      </c>
      <c r="X44" s="1656"/>
      <c r="Y44" s="509">
        <f>IF(X41&lt;&gt;0,ROUND((X41/$I41)*$H44,5),ROUND((W$10/$I$69)*$H44*W44,5))</f>
        <v>-1.2E-4</v>
      </c>
      <c r="Z44" s="507">
        <v>0</v>
      </c>
      <c r="AA44" s="506"/>
      <c r="AB44" s="869">
        <f>IF(AA41&lt;&gt;0,ROUND((AA41/$I41)*$H44,5),ROUND((Z$10/$I$69)*$H44*Z44,5))</f>
        <v>0</v>
      </c>
      <c r="AD44" s="869"/>
    </row>
    <row r="45" spans="1:30" x14ac:dyDescent="0.25">
      <c r="A45" s="479">
        <f t="shared" si="0"/>
        <v>39</v>
      </c>
      <c r="B45" s="505"/>
      <c r="C45" s="452" t="s">
        <v>10</v>
      </c>
      <c r="D45" s="506">
        <f>+'Washington volumes'!J45</f>
        <v>901810</v>
      </c>
      <c r="E45" s="1548">
        <f>+'Rates in detail'!D45</f>
        <v>4.3180000000000003E-2</v>
      </c>
      <c r="F45" s="1548">
        <f>+'Rates in detail'!E45+'Rates in detail'!F45+'Rates in detail'!G45</f>
        <v>0</v>
      </c>
      <c r="G45" s="1548">
        <f>+Temporaries!D45</f>
        <v>-9.0000000000000006E-5</v>
      </c>
      <c r="H45" s="1548">
        <f t="shared" si="10"/>
        <v>4.3270000000000003E-2</v>
      </c>
      <c r="I45" s="1674"/>
      <c r="J45" s="870"/>
      <c r="K45" s="506"/>
      <c r="L45" s="1674"/>
      <c r="M45" s="508"/>
      <c r="N45" s="507">
        <v>0</v>
      </c>
      <c r="O45" s="1656"/>
      <c r="P45" s="1564">
        <f>IF(O41&lt;&gt;0,ROUND((O41/$I41)*$H45,5),ROUND((N$10/$I$69)*$H45*N45,5))</f>
        <v>0</v>
      </c>
      <c r="Q45" s="507">
        <v>0</v>
      </c>
      <c r="R45" s="1656"/>
      <c r="S45" s="869">
        <f>IF(R41&lt;&gt;0,ROUND((R41/$I41)*$H45,5),ROUND((Q$10/$I$69)*$H45*Q45,5))</f>
        <v>0</v>
      </c>
      <c r="T45" s="507">
        <v>0</v>
      </c>
      <c r="U45" s="1656"/>
      <c r="V45" s="1564">
        <f>IF(U41&lt;&gt;0,ROUND((U41/$I41)*$H45,5),ROUND((T$10/$I$69)*$H45*T45,5))</f>
        <v>0</v>
      </c>
      <c r="W45" s="507">
        <v>1</v>
      </c>
      <c r="X45" s="1656"/>
      <c r="Y45" s="509">
        <f>IF(X41&lt;&gt;0,ROUND((X41/$I41)*$H45,5),ROUND((W$10/$I$69)*$H45*W45,5))</f>
        <v>-8.0000000000000007E-5</v>
      </c>
      <c r="Z45" s="507">
        <v>0</v>
      </c>
      <c r="AA45" s="506"/>
      <c r="AB45" s="869">
        <f>IF(AA41&lt;&gt;0,ROUND((AA41/$I41)*$H45,5),ROUND((Z$10/$I$69)*$H45*Z45,5))</f>
        <v>0</v>
      </c>
      <c r="AD45" s="869"/>
    </row>
    <row r="46" spans="1:30" x14ac:dyDescent="0.25">
      <c r="A46" s="479">
        <f t="shared" si="0"/>
        <v>40</v>
      </c>
      <c r="B46" s="510"/>
      <c r="C46" s="456" t="s">
        <v>11</v>
      </c>
      <c r="D46" s="500">
        <f>+'Washington volumes'!J46</f>
        <v>0</v>
      </c>
      <c r="E46" s="1547">
        <f>+'Rates in detail'!D46</f>
        <v>1.619E-2</v>
      </c>
      <c r="F46" s="1547">
        <f>+'Rates in detail'!E46+'Rates in detail'!F46+'Rates in detail'!G46</f>
        <v>0</v>
      </c>
      <c r="G46" s="1547">
        <f>+Temporaries!D46</f>
        <v>-3.0000000000000001E-5</v>
      </c>
      <c r="H46" s="1547">
        <f t="shared" si="10"/>
        <v>1.6219999999999998E-2</v>
      </c>
      <c r="I46" s="1672"/>
      <c r="J46" s="1051"/>
      <c r="K46" s="500"/>
      <c r="L46" s="1672"/>
      <c r="M46" s="501"/>
      <c r="N46" s="502">
        <v>0</v>
      </c>
      <c r="O46" s="1653"/>
      <c r="P46" s="1563">
        <f>IF(O41&lt;&gt;0,ROUND((O41/$I41)*$H46,5),ROUND((N$10/$I$69)*$H46*N46,5))</f>
        <v>0</v>
      </c>
      <c r="Q46" s="502">
        <v>0</v>
      </c>
      <c r="R46" s="1653"/>
      <c r="S46" s="1557">
        <f>IF(R41&lt;&gt;0,ROUND((R41/$I41)*$H46,5),ROUND((Q$10/$I$69)*$H46*Q46,5))</f>
        <v>0</v>
      </c>
      <c r="T46" s="502">
        <v>0</v>
      </c>
      <c r="U46" s="1653"/>
      <c r="V46" s="1563">
        <f>IF(U41&lt;&gt;0,ROUND((U41/$I41)*$H46,5),ROUND((T$10/$I$69)*$H46*T46,5))</f>
        <v>0</v>
      </c>
      <c r="W46" s="502">
        <v>1</v>
      </c>
      <c r="X46" s="1653"/>
      <c r="Y46" s="503">
        <f>IF(X41&lt;&gt;0,ROUND((X41/$I41)*$H46,5),ROUND((W$10/$I$69)*$H46*W46,5))</f>
        <v>-3.0000000000000001E-5</v>
      </c>
      <c r="Z46" s="502">
        <v>0</v>
      </c>
      <c r="AA46" s="500"/>
      <c r="AB46" s="1557">
        <f>IF(AA41&lt;&gt;0,ROUND((AA41/$I41)*$H46,5),ROUND((Z$10/$I$69)*$H46*Z46,5))</f>
        <v>0</v>
      </c>
      <c r="AD46" s="869"/>
    </row>
    <row r="47" spans="1:30" x14ac:dyDescent="0.25">
      <c r="A47" s="479">
        <f t="shared" si="0"/>
        <v>41</v>
      </c>
      <c r="B47" s="505" t="s">
        <v>861</v>
      </c>
      <c r="C47" s="452" t="s">
        <v>6</v>
      </c>
      <c r="D47" s="506">
        <f>+'Washington volumes'!J47</f>
        <v>237919</v>
      </c>
      <c r="E47" s="1548">
        <f>+'Rates in detail'!D47</f>
        <v>0.31897999999999999</v>
      </c>
      <c r="F47" s="1548">
        <f>+'Rates in detail'!E47+'Rates in detail'!F47+'Rates in detail'!G47</f>
        <v>0.22356000000000001</v>
      </c>
      <c r="G47" s="1548">
        <f>+Temporaries!D47</f>
        <v>-2.3139999999999997E-2</v>
      </c>
      <c r="H47" s="1548">
        <f t="shared" ref="H47:H52" si="14">+E47-F47-G47</f>
        <v>0.11855999999999997</v>
      </c>
      <c r="I47" s="1673">
        <f>ROUND((+H47*D47)+(H48*D48)+(H49*D49)+(H50*D50)+(H51*D51)+(H52*D52),0)</f>
        <v>97598</v>
      </c>
      <c r="J47" s="870">
        <f>+'Avg Bill by RS'!G55</f>
        <v>1300</v>
      </c>
      <c r="K47" s="506">
        <f>+'Washington volumes'!L47</f>
        <v>2</v>
      </c>
      <c r="L47" s="1673">
        <f>ROUND((+H47*D47)+(H48*D48)+(H49*D49)+(H50*D50)+(H51*D51)+(H52*D52)+(J47*K47*12),0)</f>
        <v>128798</v>
      </c>
      <c r="M47" s="508"/>
      <c r="N47" s="507">
        <v>1</v>
      </c>
      <c r="O47" s="1655">
        <f>ROUND(+$N$10*(($L47*N47)/N$69),0)</f>
        <v>10064</v>
      </c>
      <c r="P47" s="1637">
        <f>IF(O47&lt;&gt;0,ROUND((O47/$I47)*$H47,5),ROUND((N$10/$I$69)*$H47*N47,5))</f>
        <v>1.223E-2</v>
      </c>
      <c r="Q47" s="507">
        <v>1</v>
      </c>
      <c r="R47" s="1655">
        <f>ROUND(+$Q$10*(($L47*Q47)/Q$69),0)</f>
        <v>916</v>
      </c>
      <c r="S47" s="1559">
        <f>IF(R47&lt;&gt;0,ROUND((R47/$I47)*$H47,5),ROUND((Q$10/$I$69)*$H47*Q47,5))</f>
        <v>1.1100000000000001E-3</v>
      </c>
      <c r="T47" s="507">
        <v>1</v>
      </c>
      <c r="U47" s="1655">
        <f>ROUND(+$T$10*(($L47*T47)/T$69),0)</f>
        <v>341</v>
      </c>
      <c r="V47" s="1637">
        <f>IF(U47&lt;&gt;0,ROUND((U47/$I47)*$H47,5),ROUND((T$10/$I$69)*$H47*T47,5))</f>
        <v>4.0999999999999999E-4</v>
      </c>
      <c r="W47" s="507">
        <v>1</v>
      </c>
      <c r="X47" s="1655">
        <f>ROUND(+$W$10*(($L47*W47)/W$69),0)</f>
        <v>-173</v>
      </c>
      <c r="Y47" s="1651">
        <f>IF(X47&lt;&gt;0,ROUND((X47/$I47)*$H47,5),ROUND((W$10/$I$69)*$H47*W47,5))</f>
        <v>-2.1000000000000001E-4</v>
      </c>
      <c r="Z47" s="507">
        <v>1</v>
      </c>
      <c r="AA47" s="657">
        <f>ROUND(+$Z$10*(($L47*Z47)/Z$69),0)</f>
        <v>0</v>
      </c>
      <c r="AB47" s="1559">
        <f>IF(AA47&lt;&gt;0,ROUND((AA47/$I47)*$H47,5),ROUND((Z$10/$I$69)*$H47*Z47,5))</f>
        <v>0</v>
      </c>
      <c r="AD47" s="869"/>
    </row>
    <row r="48" spans="1:30" x14ac:dyDescent="0.25">
      <c r="A48" s="479">
        <f t="shared" si="0"/>
        <v>42</v>
      </c>
      <c r="B48" s="505"/>
      <c r="C48" s="452" t="s">
        <v>7</v>
      </c>
      <c r="D48" s="506">
        <f>+'Washington volumes'!J48</f>
        <v>464853</v>
      </c>
      <c r="E48" s="1548">
        <f>+'Rates in detail'!D48</f>
        <v>0.30522999999999989</v>
      </c>
      <c r="F48" s="1548">
        <f>+'Rates in detail'!E48+'Rates in detail'!F48+'Rates in detail'!G48</f>
        <v>0.22356000000000001</v>
      </c>
      <c r="G48" s="1548">
        <f>+Temporaries!D48</f>
        <v>-2.445E-2</v>
      </c>
      <c r="H48" s="1548">
        <f t="shared" si="14"/>
        <v>0.10611999999999988</v>
      </c>
      <c r="I48" s="1674"/>
      <c r="J48" s="870"/>
      <c r="K48" s="506"/>
      <c r="L48" s="1674"/>
      <c r="M48" s="508"/>
      <c r="N48" s="507">
        <v>1</v>
      </c>
      <c r="O48" s="1656"/>
      <c r="P48" s="1564">
        <f>IF(O47&lt;&gt;0,ROUND((O47/$I47)*$H48,5),ROUND((N$10/$I$69)*$H48*N48,5))</f>
        <v>1.094E-2</v>
      </c>
      <c r="Q48" s="507">
        <v>1</v>
      </c>
      <c r="R48" s="1656"/>
      <c r="S48" s="869">
        <f>IF(R47&lt;&gt;0,ROUND((R47/$I47)*$H48,5),ROUND((Q$10/$I$69)*$H48*Q48,5))</f>
        <v>1E-3</v>
      </c>
      <c r="T48" s="507">
        <v>1</v>
      </c>
      <c r="U48" s="1656"/>
      <c r="V48" s="1564">
        <f>IF(U47&lt;&gt;0,ROUND((U47/$I47)*$H48,5),ROUND((T$10/$I$69)*$H48*T48,5))</f>
        <v>3.6999999999999999E-4</v>
      </c>
      <c r="W48" s="507">
        <v>1</v>
      </c>
      <c r="X48" s="1656"/>
      <c r="Y48" s="509">
        <f>IF(X47&lt;&gt;0,ROUND((X47/$I47)*$H48,5),ROUND((W$10/$I$69)*$H48*W48,5))</f>
        <v>-1.9000000000000001E-4</v>
      </c>
      <c r="Z48" s="507">
        <v>1</v>
      </c>
      <c r="AA48" s="506"/>
      <c r="AB48" s="869">
        <f>IF(AA47&lt;&gt;0,ROUND((AA47/$I47)*$H48,5),ROUND((Z$10/$I$69)*$H48*Z48,5))</f>
        <v>0</v>
      </c>
      <c r="AD48" s="869"/>
    </row>
    <row r="49" spans="1:30" x14ac:dyDescent="0.25">
      <c r="A49" s="479">
        <f t="shared" si="0"/>
        <v>43</v>
      </c>
      <c r="B49" s="505"/>
      <c r="C49" s="452" t="s">
        <v>8</v>
      </c>
      <c r="D49" s="506">
        <f>+'Washington volumes'!J49</f>
        <v>214908</v>
      </c>
      <c r="E49" s="1548">
        <f>+'Rates in detail'!D49</f>
        <v>0.27787000000000012</v>
      </c>
      <c r="F49" s="1548">
        <f>+'Rates in detail'!E49+'Rates in detail'!F49+'Rates in detail'!G49</f>
        <v>0.22356000000000001</v>
      </c>
      <c r="G49" s="1548">
        <f>+Temporaries!D49</f>
        <v>-2.7069999999999997E-2</v>
      </c>
      <c r="H49" s="1548">
        <f t="shared" si="14"/>
        <v>8.1380000000000105E-2</v>
      </c>
      <c r="I49" s="1674"/>
      <c r="J49" s="870"/>
      <c r="K49" s="506"/>
      <c r="L49" s="1674"/>
      <c r="M49" s="508"/>
      <c r="N49" s="507">
        <v>1</v>
      </c>
      <c r="O49" s="1656"/>
      <c r="P49" s="1564">
        <f>IF(O47&lt;&gt;0,ROUND((O47/$I47)*$H49,5),ROUND((N$10/$I$69)*$H49*N49,5))</f>
        <v>8.3899999999999999E-3</v>
      </c>
      <c r="Q49" s="507">
        <v>1</v>
      </c>
      <c r="R49" s="1656"/>
      <c r="S49" s="869">
        <f>IF(R47&lt;&gt;0,ROUND((R47/$I47)*$H49,5),ROUND((Q$10/$I$69)*$H49*Q49,5))</f>
        <v>7.6000000000000004E-4</v>
      </c>
      <c r="T49" s="507">
        <v>1</v>
      </c>
      <c r="U49" s="1656"/>
      <c r="V49" s="1564">
        <f>IF(U47&lt;&gt;0,ROUND((U47/$I47)*$H49,5),ROUND((T$10/$I$69)*$H49*T49,5))</f>
        <v>2.7999999999999998E-4</v>
      </c>
      <c r="W49" s="507">
        <v>1</v>
      </c>
      <c r="X49" s="1656"/>
      <c r="Y49" s="509">
        <f>IF(X47&lt;&gt;0,ROUND((X47/$I47)*$H49,5),ROUND((W$10/$I$69)*$H49*W49,5))</f>
        <v>-1.3999999999999999E-4</v>
      </c>
      <c r="Z49" s="507">
        <v>1</v>
      </c>
      <c r="AA49" s="506"/>
      <c r="AB49" s="869">
        <f>IF(AA47&lt;&gt;0,ROUND((AA47/$I47)*$H49,5),ROUND((Z$10/$I$69)*$H49*Z49,5))</f>
        <v>0</v>
      </c>
      <c r="AD49" s="869"/>
    </row>
    <row r="50" spans="1:30" x14ac:dyDescent="0.25">
      <c r="A50" s="479">
        <f t="shared" si="0"/>
        <v>44</v>
      </c>
      <c r="B50" s="505"/>
      <c r="C50" s="452" t="s">
        <v>9</v>
      </c>
      <c r="D50" s="506">
        <f>+'Washington volumes'!J50</f>
        <v>39494</v>
      </c>
      <c r="E50" s="1548">
        <f>+'Rates in detail'!D50</f>
        <v>0.25987999999999994</v>
      </c>
      <c r="F50" s="1548">
        <f>+'Rates in detail'!E50+'Rates in detail'!F50+'Rates in detail'!G50</f>
        <v>0.22356000000000001</v>
      </c>
      <c r="G50" s="1548">
        <f>+Temporaries!D50</f>
        <v>-2.8779999999999997E-2</v>
      </c>
      <c r="H50" s="1548">
        <f t="shared" si="14"/>
        <v>6.5099999999999936E-2</v>
      </c>
      <c r="I50" s="1674"/>
      <c r="J50" s="870"/>
      <c r="K50" s="506"/>
      <c r="L50" s="1674"/>
      <c r="M50" s="508"/>
      <c r="N50" s="507">
        <v>1</v>
      </c>
      <c r="O50" s="1656"/>
      <c r="P50" s="1564">
        <f>IF(O47&lt;&gt;0,ROUND((O47/$I47)*$H50,5),ROUND((N$10/$I$69)*$H50*N50,5))</f>
        <v>6.7099999999999998E-3</v>
      </c>
      <c r="Q50" s="507">
        <v>1</v>
      </c>
      <c r="R50" s="1656"/>
      <c r="S50" s="869">
        <f>IF(R47&lt;&gt;0,ROUND((R47/$I47)*$H50,5),ROUND((Q$10/$I$69)*$H50*Q50,5))</f>
        <v>6.0999999999999997E-4</v>
      </c>
      <c r="T50" s="507">
        <v>1</v>
      </c>
      <c r="U50" s="1656"/>
      <c r="V50" s="1564">
        <f>IF(U47&lt;&gt;0,ROUND((U47/$I47)*$H50,5),ROUND((T$10/$I$69)*$H50*T50,5))</f>
        <v>2.3000000000000001E-4</v>
      </c>
      <c r="W50" s="507">
        <v>1</v>
      </c>
      <c r="X50" s="1656"/>
      <c r="Y50" s="509">
        <f>IF(X47&lt;&gt;0,ROUND((X47/$I47)*$H50,5),ROUND((W$10/$I$69)*$H50*W50,5))</f>
        <v>-1.2E-4</v>
      </c>
      <c r="Z50" s="507">
        <v>1</v>
      </c>
      <c r="AA50" s="506"/>
      <c r="AB50" s="869">
        <f>IF(AA47&lt;&gt;0,ROUND((AA47/$I47)*$H50,5),ROUND((Z$10/$I$69)*$H50*Z50,5))</f>
        <v>0</v>
      </c>
      <c r="AD50" s="869"/>
    </row>
    <row r="51" spans="1:30" x14ac:dyDescent="0.25">
      <c r="A51" s="479">
        <f t="shared" si="0"/>
        <v>45</v>
      </c>
      <c r="B51" s="505"/>
      <c r="C51" s="452" t="s">
        <v>10</v>
      </c>
      <c r="D51" s="506">
        <f>+'Washington volumes'!J51</f>
        <v>0</v>
      </c>
      <c r="E51" s="1548">
        <f>+'Rates in detail'!D51</f>
        <v>0.23588000000000003</v>
      </c>
      <c r="F51" s="1548">
        <f>+'Rates in detail'!E51+'Rates in detail'!F51+'Rates in detail'!G51</f>
        <v>0.22356000000000001</v>
      </c>
      <c r="G51" s="1548">
        <f>+Temporaries!D51</f>
        <v>-3.1079999999999997E-2</v>
      </c>
      <c r="H51" s="1548">
        <f t="shared" si="14"/>
        <v>4.3400000000000022E-2</v>
      </c>
      <c r="I51" s="1674"/>
      <c r="J51" s="870"/>
      <c r="K51" s="506"/>
      <c r="L51" s="1674"/>
      <c r="M51" s="508"/>
      <c r="N51" s="507">
        <v>1</v>
      </c>
      <c r="O51" s="1656"/>
      <c r="P51" s="1564">
        <f>IF(O47&lt;&gt;0,ROUND((O47/$I47)*$H51,5),ROUND((N$10/$I$69)*$H51*N51,5))</f>
        <v>4.4799999999999996E-3</v>
      </c>
      <c r="Q51" s="507">
        <v>1</v>
      </c>
      <c r="R51" s="1656"/>
      <c r="S51" s="869">
        <f>IF(R47&lt;&gt;0,ROUND((R47/$I47)*$H51,5),ROUND((Q$10/$I$69)*$H51*Q51,5))</f>
        <v>4.0999999999999999E-4</v>
      </c>
      <c r="T51" s="507">
        <v>1</v>
      </c>
      <c r="U51" s="1656"/>
      <c r="V51" s="1564">
        <f>IF(U47&lt;&gt;0,ROUND((U47/$I47)*$H51,5),ROUND((T$10/$I$69)*$H51*T51,5))</f>
        <v>1.4999999999999999E-4</v>
      </c>
      <c r="W51" s="507">
        <v>1</v>
      </c>
      <c r="X51" s="1656"/>
      <c r="Y51" s="509">
        <f>IF(X47&lt;&gt;0,ROUND((X47/$I47)*$H51,5),ROUND((W$10/$I$69)*$H51*W51,5))</f>
        <v>-8.0000000000000007E-5</v>
      </c>
      <c r="Z51" s="507">
        <v>1</v>
      </c>
      <c r="AA51" s="506"/>
      <c r="AB51" s="869">
        <f>IF(AA47&lt;&gt;0,ROUND((AA47/$I47)*$H51,5),ROUND((Z$10/$I$69)*$H51*Z51,5))</f>
        <v>0</v>
      </c>
      <c r="AD51" s="869"/>
    </row>
    <row r="52" spans="1:30" x14ac:dyDescent="0.25">
      <c r="A52" s="479">
        <f t="shared" si="0"/>
        <v>46</v>
      </c>
      <c r="B52" s="510"/>
      <c r="C52" s="456" t="s">
        <v>11</v>
      </c>
      <c r="D52" s="500">
        <f>+'Washington volumes'!J52</f>
        <v>0</v>
      </c>
      <c r="E52" s="1547">
        <f>+'Rates in detail'!D52</f>
        <v>0.20589999999999992</v>
      </c>
      <c r="F52" s="1547">
        <f>+'Rates in detail'!E52+'Rates in detail'!F52+'Rates in detail'!G52</f>
        <v>0.22356000000000001</v>
      </c>
      <c r="G52" s="1547">
        <f>+Temporaries!D52</f>
        <v>-3.3939999999999998E-2</v>
      </c>
      <c r="H52" s="1547">
        <f t="shared" si="14"/>
        <v>1.6279999999999906E-2</v>
      </c>
      <c r="I52" s="1672"/>
      <c r="J52" s="1051"/>
      <c r="K52" s="500"/>
      <c r="L52" s="1672"/>
      <c r="M52" s="501"/>
      <c r="N52" s="502">
        <v>1</v>
      </c>
      <c r="O52" s="1653"/>
      <c r="P52" s="1563">
        <f>IF(O47&lt;&gt;0,ROUND((O47/$I47)*$H52,5),ROUND((N$10/$I$69)*$H52*N52,5))</f>
        <v>1.6800000000000001E-3</v>
      </c>
      <c r="Q52" s="502">
        <v>1</v>
      </c>
      <c r="R52" s="1653"/>
      <c r="S52" s="1557">
        <f>IF(R47&lt;&gt;0,ROUND((R47/$I47)*$H52,5),ROUND((Q$10/$I$69)*$H52*Q52,5))</f>
        <v>1.4999999999999999E-4</v>
      </c>
      <c r="T52" s="502">
        <v>1</v>
      </c>
      <c r="U52" s="1653"/>
      <c r="V52" s="1563">
        <f>IF(U47&lt;&gt;0,ROUND((U47/$I47)*$H52,5),ROUND((T$10/$I$69)*$H52*T52,5))</f>
        <v>6.0000000000000002E-5</v>
      </c>
      <c r="W52" s="502">
        <v>1</v>
      </c>
      <c r="X52" s="1653"/>
      <c r="Y52" s="503">
        <f>IF(X47&lt;&gt;0,ROUND((X47/$I47)*$H52,5),ROUND((W$10/$I$69)*$H52*W52,5))</f>
        <v>-3.0000000000000001E-5</v>
      </c>
      <c r="Z52" s="502">
        <v>1</v>
      </c>
      <c r="AA52" s="500"/>
      <c r="AB52" s="1557">
        <f>IF(AA47&lt;&gt;0,ROUND((AA47/$I47)*$H52,5),ROUND((Z$10/$I$69)*$H52*Z52,5))</f>
        <v>0</v>
      </c>
      <c r="AD52" s="869"/>
    </row>
    <row r="53" spans="1:30" x14ac:dyDescent="0.25">
      <c r="A53" s="479">
        <f t="shared" si="0"/>
        <v>47</v>
      </c>
      <c r="B53" s="505" t="s">
        <v>862</v>
      </c>
      <c r="C53" s="452" t="s">
        <v>6</v>
      </c>
      <c r="D53" s="506">
        <f>+'Washington volumes'!J53</f>
        <v>159428</v>
      </c>
      <c r="E53" s="1548">
        <f>+'Rates in detail'!D53</f>
        <v>0.30886999999999998</v>
      </c>
      <c r="F53" s="1548">
        <f>+'Rates in detail'!E53+'Rates in detail'!F53+'Rates in detail'!G53</f>
        <v>0.22356000000000001</v>
      </c>
      <c r="G53" s="1548">
        <f>+Temporaries!D53</f>
        <v>-3.3389999999999996E-2</v>
      </c>
      <c r="H53" s="1548">
        <f t="shared" si="10"/>
        <v>0.11869999999999997</v>
      </c>
      <c r="I53" s="1673">
        <f>ROUND((+H53*D53)+(H54*D54)+(H55*D55)+(H56*D56)+(H57*D57)+(H58*D58),0)</f>
        <v>34979</v>
      </c>
      <c r="J53" s="870">
        <f>+'Avg Bill by RS'!G62</f>
        <v>1300</v>
      </c>
      <c r="K53" s="506">
        <f>+'Washington volumes'!L53</f>
        <v>3</v>
      </c>
      <c r="L53" s="1673">
        <f>ROUND((+H53*D53)+(H54*D54)+(H55*D55)+(H56*D56)+(H57*D57)+(H58*D58)+(J53*K53*12),0)</f>
        <v>81779</v>
      </c>
      <c r="M53" s="508"/>
      <c r="N53" s="507">
        <v>0</v>
      </c>
      <c r="O53" s="1655">
        <f>ROUND(+$N$10*(($L53*N53)/N$69),0)</f>
        <v>0</v>
      </c>
      <c r="P53" s="1637">
        <f>IF(O53&lt;&gt;0,ROUND((O53/$I53)*$H53,5),ROUND((N$10/$I$69)*$H53*N53,5))</f>
        <v>0</v>
      </c>
      <c r="Q53" s="507">
        <v>1</v>
      </c>
      <c r="R53" s="1655">
        <f>ROUND(+$Q$10*(($L53*Q53)/Q$69),0)</f>
        <v>582</v>
      </c>
      <c r="S53" s="1559">
        <f>IF(R53&lt;&gt;0,ROUND((R53/$I53)*$H53,5),ROUND((Q$10/$I$69)*$H53*Q53,5))</f>
        <v>1.97E-3</v>
      </c>
      <c r="T53" s="507">
        <v>1</v>
      </c>
      <c r="U53" s="1655">
        <f>ROUND(+$T$10*(($L53*T53)/T$69),0)</f>
        <v>217</v>
      </c>
      <c r="V53" s="1637">
        <f>IF(U53&lt;&gt;0,ROUND((U53/$I53)*$H53,5),ROUND((T$10/$I$69)*$H53*T53,5))</f>
        <v>7.3999999999999999E-4</v>
      </c>
      <c r="W53" s="507">
        <v>1</v>
      </c>
      <c r="X53" s="1655">
        <f>ROUND(+$W$10*(($L53*W53)/W$69),0)</f>
        <v>-110</v>
      </c>
      <c r="Y53" s="1651">
        <f>IF(X53&lt;&gt;0,ROUND((X53/$I53)*$H53,5),ROUND((W$10/$I$69)*$H53*W53,5))</f>
        <v>-3.6999999999999999E-4</v>
      </c>
      <c r="Z53" s="507">
        <v>1</v>
      </c>
      <c r="AA53" s="657">
        <f>ROUND(+$Z$10*(($L53*Z53)/Z$69),0)</f>
        <v>0</v>
      </c>
      <c r="AB53" s="1559">
        <f>IF(AA53&lt;&gt;0,ROUND((AA53/$I53)*$H53,5),ROUND((Z$10/$I$69)*$H53*Z53,5))</f>
        <v>0</v>
      </c>
      <c r="AD53" s="869"/>
    </row>
    <row r="54" spans="1:30" x14ac:dyDescent="0.25">
      <c r="A54" s="479">
        <f t="shared" si="0"/>
        <v>48</v>
      </c>
      <c r="B54" s="505"/>
      <c r="C54" s="452" t="s">
        <v>7</v>
      </c>
      <c r="D54" s="506">
        <f>+'Washington volumes'!J54</f>
        <v>151104</v>
      </c>
      <c r="E54" s="1548">
        <f>+'Rates in detail'!D54</f>
        <v>0.29617999999999989</v>
      </c>
      <c r="F54" s="1548">
        <f>+'Rates in detail'!E54+'Rates in detail'!F54+'Rates in detail'!G54</f>
        <v>0.22356000000000001</v>
      </c>
      <c r="G54" s="1548">
        <f>+Temporaries!D54</f>
        <v>-3.363E-2</v>
      </c>
      <c r="H54" s="1548">
        <f t="shared" si="10"/>
        <v>0.10624999999999987</v>
      </c>
      <c r="I54" s="1674"/>
      <c r="J54" s="870"/>
      <c r="K54" s="506"/>
      <c r="L54" s="1674"/>
      <c r="M54" s="508"/>
      <c r="N54" s="507">
        <v>0</v>
      </c>
      <c r="O54" s="1656"/>
      <c r="P54" s="1564">
        <f>IF(O53&lt;&gt;0,ROUND((O53/$I53)*$H54,5),ROUND((N$10/$I$69)*$H54*N54,5))</f>
        <v>0</v>
      </c>
      <c r="Q54" s="507">
        <v>1</v>
      </c>
      <c r="R54" s="1656"/>
      <c r="S54" s="869">
        <f>IF(R53&lt;&gt;0,ROUND((R53/$I53)*$H54,5),ROUND((Q$10/$I$69)*$H54*Q54,5))</f>
        <v>1.7700000000000001E-3</v>
      </c>
      <c r="T54" s="507">
        <v>1</v>
      </c>
      <c r="U54" s="1656"/>
      <c r="V54" s="1564">
        <f>IF(U53&lt;&gt;0,ROUND((U53/$I53)*$H54,5),ROUND((T$10/$I$69)*$H54*T54,5))</f>
        <v>6.6E-4</v>
      </c>
      <c r="W54" s="507">
        <v>1</v>
      </c>
      <c r="X54" s="1656"/>
      <c r="Y54" s="509">
        <f>IF(X53&lt;&gt;0,ROUND((X53/$I53)*$H54,5),ROUND((W$10/$I$69)*$H54*W54,5))</f>
        <v>-3.3E-4</v>
      </c>
      <c r="Z54" s="507">
        <v>1</v>
      </c>
      <c r="AA54" s="506"/>
      <c r="AB54" s="869">
        <f>IF(AA53&lt;&gt;0,ROUND((AA53/$I53)*$H54,5),ROUND((Z$10/$I$69)*$H54*Z54,5))</f>
        <v>0</v>
      </c>
      <c r="AD54" s="869"/>
    </row>
    <row r="55" spans="1:30" x14ac:dyDescent="0.25">
      <c r="A55" s="479">
        <f t="shared" si="0"/>
        <v>49</v>
      </c>
      <c r="B55" s="505"/>
      <c r="C55" s="452" t="s">
        <v>8</v>
      </c>
      <c r="D55" s="506">
        <f>+'Washington volumes'!J55</f>
        <v>0</v>
      </c>
      <c r="E55" s="1548">
        <f>+'Rates in detail'!D55</f>
        <v>0.27094000000000013</v>
      </c>
      <c r="F55" s="1548">
        <f>+'Rates in detail'!E55+'Rates in detail'!F55+'Rates in detail'!G55</f>
        <v>0.22356000000000001</v>
      </c>
      <c r="G55" s="1548">
        <f>+Temporaries!D55</f>
        <v>-3.4099999999999998E-2</v>
      </c>
      <c r="H55" s="1548">
        <f t="shared" si="10"/>
        <v>8.1480000000000108E-2</v>
      </c>
      <c r="I55" s="1674"/>
      <c r="J55" s="870"/>
      <c r="K55" s="506"/>
      <c r="L55" s="1674"/>
      <c r="M55" s="508"/>
      <c r="N55" s="507">
        <v>0</v>
      </c>
      <c r="O55" s="1656"/>
      <c r="P55" s="1564">
        <f>IF(O53&lt;&gt;0,ROUND((O53/$I53)*$H55,5),ROUND((N$10/$I$69)*$H55*N55,5))</f>
        <v>0</v>
      </c>
      <c r="Q55" s="507">
        <v>1</v>
      </c>
      <c r="R55" s="1656"/>
      <c r="S55" s="869">
        <f>IF(R53&lt;&gt;0,ROUND((R53/$I53)*$H55,5),ROUND((Q$10/$I$69)*$H55*Q55,5))</f>
        <v>1.3600000000000001E-3</v>
      </c>
      <c r="T55" s="507">
        <v>1</v>
      </c>
      <c r="U55" s="1656"/>
      <c r="V55" s="1564">
        <f>IF(U53&lt;&gt;0,ROUND((U53/$I53)*$H55,5),ROUND((T$10/$I$69)*$H55*T55,5))</f>
        <v>5.1000000000000004E-4</v>
      </c>
      <c r="W55" s="507">
        <v>1</v>
      </c>
      <c r="X55" s="1656"/>
      <c r="Y55" s="509">
        <f>IF(X53&lt;&gt;0,ROUND((X53/$I53)*$H55,5),ROUND((W$10/$I$69)*$H55*W55,5))</f>
        <v>-2.5999999999999998E-4</v>
      </c>
      <c r="Z55" s="507">
        <v>1</v>
      </c>
      <c r="AA55" s="506"/>
      <c r="AB55" s="869">
        <f>IF(AA53&lt;&gt;0,ROUND((AA53/$I53)*$H55,5),ROUND((Z$10/$I$69)*$H55*Z55,5))</f>
        <v>0</v>
      </c>
      <c r="AD55" s="869"/>
    </row>
    <row r="56" spans="1:30" x14ac:dyDescent="0.25">
      <c r="A56" s="479">
        <f t="shared" si="0"/>
        <v>50</v>
      </c>
      <c r="B56" s="505"/>
      <c r="C56" s="452" t="s">
        <v>9</v>
      </c>
      <c r="D56" s="506">
        <f>+'Washington volumes'!J56</f>
        <v>0</v>
      </c>
      <c r="E56" s="1548">
        <f>+'Rates in detail'!D56</f>
        <v>0.25432999999999983</v>
      </c>
      <c r="F56" s="1548">
        <f>+'Rates in detail'!E56+'Rates in detail'!F56+'Rates in detail'!G56</f>
        <v>0.22356000000000001</v>
      </c>
      <c r="G56" s="1548">
        <f>+Temporaries!D56</f>
        <v>-3.4409999999999996E-2</v>
      </c>
      <c r="H56" s="1548">
        <f t="shared" si="10"/>
        <v>6.5179999999999821E-2</v>
      </c>
      <c r="I56" s="1674"/>
      <c r="J56" s="870"/>
      <c r="K56" s="506"/>
      <c r="L56" s="1674"/>
      <c r="M56" s="508"/>
      <c r="N56" s="507">
        <v>0</v>
      </c>
      <c r="O56" s="1656"/>
      <c r="P56" s="1564">
        <f>IF(O53&lt;&gt;0,ROUND((O53/$I53)*$H56,5),ROUND((N$10/$I$69)*$H56*N56,5))</f>
        <v>0</v>
      </c>
      <c r="Q56" s="507">
        <v>1</v>
      </c>
      <c r="R56" s="1656"/>
      <c r="S56" s="869">
        <f>IF(R53&lt;&gt;0,ROUND((R53/$I53)*$H56,5),ROUND((Q$10/$I$69)*$H56*Q56,5))</f>
        <v>1.08E-3</v>
      </c>
      <c r="T56" s="507">
        <v>1</v>
      </c>
      <c r="U56" s="1656"/>
      <c r="V56" s="1564">
        <f>IF(U53&lt;&gt;0,ROUND((U53/$I53)*$H56,5),ROUND((T$10/$I$69)*$H56*T56,5))</f>
        <v>4.0000000000000002E-4</v>
      </c>
      <c r="W56" s="507">
        <v>1</v>
      </c>
      <c r="X56" s="1656"/>
      <c r="Y56" s="509">
        <f>IF(X53&lt;&gt;0,ROUND((X53/$I53)*$H56,5),ROUND((W$10/$I$69)*$H56*W56,5))</f>
        <v>-2.0000000000000001E-4</v>
      </c>
      <c r="Z56" s="507">
        <v>1</v>
      </c>
      <c r="AA56" s="506"/>
      <c r="AB56" s="869">
        <f>IF(AA53&lt;&gt;0,ROUND((AA53/$I53)*$H56,5),ROUND((Z$10/$I$69)*$H56*Z56,5))</f>
        <v>0</v>
      </c>
      <c r="AD56" s="869"/>
    </row>
    <row r="57" spans="1:30" x14ac:dyDescent="0.25">
      <c r="A57" s="479">
        <f t="shared" si="0"/>
        <v>51</v>
      </c>
      <c r="B57" s="505"/>
      <c r="C57" s="452" t="s">
        <v>10</v>
      </c>
      <c r="D57" s="506">
        <f>+'Washington volumes'!J57</f>
        <v>0</v>
      </c>
      <c r="E57" s="1548">
        <f>+'Rates in detail'!D57</f>
        <v>0.23218000000000003</v>
      </c>
      <c r="F57" s="1548">
        <f>+'Rates in detail'!E57+'Rates in detail'!F57+'Rates in detail'!G57</f>
        <v>0.22356000000000001</v>
      </c>
      <c r="G57" s="1548">
        <f>+Temporaries!D57</f>
        <v>-3.483E-2</v>
      </c>
      <c r="H57" s="1548">
        <f t="shared" si="10"/>
        <v>4.3450000000000016E-2</v>
      </c>
      <c r="I57" s="1674"/>
      <c r="J57" s="870"/>
      <c r="K57" s="506"/>
      <c r="L57" s="1674"/>
      <c r="M57" s="508"/>
      <c r="N57" s="507">
        <v>0</v>
      </c>
      <c r="O57" s="1656"/>
      <c r="P57" s="1564">
        <f>IF(O53&lt;&gt;0,ROUND((O53/$I53)*$H57,5),ROUND((N$10/$I$69)*$H57*N57,5))</f>
        <v>0</v>
      </c>
      <c r="Q57" s="507">
        <v>1</v>
      </c>
      <c r="R57" s="1656"/>
      <c r="S57" s="869">
        <f>IF(R53&lt;&gt;0,ROUND((R53/$I53)*$H57,5),ROUND((Q$10/$I$69)*$H57*Q57,5))</f>
        <v>7.2000000000000005E-4</v>
      </c>
      <c r="T57" s="507">
        <v>1</v>
      </c>
      <c r="U57" s="1656"/>
      <c r="V57" s="1564">
        <f>IF(U53&lt;&gt;0,ROUND((U53/$I53)*$H57,5),ROUND((T$10/$I$69)*$H57*T57,5))</f>
        <v>2.7E-4</v>
      </c>
      <c r="W57" s="507">
        <v>1</v>
      </c>
      <c r="X57" s="1656"/>
      <c r="Y57" s="509">
        <f>IF(X53&lt;&gt;0,ROUND((X53/$I53)*$H57,5),ROUND((W$10/$I$69)*$H57*W57,5))</f>
        <v>-1.3999999999999999E-4</v>
      </c>
      <c r="Z57" s="507">
        <v>1</v>
      </c>
      <c r="AA57" s="506"/>
      <c r="AB57" s="869">
        <f>IF(AA53&lt;&gt;0,ROUND((AA53/$I53)*$H57,5),ROUND((Z$10/$I$69)*$H57*Z57,5))</f>
        <v>0</v>
      </c>
      <c r="AD57" s="869"/>
    </row>
    <row r="58" spans="1:30" x14ac:dyDescent="0.25">
      <c r="A58" s="479">
        <f t="shared" si="0"/>
        <v>52</v>
      </c>
      <c r="B58" s="510"/>
      <c r="C58" s="456" t="s">
        <v>11</v>
      </c>
      <c r="D58" s="500">
        <f>+'Washington volumes'!J58</f>
        <v>0</v>
      </c>
      <c r="E58" s="1547">
        <f>+'Rates in detail'!D58</f>
        <v>0.20451999999999992</v>
      </c>
      <c r="F58" s="1547">
        <f>+'Rates in detail'!E58+'Rates in detail'!F58+'Rates in detail'!G58</f>
        <v>0.22356000000000001</v>
      </c>
      <c r="G58" s="1547">
        <f>+Temporaries!D58</f>
        <v>-3.5339999999999996E-2</v>
      </c>
      <c r="H58" s="1547">
        <f t="shared" si="10"/>
        <v>1.6299999999999912E-2</v>
      </c>
      <c r="I58" s="1672"/>
      <c r="J58" s="1051"/>
      <c r="K58" s="500"/>
      <c r="L58" s="1672"/>
      <c r="M58" s="501"/>
      <c r="N58" s="502">
        <v>0</v>
      </c>
      <c r="O58" s="1653"/>
      <c r="P58" s="1563">
        <f>IF(O53&lt;&gt;0,ROUND((O53/$I53)*$H58,5),ROUND((N$10/$I$69)*$H58*N58,5))</f>
        <v>0</v>
      </c>
      <c r="Q58" s="502">
        <v>1</v>
      </c>
      <c r="R58" s="1653"/>
      <c r="S58" s="1557">
        <f>IF(R53&lt;&gt;0,ROUND((R53/$I53)*$H58,5),ROUND((Q$10/$I$69)*$H58*Q58,5))</f>
        <v>2.7E-4</v>
      </c>
      <c r="T58" s="502">
        <v>1</v>
      </c>
      <c r="U58" s="1653"/>
      <c r="V58" s="1563">
        <f>IF(U53&lt;&gt;0,ROUND((U53/$I53)*$H58,5),ROUND((T$10/$I$69)*$H58*T58,5))</f>
        <v>1E-4</v>
      </c>
      <c r="W58" s="502">
        <v>1</v>
      </c>
      <c r="X58" s="1653"/>
      <c r="Y58" s="503">
        <f>IF(X53&lt;&gt;0,ROUND((X53/$I53)*$H58,5),ROUND((W$10/$I$69)*$H58*W58,5))</f>
        <v>-5.0000000000000002E-5</v>
      </c>
      <c r="Z58" s="502">
        <v>1</v>
      </c>
      <c r="AA58" s="500"/>
      <c r="AB58" s="1557">
        <f>IF(AA53&lt;&gt;0,ROUND((AA53/$I53)*$H58,5),ROUND((Z$10/$I$69)*$H58*Z58,5))</f>
        <v>0</v>
      </c>
      <c r="AD58" s="869"/>
    </row>
    <row r="59" spans="1:30" x14ac:dyDescent="0.25">
      <c r="A59" s="479">
        <f t="shared" si="0"/>
        <v>53</v>
      </c>
      <c r="B59" s="505" t="s">
        <v>166</v>
      </c>
      <c r="C59" s="452" t="s">
        <v>6</v>
      </c>
      <c r="D59" s="506">
        <f>+'Washington volumes'!J59</f>
        <v>881572</v>
      </c>
      <c r="E59" s="1549">
        <f>+'Rates in detail'!D59</f>
        <v>0.11796999999999999</v>
      </c>
      <c r="F59" s="1549">
        <f>+'Rates in detail'!E59+'Rates in detail'!F59+'Rates in detail'!G59</f>
        <v>0</v>
      </c>
      <c r="G59" s="1549">
        <f>+Temporaries!D59</f>
        <v>-2.1000000000000001E-4</v>
      </c>
      <c r="H59" s="1549">
        <f t="shared" si="10"/>
        <v>0.11817999999999999</v>
      </c>
      <c r="I59" s="1673">
        <f>ROUND((+H59*D59)+(H60*D60)+(H61*D61)+(H62*D62)+(H63*D63)+(H64*D64),0)</f>
        <v>719983</v>
      </c>
      <c r="J59" s="1052">
        <f>+'Avg Bill by RS'!G69</f>
        <v>1550</v>
      </c>
      <c r="K59" s="506">
        <f>+'Washington volumes'!L59</f>
        <v>10</v>
      </c>
      <c r="L59" s="1673">
        <f>ROUND((+H59*D59)+(H60*D60)+(H61*D61)+(H62*D62)+(H63*D63)+(H64*D64)+(J59*K59*12),0)</f>
        <v>905983</v>
      </c>
      <c r="M59" s="512"/>
      <c r="N59" s="507">
        <v>0</v>
      </c>
      <c r="O59" s="1655">
        <f>ROUND(+$N$10*(($L59*N59)/N$69),0)</f>
        <v>0</v>
      </c>
      <c r="P59" s="1637">
        <f>IF(O59&lt;&gt;0,ROUND((O59/$I59)*$H59,5),ROUND((N$10/$I$69)*$H59*N59,5))</f>
        <v>0</v>
      </c>
      <c r="Q59" s="507">
        <v>0</v>
      </c>
      <c r="R59" s="1655">
        <f>ROUND(+$Q$10*(($L59*Q59)/Q$69),0)</f>
        <v>0</v>
      </c>
      <c r="S59" s="1559">
        <f>IF(R59&lt;&gt;0,ROUND((R59/$I59)*$H59,5),ROUND((Q$10/$I$69)*$H59*Q59,5))</f>
        <v>0</v>
      </c>
      <c r="T59" s="507">
        <v>0</v>
      </c>
      <c r="U59" s="1655">
        <f>ROUND(+$T$10*(($L59*T59)/T$69),0)</f>
        <v>0</v>
      </c>
      <c r="V59" s="1637">
        <f>IF(U59&lt;&gt;0,ROUND((U59/$I59)*$H59,5),ROUND((T$10/$I$69)*$H59*T59,5))</f>
        <v>0</v>
      </c>
      <c r="W59" s="507">
        <v>1</v>
      </c>
      <c r="X59" s="1655">
        <f>ROUND(+$W$10*(($L59*W59)/W$69),0)</f>
        <v>-1218</v>
      </c>
      <c r="Y59" s="1651">
        <f>IF(X59&lt;&gt;0,ROUND((X59/$I59)*$H59,5),ROUND((W$10/$I$69)*$H59*W59,5))</f>
        <v>-2.0000000000000001E-4</v>
      </c>
      <c r="Z59" s="507">
        <v>0</v>
      </c>
      <c r="AA59" s="657">
        <f>ROUND(+$Z$10*(($L59*Z59)/Z$69),0)</f>
        <v>0</v>
      </c>
      <c r="AB59" s="1559">
        <f>IF(AA59&lt;&gt;0,ROUND((AA59/$I59)*$H59,5),ROUND((Z$10/$I$69)*$H59*Z59,5))</f>
        <v>0</v>
      </c>
      <c r="AD59" s="869"/>
    </row>
    <row r="60" spans="1:30" x14ac:dyDescent="0.25">
      <c r="A60" s="479">
        <f t="shared" si="0"/>
        <v>54</v>
      </c>
      <c r="B60" s="505"/>
      <c r="C60" s="452" t="s">
        <v>7</v>
      </c>
      <c r="D60" s="506">
        <f>+'Washington volumes'!J60</f>
        <v>1495748</v>
      </c>
      <c r="E60" s="1550">
        <f>+'Rates in detail'!D60</f>
        <v>0.1056</v>
      </c>
      <c r="F60" s="1550">
        <f>+'Rates in detail'!E60+'Rates in detail'!F60+'Rates in detail'!G60</f>
        <v>0</v>
      </c>
      <c r="G60" s="1550">
        <f>+Temporaries!D60</f>
        <v>-1.9000000000000001E-4</v>
      </c>
      <c r="H60" s="1550">
        <f t="shared" si="10"/>
        <v>0.10579</v>
      </c>
      <c r="I60" s="1674"/>
      <c r="J60" s="1053"/>
      <c r="K60" s="506"/>
      <c r="L60" s="1674"/>
      <c r="M60" s="512"/>
      <c r="N60" s="507">
        <v>0</v>
      </c>
      <c r="O60" s="1656"/>
      <c r="P60" s="1564">
        <f>IF(O59&lt;&gt;0,ROUND((O59/$I59)*$H60,5),ROUND((N$10/$I$69)*$H60*N60,5))</f>
        <v>0</v>
      </c>
      <c r="Q60" s="507">
        <v>0</v>
      </c>
      <c r="R60" s="1656"/>
      <c r="S60" s="869">
        <f>IF(R59&lt;&gt;0,ROUND((R59/$I59)*$H60,5),ROUND((Q$10/$I$69)*$H60*Q60,5))</f>
        <v>0</v>
      </c>
      <c r="T60" s="507">
        <v>0</v>
      </c>
      <c r="U60" s="1656"/>
      <c r="V60" s="1564">
        <f>IF(U59&lt;&gt;0,ROUND((U59/$I59)*$H60,5),ROUND((T$10/$I$69)*$H60*T60,5))</f>
        <v>0</v>
      </c>
      <c r="W60" s="507">
        <v>1</v>
      </c>
      <c r="X60" s="1656"/>
      <c r="Y60" s="509">
        <f>IF(X59&lt;&gt;0,ROUND((X59/$I59)*$H60,5),ROUND((W$10/$I$69)*$H60*W60,5))</f>
        <v>-1.8000000000000001E-4</v>
      </c>
      <c r="Z60" s="507">
        <v>0</v>
      </c>
      <c r="AA60" s="506"/>
      <c r="AB60" s="869">
        <f>IF(AA59&lt;&gt;0,ROUND((AA59/$I59)*$H60,5),ROUND((Z$10/$I$69)*$H60*Z60,5))</f>
        <v>0</v>
      </c>
      <c r="AD60" s="869"/>
    </row>
    <row r="61" spans="1:30" x14ac:dyDescent="0.25">
      <c r="A61" s="479">
        <f t="shared" si="0"/>
        <v>55</v>
      </c>
      <c r="B61" s="505"/>
      <c r="C61" s="452" t="s">
        <v>8</v>
      </c>
      <c r="D61" s="506">
        <f>+'Washington volumes'!J61</f>
        <v>1185204</v>
      </c>
      <c r="E61" s="1550">
        <f>+'Rates in detail'!D61</f>
        <v>8.0979999999999996E-2</v>
      </c>
      <c r="F61" s="1550">
        <f>+'Rates in detail'!E61+'Rates in detail'!F61+'Rates in detail'!G61</f>
        <v>0</v>
      </c>
      <c r="G61" s="1550">
        <f>+Temporaries!D61</f>
        <v>-1.3999999999999999E-4</v>
      </c>
      <c r="H61" s="1550">
        <f t="shared" si="10"/>
        <v>8.1119999999999998E-2</v>
      </c>
      <c r="I61" s="1674"/>
      <c r="J61" s="1053"/>
      <c r="K61" s="506"/>
      <c r="L61" s="1674"/>
      <c r="M61" s="512"/>
      <c r="N61" s="507">
        <v>0</v>
      </c>
      <c r="O61" s="1656"/>
      <c r="P61" s="1564">
        <f>IF(O59&lt;&gt;0,ROUND((O59/$I59)*$H61,5),ROUND((N$10/$I$69)*$H61*N61,5))</f>
        <v>0</v>
      </c>
      <c r="Q61" s="507">
        <v>0</v>
      </c>
      <c r="R61" s="1656"/>
      <c r="S61" s="869">
        <f>IF(R59&lt;&gt;0,ROUND((R59/$I59)*$H61,5),ROUND((Q$10/$I$69)*$H61*Q61,5))</f>
        <v>0</v>
      </c>
      <c r="T61" s="507">
        <v>0</v>
      </c>
      <c r="U61" s="1656"/>
      <c r="V61" s="1564">
        <f>IF(U59&lt;&gt;0,ROUND((U59/$I59)*$H61,5),ROUND((T$10/$I$69)*$H61*T61,5))</f>
        <v>0</v>
      </c>
      <c r="W61" s="507">
        <v>1</v>
      </c>
      <c r="X61" s="1656"/>
      <c r="Y61" s="509">
        <f>IF(X59&lt;&gt;0,ROUND((X59/$I59)*$H61,5),ROUND((W$10/$I$69)*$H61*W61,5))</f>
        <v>-1.3999999999999999E-4</v>
      </c>
      <c r="Z61" s="507">
        <v>0</v>
      </c>
      <c r="AA61" s="506"/>
      <c r="AB61" s="869">
        <f>IF(AA59&lt;&gt;0,ROUND((AA59/$I59)*$H61,5),ROUND((Z$10/$I$69)*$H61*Z61,5))</f>
        <v>0</v>
      </c>
      <c r="AD61" s="869"/>
    </row>
    <row r="62" spans="1:30" x14ac:dyDescent="0.25">
      <c r="A62" s="479">
        <f t="shared" si="0"/>
        <v>56</v>
      </c>
      <c r="B62" s="505"/>
      <c r="C62" s="452" t="s">
        <v>9</v>
      </c>
      <c r="D62" s="506">
        <f>+'Washington volumes'!J62</f>
        <v>4013728</v>
      </c>
      <c r="E62" s="1550">
        <f>+'Rates in detail'!D62</f>
        <v>6.479E-2</v>
      </c>
      <c r="F62" s="1550">
        <f>+'Rates in detail'!E62+'Rates in detail'!F62+'Rates in detail'!G62</f>
        <v>0</v>
      </c>
      <c r="G62" s="1550">
        <f>+Temporaries!D62</f>
        <v>-1.1E-4</v>
      </c>
      <c r="H62" s="1550">
        <f t="shared" si="10"/>
        <v>6.4899999999999999E-2</v>
      </c>
      <c r="I62" s="1674"/>
      <c r="J62" s="1053"/>
      <c r="K62" s="506"/>
      <c r="L62" s="1674"/>
      <c r="M62" s="512"/>
      <c r="N62" s="507">
        <v>0</v>
      </c>
      <c r="O62" s="1656"/>
      <c r="P62" s="1564">
        <f>IF(O59&lt;&gt;0,ROUND((O59/$I59)*$H62,5),ROUND((N$10/$I$69)*$H62*N62,5))</f>
        <v>0</v>
      </c>
      <c r="Q62" s="507">
        <v>0</v>
      </c>
      <c r="R62" s="1656"/>
      <c r="S62" s="869">
        <f>IF(R59&lt;&gt;0,ROUND((R59/$I59)*$H62,5),ROUND((Q$10/$I$69)*$H62*Q62,5))</f>
        <v>0</v>
      </c>
      <c r="T62" s="507">
        <v>0</v>
      </c>
      <c r="U62" s="1656"/>
      <c r="V62" s="1564">
        <f>IF(U59&lt;&gt;0,ROUND((U59/$I59)*$H62,5),ROUND((T$10/$I$69)*$H62*T62,5))</f>
        <v>0</v>
      </c>
      <c r="W62" s="507">
        <v>1</v>
      </c>
      <c r="X62" s="1656"/>
      <c r="Y62" s="509">
        <f>IF(X59&lt;&gt;0,ROUND((X59/$I59)*$H62,5),ROUND((W$10/$I$69)*$H62*W62,5))</f>
        <v>-1.1E-4</v>
      </c>
      <c r="Z62" s="507">
        <v>0</v>
      </c>
      <c r="AA62" s="506"/>
      <c r="AB62" s="869">
        <f>IF(AA59&lt;&gt;0,ROUND((AA59/$I59)*$H62,5),ROUND((Z$10/$I$69)*$H62*Z62,5))</f>
        <v>0</v>
      </c>
      <c r="AD62" s="869"/>
    </row>
    <row r="63" spans="1:30" x14ac:dyDescent="0.25">
      <c r="A63" s="479">
        <f t="shared" si="0"/>
        <v>57</v>
      </c>
      <c r="B63" s="505"/>
      <c r="C63" s="452" t="s">
        <v>10</v>
      </c>
      <c r="D63" s="506">
        <f>+'Washington volumes'!J63</f>
        <v>2332547</v>
      </c>
      <c r="E63" s="1550">
        <f>+'Rates in detail'!D63</f>
        <v>4.3190000000000006E-2</v>
      </c>
      <c r="F63" s="1550">
        <f>+'Rates in detail'!E63+'Rates in detail'!F63+'Rates in detail'!G63</f>
        <v>0</v>
      </c>
      <c r="G63" s="1550">
        <f>+Temporaries!D63</f>
        <v>-8.0000000000000007E-5</v>
      </c>
      <c r="H63" s="1550">
        <f t="shared" si="10"/>
        <v>4.3270000000000003E-2</v>
      </c>
      <c r="I63" s="1674"/>
      <c r="J63" s="1053"/>
      <c r="K63" s="506"/>
      <c r="L63" s="1674"/>
      <c r="M63" s="512"/>
      <c r="N63" s="507">
        <v>0</v>
      </c>
      <c r="O63" s="1656"/>
      <c r="P63" s="1564">
        <f>IF(O59&lt;&gt;0,ROUND((O59/$I59)*$H63,5),ROUND((N$10/$I$69)*$H63*N63,5))</f>
        <v>0</v>
      </c>
      <c r="Q63" s="507">
        <v>0</v>
      </c>
      <c r="R63" s="1656"/>
      <c r="S63" s="869">
        <f>IF(R59&lt;&gt;0,ROUND((R59/$I59)*$H63,5),ROUND((Q$10/$I$69)*$H63*Q63,5))</f>
        <v>0</v>
      </c>
      <c r="T63" s="507">
        <v>0</v>
      </c>
      <c r="U63" s="1656"/>
      <c r="V63" s="1564">
        <f>IF(U59&lt;&gt;0,ROUND((U59/$I59)*$H63,5),ROUND((T$10/$I$69)*$H63*T63,5))</f>
        <v>0</v>
      </c>
      <c r="W63" s="507">
        <v>1</v>
      </c>
      <c r="X63" s="1656"/>
      <c r="Y63" s="509">
        <f>IF(X59&lt;&gt;0,ROUND((X59/$I59)*$H63,5),ROUND((W$10/$I$69)*$H63*W63,5))</f>
        <v>-6.9999999999999994E-5</v>
      </c>
      <c r="Z63" s="507">
        <v>0</v>
      </c>
      <c r="AA63" s="506"/>
      <c r="AB63" s="869">
        <f>IF(AA59&lt;&gt;0,ROUND((AA59/$I59)*$H63,5),ROUND((Z$10/$I$69)*$H63*Z63,5))</f>
        <v>0</v>
      </c>
      <c r="AD63" s="869"/>
    </row>
    <row r="64" spans="1:30" x14ac:dyDescent="0.25">
      <c r="A64" s="479">
        <f t="shared" si="0"/>
        <v>58</v>
      </c>
      <c r="B64" s="510"/>
      <c r="C64" s="456" t="s">
        <v>11</v>
      </c>
      <c r="D64" s="500">
        <f>+'Washington volumes'!J64</f>
        <v>0</v>
      </c>
      <c r="E64" s="1551">
        <f>+'Rates in detail'!D64</f>
        <v>1.619E-2</v>
      </c>
      <c r="F64" s="1551">
        <f>+'Rates in detail'!E64+'Rates in detail'!F64+'Rates in detail'!G64</f>
        <v>0</v>
      </c>
      <c r="G64" s="1551">
        <f>+Temporaries!D64</f>
        <v>-3.0000000000000001E-5</v>
      </c>
      <c r="H64" s="1551">
        <f t="shared" si="10"/>
        <v>1.6219999999999998E-2</v>
      </c>
      <c r="I64" s="1672"/>
      <c r="J64" s="1054"/>
      <c r="K64" s="500"/>
      <c r="L64" s="1672"/>
      <c r="M64" s="516"/>
      <c r="N64" s="502">
        <v>0</v>
      </c>
      <c r="O64" s="1653"/>
      <c r="P64" s="1563">
        <f>IF(O59&lt;&gt;0,ROUND((O59/$I59)*$H64,5),ROUND((N$10/$I$69)*$H64*N64,5))</f>
        <v>0</v>
      </c>
      <c r="Q64" s="502">
        <v>0</v>
      </c>
      <c r="R64" s="1653"/>
      <c r="S64" s="1557">
        <f>IF(R59&lt;&gt;0,ROUND((R59/$I59)*$H64,5),ROUND((Q$10/$I$69)*$H64*Q64,5))</f>
        <v>0</v>
      </c>
      <c r="T64" s="502">
        <v>0</v>
      </c>
      <c r="U64" s="1653"/>
      <c r="V64" s="1563">
        <f>IF(U59&lt;&gt;0,ROUND((U59/$I59)*$H64,5),ROUND((T$10/$I$69)*$H64*T64,5))</f>
        <v>0</v>
      </c>
      <c r="W64" s="502">
        <v>1</v>
      </c>
      <c r="X64" s="1653"/>
      <c r="Y64" s="503">
        <f>IF(X59&lt;&gt;0,ROUND((X59/$I59)*$H64,5),ROUND((W$10/$I$69)*$H64*W64,5))</f>
        <v>-3.0000000000000001E-5</v>
      </c>
      <c r="Z64" s="502">
        <v>0</v>
      </c>
      <c r="AA64" s="500"/>
      <c r="AB64" s="1557">
        <f>IF(AA59&lt;&gt;0,ROUND((AA59/$I59)*$H64,5),ROUND((Z$10/$I$69)*$H64*Z64,5))</f>
        <v>0</v>
      </c>
      <c r="AD64" s="869"/>
    </row>
    <row r="65" spans="1:30" x14ac:dyDescent="0.25">
      <c r="A65" s="479">
        <f t="shared" si="0"/>
        <v>59</v>
      </c>
      <c r="B65" s="510" t="s">
        <v>167</v>
      </c>
      <c r="C65" s="455"/>
      <c r="D65" s="500">
        <f>+'Washington volumes'!J65</f>
        <v>0</v>
      </c>
      <c r="E65" s="1552">
        <f>+'Rates in detail'!D65</f>
        <v>4.9800000000000001E-3</v>
      </c>
      <c r="F65" s="1552">
        <f>+'Rates in detail'!E65+'Rates in detail'!F65+'Rates in detail'!G65</f>
        <v>0</v>
      </c>
      <c r="G65" s="1552">
        <f>+Temporaries!D65</f>
        <v>-1.0000000000000001E-5</v>
      </c>
      <c r="H65" s="1552">
        <f t="shared" si="10"/>
        <v>4.9899999999999996E-3</v>
      </c>
      <c r="I65" s="1672">
        <f>ROUND(H65*D65,0)</f>
        <v>0</v>
      </c>
      <c r="J65" s="1055">
        <f>+'Avg Bill by RS'!G76</f>
        <v>38000</v>
      </c>
      <c r="K65" s="500">
        <f>+'Washington volumes'!L65</f>
        <v>0</v>
      </c>
      <c r="L65" s="1672">
        <f>ROUND(I65+(J65*K65*12),0)</f>
        <v>0</v>
      </c>
      <c r="M65" s="517"/>
      <c r="N65" s="502">
        <v>0</v>
      </c>
      <c r="O65" s="1653">
        <f>ROUND(+$N$10*(($L65*N65)/N$69),0)</f>
        <v>0</v>
      </c>
      <c r="P65" s="1563">
        <f>IF(O65&lt;&gt;0,ROUND((O65/$I61)*$H65,5),ROUND((N$10/$I$69)*$H65*N65,5))</f>
        <v>0</v>
      </c>
      <c r="Q65" s="502">
        <v>0</v>
      </c>
      <c r="R65" s="1653">
        <f>ROUND(+$Q$10*(($L65*Q65)/Q$69),0)</f>
        <v>0</v>
      </c>
      <c r="S65" s="1557">
        <f>IF(R65&lt;&gt;0,ROUND((R65/$I61)*$H65,5),ROUND((Q$10/$I$69)*$H65*Q65,5))</f>
        <v>0</v>
      </c>
      <c r="T65" s="1638">
        <v>0</v>
      </c>
      <c r="U65" s="1653">
        <f>ROUND(+$T$10*(($L65*T65)/T$69),0)</f>
        <v>0</v>
      </c>
      <c r="V65" s="1639">
        <f>IF(U65&lt;&gt;0,ROUND((U65/$I61)*$H65,5),ROUND((T$10/$I$69)*$H65*T65,5))</f>
        <v>0</v>
      </c>
      <c r="W65" s="1638">
        <v>1</v>
      </c>
      <c r="X65" s="1653">
        <f>ROUND(+$T$10*(($L65*W65)/W$69),0)</f>
        <v>0</v>
      </c>
      <c r="Y65" s="1652">
        <f>IF(X65&lt;&gt;0,ROUND((X65/$I61)*$H65,5),ROUND((W$10/$I$69)*$H65*W65,5))</f>
        <v>-1.0000000000000001E-5</v>
      </c>
      <c r="Z65" s="502">
        <v>0</v>
      </c>
      <c r="AA65" s="500">
        <f>ROUND(+$Z$10*(($L65*Z65)/Z$69),0)</f>
        <v>0</v>
      </c>
      <c r="AB65" s="1557">
        <f>IF(AA65&lt;&gt;0,ROUND((AA65/$I61)*$H65,5),ROUND((Z$10/$I$69)*$H65*Z65,5))</f>
        <v>0</v>
      </c>
      <c r="AD65" s="869"/>
    </row>
    <row r="66" spans="1:30" x14ac:dyDescent="0.25">
      <c r="A66" s="479">
        <f t="shared" si="0"/>
        <v>60</v>
      </c>
      <c r="B66" s="450" t="s">
        <v>168</v>
      </c>
      <c r="C66" s="447"/>
      <c r="D66" s="500">
        <f>+'Washington volumes'!J66</f>
        <v>0</v>
      </c>
      <c r="E66" s="1551">
        <f>+'Rates in detail'!D66</f>
        <v>4.9800000000000001E-3</v>
      </c>
      <c r="F66" s="1551">
        <f>+'Rates in detail'!E66+'Rates in detail'!F66+'Rates in detail'!G66</f>
        <v>0</v>
      </c>
      <c r="G66" s="1551">
        <f>+Temporaries!D66</f>
        <v>-1.0000000000000001E-5</v>
      </c>
      <c r="H66" s="1551">
        <f t="shared" si="10"/>
        <v>4.9899999999999996E-3</v>
      </c>
      <c r="I66" s="1672">
        <f>ROUND(H66*D66,0)</f>
        <v>0</v>
      </c>
      <c r="J66" s="1054">
        <f>+'Avg Bill by RS'!G77</f>
        <v>38000</v>
      </c>
      <c r="K66" s="500">
        <f>+'Washington volumes'!L66</f>
        <v>0</v>
      </c>
      <c r="L66" s="1672">
        <f>ROUND(I66+(J66*K66*12),0)</f>
        <v>0</v>
      </c>
      <c r="M66" s="516"/>
      <c r="N66" s="502">
        <v>0</v>
      </c>
      <c r="O66" s="1653">
        <f>ROUND(+$N$10*(($L66*N66)/N$69),0)</f>
        <v>0</v>
      </c>
      <c r="P66" s="1563">
        <f>IF(O66&lt;&gt;0,ROUND((O66/$I62)*$H66,5),ROUND((N$10/$I$69)*$H66*N66,5))</f>
        <v>0</v>
      </c>
      <c r="Q66" s="502">
        <v>0</v>
      </c>
      <c r="R66" s="1653">
        <f>ROUND(+$Q$10*(($L66*Q66)/Q$69),0)</f>
        <v>0</v>
      </c>
      <c r="S66" s="1557">
        <f>IF(R66&lt;&gt;0,ROUND((R66/$I62)*$H66,5),ROUND((Q$10/$I$69)*$H66*Q66,5))</f>
        <v>0</v>
      </c>
      <c r="T66" s="502">
        <v>0</v>
      </c>
      <c r="U66" s="1653">
        <f>ROUND(+$T$10*(($L66*T66)/T$69),0)</f>
        <v>0</v>
      </c>
      <c r="V66" s="1563">
        <f>IF(U66&lt;&gt;0,ROUND((U66/$I62)*$H66,5),ROUND((T$10/$I$69)*$H66*T66,5))</f>
        <v>0</v>
      </c>
      <c r="W66" s="502">
        <v>1</v>
      </c>
      <c r="X66" s="1653">
        <f>ROUND(+$T$10*(($L66*W66)/W$69),0)</f>
        <v>0</v>
      </c>
      <c r="Y66" s="503">
        <f>IF(X66&lt;&gt;0,ROUND((X66/$I62)*$H66,5),ROUND((W$10/$I$69)*$H66*W66,5))</f>
        <v>-1.0000000000000001E-5</v>
      </c>
      <c r="Z66" s="502">
        <v>0</v>
      </c>
      <c r="AA66" s="500">
        <f>ROUND(+$Z$10*(($L66*Z66)/Z$69),0)</f>
        <v>0</v>
      </c>
      <c r="AB66" s="1557">
        <f>IF(AA66&lt;&gt;0,ROUND((AA66/$I62)*$H66,5),ROUND((Z$10/$I$69)*$H66*Z66,5))</f>
        <v>0</v>
      </c>
      <c r="AD66" s="869"/>
    </row>
    <row r="67" spans="1:30" x14ac:dyDescent="0.25">
      <c r="A67" s="479">
        <f t="shared" si="0"/>
        <v>61</v>
      </c>
      <c r="B67" s="449" t="s">
        <v>217</v>
      </c>
      <c r="C67" s="447"/>
      <c r="D67" s="500"/>
      <c r="E67" s="1553"/>
      <c r="F67" s="1553"/>
      <c r="G67" s="1553"/>
      <c r="H67" s="1553"/>
      <c r="I67" s="1672"/>
      <c r="J67" s="1056"/>
      <c r="K67" s="500"/>
      <c r="L67" s="1555"/>
      <c r="M67" s="516"/>
      <c r="N67" s="502"/>
      <c r="O67" s="500"/>
      <c r="P67" s="1670"/>
      <c r="Q67" s="502"/>
      <c r="R67" s="500"/>
      <c r="S67" s="1557"/>
      <c r="T67" s="502"/>
      <c r="U67" s="500"/>
      <c r="V67" s="1563"/>
      <c r="W67" s="502"/>
      <c r="X67" s="500"/>
      <c r="Y67" s="503"/>
      <c r="Z67" s="502"/>
      <c r="AA67" s="500"/>
      <c r="AB67" s="1557"/>
    </row>
    <row r="68" spans="1:30" x14ac:dyDescent="0.25">
      <c r="A68" s="479">
        <f t="shared" si="0"/>
        <v>62</v>
      </c>
      <c r="E68" s="1554"/>
      <c r="F68" s="1554"/>
      <c r="G68" s="1554"/>
      <c r="H68" s="1554"/>
      <c r="I68" s="1556"/>
      <c r="L68" s="1556"/>
      <c r="N68" s="518"/>
      <c r="Q68" s="518"/>
      <c r="T68" s="518"/>
      <c r="W68" s="518"/>
      <c r="X68" s="436"/>
      <c r="Z68" s="518"/>
    </row>
    <row r="69" spans="1:30" x14ac:dyDescent="0.25">
      <c r="A69" s="479">
        <f t="shared" si="0"/>
        <v>63</v>
      </c>
      <c r="B69" s="436" t="s">
        <v>176</v>
      </c>
      <c r="D69" s="514">
        <f>SUM(D13:D68)</f>
        <v>100505811.10000001</v>
      </c>
      <c r="E69" s="1554"/>
      <c r="F69" s="1554"/>
      <c r="G69" s="1554"/>
      <c r="H69" s="1554"/>
      <c r="I69" s="1561">
        <f>SUM(I13:I67)</f>
        <v>33763354</v>
      </c>
      <c r="J69" s="514"/>
      <c r="K69" s="514"/>
      <c r="L69" s="1561">
        <f>SUM(L13:L67)</f>
        <v>42692528</v>
      </c>
      <c r="N69" s="1562">
        <f>ROUND(($L13*N13)+($L14*N14)+($L15*N15)+($L16*N16)+($L17*N17)+($L18*N18)+($L19*N19)+($L$21*N21)+($L23*N23)+($L$25*N25)+($L27*N27)+($L29*N29)+($L35*N35)+($L41*N41)+($L$47*N47)+($L53*N53)+($L59*N59)+($L65*N65)+($L66*N66)+($L67*N67),0)</f>
        <v>39709725</v>
      </c>
      <c r="O69" s="1560">
        <f>SUM(O13:O68)</f>
        <v>3102783</v>
      </c>
      <c r="Q69" s="1582">
        <f>ROUND(($L13*Q13)+($L14*Q14)+($L15*Q15)+($L16*Q16)+($L17*Q17)+($L18*Q18)+($L19*Q19)+($L$21*Q21)+($L23*Q23)+($L$25*Q25)+($L27*Q27)+($L29*Q29)+($L35*Q35)+($L41*Q41)+($L$47*Q47)+($L53*Q53)+($L59*Q59)+($L65*Q65)+($L66*Q66)+($L67*Q67),0)</f>
        <v>40646962</v>
      </c>
      <c r="R69" s="1560">
        <f>SUM(R13:R68)</f>
        <v>289056</v>
      </c>
      <c r="T69" s="1582">
        <f>ROUND(($L13*T13)+($L14*T14)+($L15*T15)+($L16*T16)+($L17*T17)+($L18*T18)+($L19*T19)+($L$21*T21)+($L23*T23)+($L$25*T25)+($L27*T27)+($L29*T29)+($L35*T35)+($L41*T41)+($L$47*T47)+($L53*T53)+($L59*T59)+($L65*T65)+($L66*T66)+($L67*T67),0)</f>
        <v>40646962</v>
      </c>
      <c r="U69" s="1560">
        <f>SUM(U13:U68)</f>
        <v>107740</v>
      </c>
      <c r="W69" s="1582">
        <f>ROUND(($L13*W13)+($L14*W14)+($L15*W15)+($L16*W16)+($L17*W17)+($L18*W18)+($L19*W19)+($L$21*W21)+($L23*W23)+($L$25*W25)+($L27*W27)+($L29*W29)+($L35*W35)+($L41*W41)+($L$47*W47)+($L53*W53)+($L59*W59)+($L65*W65)+($L66*W66)+($L67*W67),0)</f>
        <v>42692528</v>
      </c>
      <c r="X69" s="514">
        <f>SUM(X13:X68)</f>
        <v>-57388</v>
      </c>
      <c r="Z69" s="1582">
        <f>ROUND(($L13*Z13)+($L14*Z14)+($L15*Z15)+($L16*Z16)+($L17*Z17)+($L18*Z18)+($L19*Z19)+($L$21*Z21)+($L23*Z23)+($L$25*Z25)+($L27*Z27)+($L29*Z29)+($L35*Z35)+($L41*Z41)+($L$47*Z47)+($L53*Z53)+($L59*Z59)+($L65*Z65)+($L66*Z66)+($L67*Z67),0)</f>
        <v>40646962</v>
      </c>
      <c r="AA69" s="1560">
        <f>SUM(AA13:AA68)</f>
        <v>0</v>
      </c>
    </row>
    <row r="70" spans="1:30" x14ac:dyDescent="0.25">
      <c r="A70" s="479">
        <f t="shared" si="0"/>
        <v>64</v>
      </c>
      <c r="M70" s="470"/>
      <c r="N70" s="667"/>
      <c r="Q70" s="667"/>
      <c r="T70" s="667"/>
      <c r="W70" s="667"/>
      <c r="X70" s="436"/>
      <c r="Z70" s="667"/>
    </row>
    <row r="71" spans="1:30" ht="13.8" thickBot="1" x14ac:dyDescent="0.3">
      <c r="A71" s="479">
        <f t="shared" si="0"/>
        <v>65</v>
      </c>
      <c r="B71" s="460" t="s">
        <v>211</v>
      </c>
      <c r="E71" s="436"/>
      <c r="F71" s="436"/>
      <c r="G71" s="436"/>
      <c r="H71" s="436"/>
      <c r="J71" s="436"/>
      <c r="M71" s="436"/>
      <c r="N71" s="436"/>
      <c r="Q71" s="436"/>
      <c r="T71" s="436"/>
      <c r="W71" s="436"/>
      <c r="X71" s="436"/>
      <c r="Z71" s="436"/>
    </row>
    <row r="72" spans="1:30" ht="13.8" thickBot="1" x14ac:dyDescent="0.3">
      <c r="A72" s="479">
        <f>+A71+1</f>
        <v>66</v>
      </c>
      <c r="B72" s="461" t="s">
        <v>212</v>
      </c>
      <c r="C72" s="463"/>
      <c r="D72" s="463"/>
      <c r="E72" s="463"/>
      <c r="F72" s="463"/>
      <c r="G72" s="463"/>
      <c r="H72" s="463"/>
      <c r="I72" s="463"/>
      <c r="J72" s="463"/>
      <c r="K72" s="464" t="s">
        <v>177</v>
      </c>
      <c r="L72" s="463"/>
      <c r="M72" s="463"/>
      <c r="N72" s="464" t="s">
        <v>871</v>
      </c>
      <c r="O72" s="463"/>
      <c r="P72" s="665"/>
      <c r="Q72" s="464" t="s">
        <v>1177</v>
      </c>
      <c r="R72" s="463"/>
      <c r="S72" s="665"/>
      <c r="T72" s="464" t="s">
        <v>872</v>
      </c>
      <c r="U72" s="463"/>
      <c r="V72" s="665"/>
      <c r="W72" s="464" t="s">
        <v>822</v>
      </c>
      <c r="X72" s="463"/>
      <c r="Y72" s="665"/>
      <c r="Z72" s="464" t="s">
        <v>821</v>
      </c>
      <c r="AA72" s="463"/>
      <c r="AB72" s="665"/>
    </row>
    <row r="73" spans="1:30" ht="13.8" thickBot="1" x14ac:dyDescent="0.3">
      <c r="A73" s="479">
        <f t="shared" si="0"/>
        <v>67</v>
      </c>
      <c r="B73" s="460" t="s">
        <v>1052</v>
      </c>
      <c r="E73" s="436"/>
      <c r="F73" s="436"/>
      <c r="G73" s="436"/>
      <c r="H73" s="436"/>
      <c r="J73" s="436"/>
      <c r="M73" s="436"/>
      <c r="N73" s="436"/>
      <c r="Q73" s="436"/>
      <c r="T73" s="436"/>
      <c r="W73" s="436"/>
      <c r="X73" s="436"/>
      <c r="Z73" s="436"/>
    </row>
    <row r="74" spans="1:30" ht="13.8" thickBot="1" x14ac:dyDescent="0.3">
      <c r="A74" s="479">
        <f>+A73+1</f>
        <v>68</v>
      </c>
      <c r="B74" s="461" t="s">
        <v>1053</v>
      </c>
      <c r="C74" s="463"/>
      <c r="D74" s="463"/>
      <c r="E74" s="463"/>
      <c r="F74" s="463"/>
      <c r="G74" s="463"/>
      <c r="H74" s="463"/>
      <c r="I74" s="463"/>
      <c r="J74" s="463"/>
      <c r="K74" s="463"/>
      <c r="L74" s="463"/>
      <c r="M74" s="463"/>
      <c r="N74" s="464" t="s">
        <v>1055</v>
      </c>
      <c r="O74" s="463"/>
      <c r="P74" s="665"/>
      <c r="Q74" s="1313" t="s">
        <v>1056</v>
      </c>
      <c r="R74" s="463"/>
      <c r="S74" s="665"/>
      <c r="T74" s="1313" t="s">
        <v>1057</v>
      </c>
      <c r="U74" s="463"/>
      <c r="V74" s="665"/>
      <c r="W74" s="464" t="s">
        <v>1176</v>
      </c>
      <c r="X74" s="463"/>
      <c r="Y74" s="665"/>
      <c r="Z74" s="464" t="s">
        <v>1054</v>
      </c>
      <c r="AA74" s="463"/>
      <c r="AB74" s="665"/>
    </row>
    <row r="75" spans="1:30" x14ac:dyDescent="0.25">
      <c r="A75" s="479">
        <f>+A72+1</f>
        <v>67</v>
      </c>
      <c r="N75" s="518"/>
      <c r="Q75" s="518"/>
      <c r="T75" s="518"/>
      <c r="Z75" s="518"/>
    </row>
    <row r="76" spans="1:30" x14ac:dyDescent="0.25">
      <c r="A76" s="479">
        <f>+A75+1</f>
        <v>68</v>
      </c>
      <c r="B76" s="1625" t="s">
        <v>641</v>
      </c>
      <c r="N76" s="518"/>
      <c r="Q76" s="518"/>
      <c r="T76" s="518"/>
      <c r="Z76" s="518"/>
    </row>
    <row r="80" spans="1:30" x14ac:dyDescent="0.25">
      <c r="N80" s="478" t="s">
        <v>708</v>
      </c>
      <c r="O80" s="596">
        <f>+O13+O15</f>
        <v>2249998</v>
      </c>
      <c r="Q80" s="478" t="s">
        <v>708</v>
      </c>
      <c r="R80" s="596">
        <f>+R13+R15</f>
        <v>204777</v>
      </c>
      <c r="T80" s="478" t="s">
        <v>708</v>
      </c>
      <c r="U80" s="596">
        <f>+U13+U15</f>
        <v>76327</v>
      </c>
      <c r="Z80" s="478" t="s">
        <v>708</v>
      </c>
      <c r="AA80" s="596">
        <f>+AA13+AA15</f>
        <v>0</v>
      </c>
    </row>
    <row r="81" spans="14:27" s="437" customFormat="1" x14ac:dyDescent="0.25">
      <c r="N81" s="478" t="s">
        <v>16</v>
      </c>
      <c r="O81" s="596">
        <f>+O14+O16+SUM(O29:O34)+SUM(O19:O20)+SUM(O47:O52)+SUM(O21:O22)</f>
        <v>836347</v>
      </c>
      <c r="P81" s="528"/>
      <c r="Q81" s="478" t="s">
        <v>16</v>
      </c>
      <c r="R81" s="596">
        <f>+R14+R16+SUM(R29:R34)+SUM(R19:R20)+SUM(R47:R52)+SUM(R21:R22)</f>
        <v>76118</v>
      </c>
      <c r="S81" s="528"/>
      <c r="T81" s="478" t="s">
        <v>16</v>
      </c>
      <c r="U81" s="596">
        <f>+U14+U16+SUM(U29:U34)+SUM(U19:U20)+SUM(U47:U52)+SUM(U21:U22)</f>
        <v>28371</v>
      </c>
      <c r="V81" s="528"/>
      <c r="W81" s="528"/>
      <c r="X81" s="528"/>
      <c r="Y81" s="528"/>
      <c r="Z81" s="478" t="s">
        <v>16</v>
      </c>
      <c r="AA81" s="1322">
        <f>+AA14+AA16+SUM(AA29:AA34)+SUM(AA19:AA20)+SUM(AA47:AA52)+SUM(AA21:AA22)</f>
        <v>0</v>
      </c>
    </row>
    <row r="82" spans="14:27" s="437" customFormat="1" x14ac:dyDescent="0.25">
      <c r="N82" s="478" t="s">
        <v>84</v>
      </c>
      <c r="O82" s="556">
        <f>+O17++SUM(O27:O28)+SUM(O35:O40)+SUM(O53:O58)+SUM(O59:O64)+SUM(O41:O46)+O23+SUM(O25:O26)</f>
        <v>0</v>
      </c>
      <c r="P82" s="528"/>
      <c r="Q82" s="478" t="s">
        <v>84</v>
      </c>
      <c r="R82" s="556">
        <f>+R17++SUM(R27:R28)+SUM(R35:R40)+SUM(R53:R58)+SUM(R59:R64)+SUM(R41:R46)+R23+SUM(R25:R26)</f>
        <v>6665</v>
      </c>
      <c r="S82" s="528"/>
      <c r="T82" s="478" t="s">
        <v>84</v>
      </c>
      <c r="U82" s="556">
        <f>+U17++SUM(U27:U28)+SUM(U35:U40)+SUM(U53:U58)+SUM(U59:U64)+SUM(U41:U46)+U23+SUM(U25:U26)</f>
        <v>2484</v>
      </c>
      <c r="V82" s="528"/>
      <c r="W82" s="528"/>
      <c r="X82" s="528"/>
      <c r="Y82" s="528"/>
      <c r="Z82" s="478" t="s">
        <v>84</v>
      </c>
      <c r="AA82" s="556">
        <f>+AA17++SUM(AA27:AA28)+SUM(AA35:AA40)+SUM(AA53:AA58)+SUM(AA59:AA64)+SUM(AA41:AA46)+AA23+SUM(AA25:AA26)</f>
        <v>0</v>
      </c>
    </row>
    <row r="83" spans="14:27" s="437" customFormat="1" x14ac:dyDescent="0.25">
      <c r="N83" s="478">
        <v>27</v>
      </c>
      <c r="O83" s="556">
        <f>+O18</f>
        <v>16438</v>
      </c>
      <c r="P83" s="528"/>
      <c r="Q83" s="478">
        <v>27</v>
      </c>
      <c r="R83" s="556">
        <f>+R18</f>
        <v>1496</v>
      </c>
      <c r="S83" s="528"/>
      <c r="T83" s="478">
        <v>27</v>
      </c>
      <c r="U83" s="556">
        <f>+U18</f>
        <v>558</v>
      </c>
      <c r="V83" s="528"/>
      <c r="W83" s="528"/>
      <c r="X83" s="528"/>
      <c r="Y83" s="528"/>
      <c r="Z83" s="478">
        <v>27</v>
      </c>
      <c r="AA83" s="556">
        <f>+AA18</f>
        <v>0</v>
      </c>
    </row>
    <row r="84" spans="14:27" s="437" customFormat="1" x14ac:dyDescent="0.25">
      <c r="N84" s="478"/>
      <c r="O84" s="596">
        <f>SUM(O80:O83)</f>
        <v>3102783</v>
      </c>
      <c r="P84" s="528"/>
      <c r="Q84" s="478"/>
      <c r="R84" s="596">
        <f>SUM(R80:R83)</f>
        <v>289056</v>
      </c>
      <c r="S84" s="528"/>
      <c r="T84" s="478"/>
      <c r="U84" s="596">
        <f>SUM(U80:U83)</f>
        <v>107740</v>
      </c>
      <c r="V84" s="528"/>
      <c r="W84" s="528"/>
      <c r="X84" s="528"/>
      <c r="Y84" s="528"/>
      <c r="Z84" s="478"/>
      <c r="AA84" s="596">
        <f>SUM(AA80:AA83)</f>
        <v>0</v>
      </c>
    </row>
    <row r="85" spans="14:27" s="437" customFormat="1" x14ac:dyDescent="0.25">
      <c r="N85" s="478"/>
      <c r="O85" s="514">
        <f>+O84-O69</f>
        <v>0</v>
      </c>
      <c r="P85" s="528"/>
      <c r="Q85" s="478"/>
      <c r="R85" s="514">
        <f>+R84-R69</f>
        <v>0</v>
      </c>
      <c r="S85" s="528"/>
      <c r="T85" s="478"/>
      <c r="U85" s="514">
        <f>+U84-U69</f>
        <v>0</v>
      </c>
      <c r="V85" s="528"/>
      <c r="W85" s="528"/>
      <c r="X85" s="528"/>
      <c r="Y85" s="528"/>
      <c r="Z85" s="478"/>
      <c r="AA85" s="514">
        <f>+AA84-AA69</f>
        <v>0</v>
      </c>
    </row>
    <row r="87" spans="14:27" s="437" customFormat="1" x14ac:dyDescent="0.25">
      <c r="N87" s="478"/>
      <c r="O87" s="436"/>
      <c r="P87" s="528"/>
      <c r="Q87" s="478"/>
      <c r="R87" s="436"/>
      <c r="S87" s="528"/>
      <c r="T87" s="478"/>
      <c r="U87" s="436"/>
      <c r="V87" s="528"/>
      <c r="W87" s="528"/>
      <c r="X87" s="528"/>
      <c r="Y87" s="528"/>
      <c r="Z87" s="478" t="s">
        <v>708</v>
      </c>
      <c r="AA87" s="596">
        <f>+AA80</f>
        <v>0</v>
      </c>
    </row>
    <row r="88" spans="14:27" s="437" customFormat="1" x14ac:dyDescent="0.25">
      <c r="N88" s="478"/>
      <c r="O88" s="436"/>
      <c r="P88" s="528"/>
      <c r="Q88" s="478"/>
      <c r="R88" s="436"/>
      <c r="S88" s="528"/>
      <c r="T88" s="478"/>
      <c r="U88" s="436"/>
      <c r="V88" s="528"/>
      <c r="W88" s="528"/>
      <c r="X88" s="528"/>
      <c r="Y88" s="528"/>
      <c r="Z88" s="478" t="s">
        <v>1066</v>
      </c>
      <c r="AA88" s="514">
        <f>+AA14+AA16+AA19+AA29</f>
        <v>0</v>
      </c>
    </row>
    <row r="89" spans="14:27" s="437" customFormat="1" x14ac:dyDescent="0.25">
      <c r="N89" s="478"/>
      <c r="O89" s="436"/>
      <c r="P89" s="528"/>
      <c r="Q89" s="478"/>
      <c r="R89" s="436"/>
      <c r="S89" s="528"/>
      <c r="T89" s="478"/>
      <c r="U89" s="436"/>
      <c r="V89" s="528"/>
      <c r="W89" s="528"/>
      <c r="X89" s="528"/>
      <c r="Y89" s="528"/>
      <c r="Z89" s="478" t="s">
        <v>1065</v>
      </c>
      <c r="AA89" s="514">
        <f>+AA17+AA25+AA35</f>
        <v>0</v>
      </c>
    </row>
    <row r="90" spans="14:27" s="437" customFormat="1" x14ac:dyDescent="0.25">
      <c r="N90" s="478"/>
      <c r="O90" s="436"/>
      <c r="P90" s="528"/>
      <c r="Q90" s="478"/>
      <c r="R90" s="436"/>
      <c r="S90" s="528"/>
      <c r="T90" s="478"/>
      <c r="U90" s="436"/>
      <c r="V90" s="528"/>
      <c r="W90" s="528"/>
      <c r="X90" s="528"/>
      <c r="Y90" s="528"/>
      <c r="Z90" s="478" t="s">
        <v>1067</v>
      </c>
      <c r="AA90" s="514">
        <f>+AA21+AA27+AA47+AA53</f>
        <v>0</v>
      </c>
    </row>
  </sheetData>
  <mergeCells count="3">
    <mergeCell ref="L11:L12"/>
    <mergeCell ref="W7:Y7"/>
    <mergeCell ref="T7:V7"/>
  </mergeCells>
  <phoneticPr fontId="2" type="noConversion"/>
  <pageMargins left="0.5" right="0.5" top="0.5" bottom="0.25" header="0.25" footer="0.25"/>
  <pageSetup scale="58" orientation="landscape" r:id="rId1"/>
  <headerFooter alignWithMargins="0">
    <oddHeader xml:space="preserve">&amp;RUG-181053 NWN Compliance Filing
Advice 19-07 / Work Paper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2018-12-31T08:00:00+00:00</OpenedDate>
    <SignificantOrder xmlns="dc463f71-b30c-4ab2-9473-d307f9d35888">false</SignificantOrder>
    <Date1 xmlns="dc463f71-b30c-4ab2-9473-d307f9d35888">2019-10-28T07:00:00+00:00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181053</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AC0F86E6201B749BFF193A83EBAB7E2" ma:contentTypeVersion="76" ma:contentTypeDescription="" ma:contentTypeScope="" ma:versionID="a883e322bdab798471268fcb39c5349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A2B1C6C-AC7C-4380-AF6F-3E68C314ACC2}">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7A2514B-6423-4544-99CD-DBAF4BD06F90}">
  <ds:schemaRefs>
    <ds:schemaRef ds:uri="http://schemas.microsoft.com/sharepoint/v3/contenttype/forms"/>
  </ds:schemaRefs>
</ds:datastoreItem>
</file>

<file path=customXml/itemProps3.xml><?xml version="1.0" encoding="utf-8"?>
<ds:datastoreItem xmlns:ds="http://schemas.openxmlformats.org/officeDocument/2006/customXml" ds:itemID="{4DBB40D6-5694-4767-9C0B-73D4B95C83E2}"/>
</file>

<file path=customXml/itemProps4.xml><?xml version="1.0" encoding="utf-8"?>
<ds:datastoreItem xmlns:ds="http://schemas.openxmlformats.org/officeDocument/2006/customXml" ds:itemID="{7F0F756D-9EE1-428B-8761-1A03C9C381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47</vt:i4>
      </vt:variant>
    </vt:vector>
  </HeadingPairs>
  <TitlesOfParts>
    <vt:vector size="91" baseType="lpstr">
      <vt:lpstr>Index &amp; Documentation</vt:lpstr>
      <vt:lpstr>Inputs</vt:lpstr>
      <vt:lpstr>Washington volumes</vt:lpstr>
      <vt:lpstr>Avg Bill by RS</vt:lpstr>
      <vt:lpstr>Rates in summary</vt:lpstr>
      <vt:lpstr>Rates in detail</vt:lpstr>
      <vt:lpstr>Temporaries</vt:lpstr>
      <vt:lpstr>Allocation equal ¢ per therm</vt:lpstr>
      <vt:lpstr>Allocation = % of margin</vt:lpstr>
      <vt:lpstr>Inputs for FCST MGN</vt:lpstr>
      <vt:lpstr>Amortization</vt:lpstr>
      <vt:lpstr>Rates for MAS GS</vt:lpstr>
      <vt:lpstr>Cover</vt:lpstr>
      <vt:lpstr>WA Index</vt:lpstr>
      <vt:lpstr>F Goldenrod</vt:lpstr>
      <vt:lpstr>Statement of Rates</vt:lpstr>
      <vt:lpstr>Summary of Sales Rates</vt:lpstr>
      <vt:lpstr>Summary of Transportation Rates</vt:lpstr>
      <vt:lpstr>Summary of Changes in Rate</vt:lpstr>
      <vt:lpstr>Adjs. to Residential Rates</vt:lpstr>
      <vt:lpstr>Rate Case History</vt:lpstr>
      <vt:lpstr>Annual WACOG History</vt:lpstr>
      <vt:lpstr>Winter WACOG History</vt:lpstr>
      <vt:lpstr>RS 1 BR History</vt:lpstr>
      <vt:lpstr>RS 2 BR History</vt:lpstr>
      <vt:lpstr>RS 3 BR History</vt:lpstr>
      <vt:lpstr>RS 19 BR History</vt:lpstr>
      <vt:lpstr>RS 27 BR History</vt:lpstr>
      <vt:lpstr>RS 41 Firm BR History</vt:lpstr>
      <vt:lpstr>RS 41 Intp BR History</vt:lpstr>
      <vt:lpstr>RS 42 FS BR History</vt:lpstr>
      <vt:lpstr>RS42 IS BR History</vt:lpstr>
      <vt:lpstr>RS 41T BR History</vt:lpstr>
      <vt:lpstr>RS 42T BR History</vt:lpstr>
      <vt:lpstr>RS 43T BR History</vt:lpstr>
      <vt:lpstr>BREAK</vt:lpstr>
      <vt:lpstr>RS 1 PR History</vt:lpstr>
      <vt:lpstr>RS 2 PR History</vt:lpstr>
      <vt:lpstr>RS 3 PR History</vt:lpstr>
      <vt:lpstr>RS 21 BR History</vt:lpstr>
      <vt:lpstr>RS 54 BR History</vt:lpstr>
      <vt:lpstr>wacog purch history 1988-2007</vt:lpstr>
      <vt:lpstr>Chgs in Rates by RS 1995-2004</vt:lpstr>
      <vt:lpstr>RS 3T BR History</vt:lpstr>
      <vt:lpstr>EFFDATE</vt:lpstr>
      <vt:lpstr>'Adjs. to Residential Rates'!Print_Area</vt:lpstr>
      <vt:lpstr>'Allocation = % of margin'!Print_Area</vt:lpstr>
      <vt:lpstr>'Allocation equal ¢ per therm'!Print_Area</vt:lpstr>
      <vt:lpstr>Amortization!Print_Area</vt:lpstr>
      <vt:lpstr>'Annual WACOG History'!Print_Area</vt:lpstr>
      <vt:lpstr>'Chgs in Rates by RS 1995-2004'!Print_Area</vt:lpstr>
      <vt:lpstr>'F Goldenrod'!Print_Area</vt:lpstr>
      <vt:lpstr>Inputs!Print_Area</vt:lpstr>
      <vt:lpstr>'Inputs for FCST MGN'!Print_Area</vt:lpstr>
      <vt:lpstr>'Rate Case History'!Print_Area</vt:lpstr>
      <vt:lpstr>'Rates for MAS GS'!Print_Area</vt:lpstr>
      <vt:lpstr>'Rates in detail'!Print_Area</vt:lpstr>
      <vt:lpstr>'Rates in summary'!Print_Area</vt:lpstr>
      <vt:lpstr>'RS 1 BR History'!Print_Area</vt:lpstr>
      <vt:lpstr>'RS 1 PR History'!Print_Area</vt:lpstr>
      <vt:lpstr>'RS 19 BR History'!Print_Area</vt:lpstr>
      <vt:lpstr>'RS 2 BR History'!Print_Area</vt:lpstr>
      <vt:lpstr>'RS 21 BR History'!Print_Area</vt:lpstr>
      <vt:lpstr>'RS 27 BR History'!Print_Area</vt:lpstr>
      <vt:lpstr>'RS 3 BR History'!Print_Area</vt:lpstr>
      <vt:lpstr>'RS 3T BR History'!Print_Area</vt:lpstr>
      <vt:lpstr>'RS 41 Firm BR History'!Print_Area</vt:lpstr>
      <vt:lpstr>'RS 41 Intp BR History'!Print_Area</vt:lpstr>
      <vt:lpstr>'RS 41T BR History'!Print_Area</vt:lpstr>
      <vt:lpstr>'RS 42 FS BR History'!Print_Area</vt:lpstr>
      <vt:lpstr>'RS 42T BR History'!Print_Area</vt:lpstr>
      <vt:lpstr>'RS 43T BR History'!Print_Area</vt:lpstr>
      <vt:lpstr>'RS 54 BR History'!Print_Area</vt:lpstr>
      <vt:lpstr>'RS42 IS BR History'!Print_Area</vt:lpstr>
      <vt:lpstr>'Statement of Rates'!Print_Area</vt:lpstr>
      <vt:lpstr>'Summary of Changes in Rate'!Print_Area</vt:lpstr>
      <vt:lpstr>'Summary of Sales Rates'!Print_Area</vt:lpstr>
      <vt:lpstr>'Summary of Transportation Rates'!Print_Area</vt:lpstr>
      <vt:lpstr>Temporaries!Print_Area</vt:lpstr>
      <vt:lpstr>'WA Index'!Print_Area</vt:lpstr>
      <vt:lpstr>'wacog purch history 1988-2007'!Print_Area</vt:lpstr>
      <vt:lpstr>'Washington volumes'!Print_Area</vt:lpstr>
      <vt:lpstr>'Allocation = % of margin'!Print_Titles</vt:lpstr>
      <vt:lpstr>'Allocation equal ¢ per therm'!Print_Titles</vt:lpstr>
      <vt:lpstr>Amortization!Print_Titles</vt:lpstr>
      <vt:lpstr>'Avg Bill by RS'!Print_Titles</vt:lpstr>
      <vt:lpstr>'F Goldenrod'!Print_Titles</vt:lpstr>
      <vt:lpstr>'Inputs for FCST MGN'!Print_Titles</vt:lpstr>
      <vt:lpstr>'Statement of Rates'!Print_Titles</vt:lpstr>
      <vt:lpstr>Temporaries!Print_Titles</vt:lpstr>
      <vt:lpstr>revsens</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dc:creator>
  <cp:lastModifiedBy>Lee, Erica N</cp:lastModifiedBy>
  <cp:lastPrinted>2019-10-28T21:24:48Z</cp:lastPrinted>
  <dcterms:created xsi:type="dcterms:W3CDTF">2005-11-10T23:09:08Z</dcterms:created>
  <dcterms:modified xsi:type="dcterms:W3CDTF">2019-10-28T21:24:52Z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0x0101006E56B4D1795A2E4DB2F0B01679ED314A007AC0F86E6201B749BFF193A83EBAB7E2</vt:lpwstr>
  </property>
  <property fmtid="{D5CDD505-2E9C-101B-9397-08002B2CF9AE}" pid="3" name="_docset_NoMedatataSyncRequired">
    <vt:lpwstr>False</vt:lpwstr>
  </property>
  <property fmtid="{D5CDD505-2E9C-101B-9397-08002B2CF9AE}" pid="4" name="IsEFSEC">
    <vt:bool>false</vt:bool>
  </property>
</Properties>
</file>